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ostatemailokstate-my.sharepoint.com/personal/htadaje_okstate_edu/Documents/Desktop/"/>
    </mc:Choice>
  </mc:AlternateContent>
  <xr:revisionPtr revIDLastSave="24" documentId="8_{44FDC41F-EF60-4466-A58A-DAC58ED1E451}" xr6:coauthVersionLast="47" xr6:coauthVersionMax="47" xr10:uidLastSave="{055E4D0A-6F6E-4C4A-A736-8EB59700090B}"/>
  <bookViews>
    <workbookView xWindow="-108" yWindow="-108" windowWidth="23256" windowHeight="13896" tabRatio="912" xr2:uid="{00000000-000D-0000-FFFF-FFFF00000000}"/>
  </bookViews>
  <sheets>
    <sheet name="Introduction" sheetId="3" r:id="rId1"/>
    <sheet name="RiskSerializationData8" sheetId="800" state="hidden" r:id="rId2"/>
    <sheet name="Input Value" sheetId="1" r:id="rId3"/>
    <sheet name="Market Projection" sheetId="2" r:id="rId4"/>
    <sheet name="Loan Amortization" sheetId="9" r:id="rId5"/>
    <sheet name="Personnel Expenses" sheetId="8" r:id="rId6"/>
    <sheet name="Expense Projection" sheetId="4" r:id="rId7"/>
    <sheet name="Statement of Operations" sheetId="5" r:id="rId8"/>
    <sheet name="Owners Equity" sheetId="10" r:id="rId9"/>
    <sheet name="Equip and Depreciation" sheetId="6" r:id="rId10"/>
    <sheet name="Return On Investment" sheetId="7" r:id="rId11"/>
    <sheet name="Owners Return" sheetId="11" r:id="rId12"/>
    <sheet name="Balance Sheet" sheetId="12" r:id="rId13"/>
    <sheet name="Cash Flow " sheetId="13" r:id="rId14"/>
  </sheets>
  <definedNames>
    <definedName name="_AtRisk_FitDataRange_FIT_20015_6D36A" hidden="1">#REF!</definedName>
    <definedName name="_AtRisk_FitDataRange_FIT_5F7D0_C820B" hidden="1">#REF!</definedName>
    <definedName name="_AtRisk_FitDataRange_FIT_D2F38_5A6DF" hidden="1">#REF!</definedName>
    <definedName name="_AtRisk_FitDataRange_FIT_E5E01_C102A" hidden="1">#REF!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1</definedName>
    <definedName name="_AtRisk_SimSetting_StdRecalcWithoutRiskStaticPercentile" hidden="1">0.5</definedName>
    <definedName name="BrowseRecords" localSheetId="1">RiskSerializationData8!$6:$8</definedName>
    <definedName name="Pal_Workbook_GUID" hidden="1">"TBVD6BJ2M9DH4NV8IN8XJ12T"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imulationResultsStorageLocation" hidden="1">"2"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erializationHeader" localSheetId="1">RiskSerializationData8!$A$1:$B$3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800" l="1"/>
  <c r="A8" i="800"/>
  <c r="L7" i="800"/>
  <c r="A7" i="800"/>
  <c r="L6" i="800"/>
  <c r="A6" i="800"/>
  <c r="G111" i="1"/>
  <c r="F6" i="1" l="1"/>
  <c r="C23" i="4"/>
  <c r="D32" i="8"/>
  <c r="D30" i="8"/>
  <c r="D28" i="8"/>
  <c r="C31" i="6" l="1"/>
  <c r="C29" i="6"/>
  <c r="C28" i="6"/>
  <c r="A15" i="2"/>
  <c r="A55" i="2" s="1"/>
  <c r="A9" i="2"/>
  <c r="F27" i="1"/>
  <c r="F20" i="1"/>
  <c r="F28" i="1" s="1"/>
  <c r="D17" i="8"/>
  <c r="D15" i="8"/>
  <c r="D13" i="8"/>
  <c r="D11" i="8"/>
  <c r="A12" i="5"/>
  <c r="A11" i="5"/>
  <c r="C48" i="1"/>
  <c r="C49" i="1"/>
  <c r="C50" i="1"/>
  <c r="C47" i="1"/>
  <c r="F119" i="1"/>
  <c r="F120" i="1"/>
  <c r="B14" i="4"/>
  <c r="B20" i="4"/>
  <c r="A12" i="4"/>
  <c r="A116" i="2"/>
  <c r="A115" i="2"/>
  <c r="A113" i="2"/>
  <c r="A108" i="2"/>
  <c r="A107" i="2"/>
  <c r="A105" i="2"/>
  <c r="E124" i="1"/>
  <c r="E123" i="1"/>
  <c r="A96" i="2"/>
  <c r="A95" i="2"/>
  <c r="A93" i="2"/>
  <c r="A88" i="2"/>
  <c r="A87" i="2"/>
  <c r="A85" i="2"/>
  <c r="B17" i="2"/>
  <c r="B16" i="2"/>
  <c r="B14" i="2"/>
  <c r="B15" i="2" s="1"/>
  <c r="B11" i="2"/>
  <c r="B10" i="2"/>
  <c r="B8" i="2"/>
  <c r="B9" i="2" s="1"/>
  <c r="F124" i="1"/>
  <c r="F123" i="1"/>
  <c r="F121" i="1"/>
  <c r="F122" i="1"/>
  <c r="G94" i="1"/>
  <c r="G97" i="1" s="1"/>
  <c r="C18" i="4" s="1"/>
  <c r="D18" i="4" s="1"/>
  <c r="E18" i="4" s="1"/>
  <c r="F18" i="4" s="1"/>
  <c r="G18" i="4" s="1"/>
  <c r="H18" i="4" s="1"/>
  <c r="I18" i="4" s="1"/>
  <c r="J18" i="4" s="1"/>
  <c r="K18" i="4" s="1"/>
  <c r="L18" i="4" s="1"/>
  <c r="G92" i="1"/>
  <c r="G96" i="1"/>
  <c r="G88" i="1"/>
  <c r="A17" i="2"/>
  <c r="A65" i="2" s="1"/>
  <c r="A16" i="2"/>
  <c r="A60" i="2" s="1"/>
  <c r="A14" i="2"/>
  <c r="A50" i="2" s="1"/>
  <c r="A11" i="2"/>
  <c r="A41" i="2" s="1"/>
  <c r="A10" i="2"/>
  <c r="A36" i="2" s="1"/>
  <c r="A8" i="2"/>
  <c r="A26" i="2" s="1"/>
  <c r="B12" i="5"/>
  <c r="B11" i="5"/>
  <c r="B9" i="5"/>
  <c r="B29" i="9"/>
  <c r="E126" i="1"/>
  <c r="E125" i="1"/>
  <c r="C38" i="6"/>
  <c r="B90" i="6"/>
  <c r="B52" i="6"/>
  <c r="M12" i="7"/>
  <c r="M19" i="7" s="1"/>
  <c r="C66" i="1"/>
  <c r="C23" i="1"/>
  <c r="K7" i="13"/>
  <c r="J7" i="13"/>
  <c r="I7" i="13"/>
  <c r="H7" i="13"/>
  <c r="G7" i="13"/>
  <c r="F7" i="13"/>
  <c r="E7" i="13"/>
  <c r="D7" i="13"/>
  <c r="C7" i="13"/>
  <c r="B7" i="13"/>
  <c r="K20" i="13"/>
  <c r="K23" i="13"/>
  <c r="I20" i="13"/>
  <c r="I23" i="13"/>
  <c r="H20" i="13"/>
  <c r="H23" i="13"/>
  <c r="F20" i="13"/>
  <c r="F23" i="13"/>
  <c r="E20" i="13"/>
  <c r="E23" i="13" s="1"/>
  <c r="C20" i="13"/>
  <c r="C23" i="13" s="1"/>
  <c r="B20" i="13"/>
  <c r="B23" i="13" s="1"/>
  <c r="D94" i="1"/>
  <c r="D19" i="8"/>
  <c r="B6" i="12"/>
  <c r="B25" i="12"/>
  <c r="B24" i="12"/>
  <c r="B23" i="12"/>
  <c r="L6" i="12"/>
  <c r="K6" i="12"/>
  <c r="J6" i="12"/>
  <c r="I6" i="12"/>
  <c r="H6" i="12"/>
  <c r="G6" i="12"/>
  <c r="F6" i="12"/>
  <c r="E6" i="12"/>
  <c r="D6" i="12"/>
  <c r="C6" i="12"/>
  <c r="B11" i="10"/>
  <c r="B11" i="9"/>
  <c r="B12" i="9" s="1"/>
  <c r="B10" i="9"/>
  <c r="B13" i="9"/>
  <c r="D36" i="4"/>
  <c r="D40" i="4" s="1"/>
  <c r="D24" i="5" s="1"/>
  <c r="E36" i="4"/>
  <c r="E40" i="4" s="1"/>
  <c r="E24" i="5" s="1"/>
  <c r="D38" i="4"/>
  <c r="E38" i="4" s="1"/>
  <c r="F38" i="4" s="1"/>
  <c r="G38" i="4" s="1"/>
  <c r="H38" i="4" s="1"/>
  <c r="I38" i="4" s="1"/>
  <c r="J38" i="4" s="1"/>
  <c r="K38" i="4" s="1"/>
  <c r="L38" i="4" s="1"/>
  <c r="C40" i="4"/>
  <c r="C24" i="5" s="1"/>
  <c r="B14" i="10"/>
  <c r="C14" i="10" s="1"/>
  <c r="D41" i="10"/>
  <c r="D51" i="10" s="1"/>
  <c r="L35" i="10"/>
  <c r="L49" i="10"/>
  <c r="D22" i="6"/>
  <c r="B67" i="6"/>
  <c r="B69" i="6"/>
  <c r="H38" i="6"/>
  <c r="B102" i="6"/>
  <c r="C53" i="6"/>
  <c r="C22" i="6"/>
  <c r="H22" i="6"/>
  <c r="B40" i="4"/>
  <c r="B24" i="5"/>
  <c r="B33" i="4"/>
  <c r="B44" i="4" s="1"/>
  <c r="C15" i="7" s="1"/>
  <c r="C18" i="7" s="1"/>
  <c r="L49" i="4"/>
  <c r="L47" i="4"/>
  <c r="B51" i="1"/>
  <c r="B43" i="1"/>
  <c r="C51" i="10"/>
  <c r="C12" i="10" s="1"/>
  <c r="C37" i="10"/>
  <c r="C9" i="10"/>
  <c r="C49" i="5" s="1"/>
  <c r="A37" i="2"/>
  <c r="A38" i="2"/>
  <c r="A39" i="2"/>
  <c r="A42" i="2"/>
  <c r="A43" i="2"/>
  <c r="A44" i="2"/>
  <c r="L46" i="5"/>
  <c r="J46" i="5"/>
  <c r="I46" i="5"/>
  <c r="G46" i="5"/>
  <c r="F46" i="5"/>
  <c r="D46" i="5"/>
  <c r="C46" i="5"/>
  <c r="C42" i="5"/>
  <c r="D42" i="5"/>
  <c r="E42" i="5"/>
  <c r="F42" i="5"/>
  <c r="G42" i="5"/>
  <c r="H42" i="5"/>
  <c r="I42" i="5"/>
  <c r="J42" i="5"/>
  <c r="K42" i="5"/>
  <c r="L42" i="5"/>
  <c r="B42" i="5"/>
  <c r="L12" i="7"/>
  <c r="L19" i="7" s="1"/>
  <c r="K12" i="7"/>
  <c r="K19" i="7" s="1"/>
  <c r="J12" i="7"/>
  <c r="J19" i="7" s="1"/>
  <c r="I12" i="7"/>
  <c r="I19" i="7" s="1"/>
  <c r="H12" i="7"/>
  <c r="H19" i="7" s="1"/>
  <c r="G12" i="7"/>
  <c r="G19" i="7" s="1"/>
  <c r="F12" i="7"/>
  <c r="F19" i="7" s="1"/>
  <c r="E12" i="7"/>
  <c r="E19" i="7" s="1"/>
  <c r="D12" i="7"/>
  <c r="D19" i="7"/>
  <c r="C13" i="7"/>
  <c r="E42" i="10"/>
  <c r="E28" i="10"/>
  <c r="F28" i="10"/>
  <c r="F42" i="10"/>
  <c r="G42" i="10"/>
  <c r="G28" i="10"/>
  <c r="H42" i="10"/>
  <c r="H28" i="10"/>
  <c r="I42" i="10"/>
  <c r="I28" i="10"/>
  <c r="J42" i="10"/>
  <c r="J28" i="10"/>
  <c r="K42" i="10"/>
  <c r="K28" i="10"/>
  <c r="L42" i="10"/>
  <c r="L28" i="10"/>
  <c r="D27" i="10"/>
  <c r="D37" i="10" s="1"/>
  <c r="D9" i="10" s="1"/>
  <c r="D49" i="5" s="1"/>
  <c r="E41" i="10"/>
  <c r="E27" i="10"/>
  <c r="F41" i="10"/>
  <c r="F27" i="10"/>
  <c r="G41" i="10"/>
  <c r="G27" i="10"/>
  <c r="H41" i="10"/>
  <c r="H27" i="10"/>
  <c r="I41" i="10"/>
  <c r="I27" i="10"/>
  <c r="J41" i="10"/>
  <c r="J27" i="10"/>
  <c r="K41" i="10"/>
  <c r="K27" i="10"/>
  <c r="L41" i="10"/>
  <c r="L27" i="10"/>
  <c r="B8" i="10"/>
  <c r="B9" i="10"/>
  <c r="E46" i="5"/>
  <c r="D20" i="13"/>
  <c r="D23" i="13" s="1"/>
  <c r="J20" i="13"/>
  <c r="J23" i="13"/>
  <c r="K46" i="5"/>
  <c r="H46" i="5"/>
  <c r="G20" i="13"/>
  <c r="G23" i="13" s="1"/>
  <c r="B65" i="6"/>
  <c r="B50" i="6"/>
  <c r="C50" i="6"/>
  <c r="D50" i="6"/>
  <c r="E50" i="6"/>
  <c r="B22" i="5"/>
  <c r="B72" i="6"/>
  <c r="B82" i="6"/>
  <c r="G51" i="6"/>
  <c r="B78" i="6"/>
  <c r="C51" i="6"/>
  <c r="B85" i="6"/>
  <c r="J51" i="6"/>
  <c r="B105" i="6"/>
  <c r="F53" i="6"/>
  <c r="B101" i="6"/>
  <c r="B53" i="6"/>
  <c r="B84" i="6"/>
  <c r="I51" i="6"/>
  <c r="B77" i="6"/>
  <c r="B51" i="6"/>
  <c r="B106" i="6"/>
  <c r="G53" i="6"/>
  <c r="B79" i="6"/>
  <c r="D51" i="6"/>
  <c r="B86" i="6"/>
  <c r="K51" i="6"/>
  <c r="B54" i="6"/>
  <c r="B83" i="6"/>
  <c r="H51" i="6"/>
  <c r="B80" i="6"/>
  <c r="E51" i="6"/>
  <c r="B81" i="6"/>
  <c r="F51" i="6"/>
  <c r="C40" i="6"/>
  <c r="B94" i="6"/>
  <c r="F52" i="6"/>
  <c r="B91" i="6"/>
  <c r="C52" i="6"/>
  <c r="B96" i="6"/>
  <c r="H52" i="6"/>
  <c r="B93" i="6"/>
  <c r="E52" i="6"/>
  <c r="B95" i="6"/>
  <c r="G52" i="6"/>
  <c r="B97" i="6"/>
  <c r="I52" i="6"/>
  <c r="B92" i="6"/>
  <c r="D52" i="6"/>
  <c r="F29" i="10"/>
  <c r="F43" i="10"/>
  <c r="G43" i="10"/>
  <c r="G29" i="10"/>
  <c r="H29" i="10"/>
  <c r="H43" i="10"/>
  <c r="I43" i="10"/>
  <c r="I29" i="10"/>
  <c r="J43" i="10"/>
  <c r="J29" i="10"/>
  <c r="K29" i="10"/>
  <c r="K43" i="10"/>
  <c r="L43" i="10"/>
  <c r="L29" i="10"/>
  <c r="J47" i="10"/>
  <c r="J33" i="10"/>
  <c r="K47" i="10"/>
  <c r="K33" i="10"/>
  <c r="L33" i="10"/>
  <c r="L47" i="10"/>
  <c r="A75" i="2"/>
  <c r="A31" i="2"/>
  <c r="K48" i="10"/>
  <c r="K34" i="10"/>
  <c r="L48" i="10"/>
  <c r="L34" i="10"/>
  <c r="I32" i="10"/>
  <c r="I46" i="10"/>
  <c r="J32" i="10"/>
  <c r="J46" i="10"/>
  <c r="K32" i="10"/>
  <c r="K46" i="10"/>
  <c r="L32" i="10"/>
  <c r="L46" i="10"/>
  <c r="G44" i="10"/>
  <c r="G30" i="10"/>
  <c r="H30" i="10"/>
  <c r="H44" i="10"/>
  <c r="I30" i="10"/>
  <c r="I44" i="10"/>
  <c r="J44" i="10"/>
  <c r="J30" i="10"/>
  <c r="K44" i="10"/>
  <c r="K30" i="10"/>
  <c r="L44" i="10"/>
  <c r="L30" i="10"/>
  <c r="F50" i="6"/>
  <c r="C44" i="5"/>
  <c r="C11" i="12"/>
  <c r="C29" i="4"/>
  <c r="G19" i="9"/>
  <c r="F19" i="9"/>
  <c r="B19" i="9"/>
  <c r="J19" i="9"/>
  <c r="D19" i="9"/>
  <c r="H19" i="9"/>
  <c r="C19" i="9"/>
  <c r="E19" i="9"/>
  <c r="K19" i="9"/>
  <c r="I19" i="9"/>
  <c r="C54" i="6"/>
  <c r="D23" i="4"/>
  <c r="E23" i="4" s="1"/>
  <c r="F23" i="4" s="1"/>
  <c r="G23" i="4" s="1"/>
  <c r="H23" i="4" s="1"/>
  <c r="I23" i="4" s="1"/>
  <c r="J23" i="4" s="1"/>
  <c r="K23" i="4" s="1"/>
  <c r="L23" i="4" s="1"/>
  <c r="C42" i="6"/>
  <c r="C25" i="4"/>
  <c r="D25" i="4"/>
  <c r="E25" i="4" s="1"/>
  <c r="F25" i="4" s="1"/>
  <c r="G25" i="4" s="1"/>
  <c r="H25" i="4" s="1"/>
  <c r="I25" i="4" s="1"/>
  <c r="J25" i="4" s="1"/>
  <c r="K25" i="4" s="1"/>
  <c r="L25" i="4" s="1"/>
  <c r="B22" i="12"/>
  <c r="E13" i="8"/>
  <c r="B103" i="6"/>
  <c r="D53" i="6"/>
  <c r="D54" i="6"/>
  <c r="B104" i="6"/>
  <c r="E53" i="6"/>
  <c r="E54" i="6"/>
  <c r="C51" i="1"/>
  <c r="E15" i="8"/>
  <c r="G15" i="8" s="1"/>
  <c r="F44" i="5"/>
  <c r="F29" i="4"/>
  <c r="D29" i="4"/>
  <c r="D44" i="5"/>
  <c r="E44" i="5"/>
  <c r="E29" i="4"/>
  <c r="B9" i="9"/>
  <c r="G10" i="12"/>
  <c r="E10" i="12"/>
  <c r="H10" i="12"/>
  <c r="F10" i="12"/>
  <c r="C27" i="4"/>
  <c r="D27" i="4" s="1"/>
  <c r="E27" i="4" s="1"/>
  <c r="F27" i="4" s="1"/>
  <c r="G27" i="4" s="1"/>
  <c r="H27" i="4" s="1"/>
  <c r="I27" i="4" s="1"/>
  <c r="J27" i="4" s="1"/>
  <c r="K27" i="4" s="1"/>
  <c r="L27" i="4" s="1"/>
  <c r="B15" i="1"/>
  <c r="B16" i="1" s="1"/>
  <c r="K10" i="12"/>
  <c r="D10" i="12"/>
  <c r="I10" i="12"/>
  <c r="J10" i="12"/>
  <c r="L10" i="12"/>
  <c r="C10" i="12"/>
  <c r="B10" i="12"/>
  <c r="F11" i="12"/>
  <c r="D11" i="12"/>
  <c r="G50" i="6"/>
  <c r="F54" i="6"/>
  <c r="E11" i="12"/>
  <c r="G44" i="5"/>
  <c r="G29" i="4"/>
  <c r="G54" i="6"/>
  <c r="H50" i="6"/>
  <c r="G11" i="12"/>
  <c r="H11" i="12"/>
  <c r="H54" i="6"/>
  <c r="I50" i="6"/>
  <c r="H44" i="5"/>
  <c r="H29" i="4"/>
  <c r="I11" i="12"/>
  <c r="J50" i="6"/>
  <c r="I54" i="6"/>
  <c r="I44" i="5"/>
  <c r="I29" i="4"/>
  <c r="J29" i="4"/>
  <c r="J44" i="5"/>
  <c r="J54" i="6"/>
  <c r="L11" i="12"/>
  <c r="K50" i="6"/>
  <c r="K54" i="6"/>
  <c r="K11" i="12"/>
  <c r="J11" i="12"/>
  <c r="L29" i="4"/>
  <c r="L44" i="5"/>
  <c r="K44" i="5"/>
  <c r="K29" i="4"/>
  <c r="I22" i="9" l="1"/>
  <c r="D22" i="9"/>
  <c r="B18" i="9"/>
  <c r="B20" i="9" s="1"/>
  <c r="F22" i="9"/>
  <c r="E22" i="9"/>
  <c r="K22" i="9"/>
  <c r="C22" i="9"/>
  <c r="B22" i="9"/>
  <c r="B23" i="9" s="1"/>
  <c r="B28" i="13" s="1"/>
  <c r="B17" i="12"/>
  <c r="H22" i="9"/>
  <c r="C35" i="5"/>
  <c r="B29" i="13" s="1"/>
  <c r="B14" i="11"/>
  <c r="A86" i="2"/>
  <c r="A106" i="2" s="1"/>
  <c r="A114" i="2" s="1"/>
  <c r="A10" i="5"/>
  <c r="B22" i="1"/>
  <c r="G22" i="9"/>
  <c r="F8" i="1"/>
  <c r="E17" i="8"/>
  <c r="G17" i="8" s="1"/>
  <c r="H17" i="8" s="1"/>
  <c r="G13" i="8"/>
  <c r="H13" i="8" s="1"/>
  <c r="G37" i="10"/>
  <c r="G9" i="10" s="1"/>
  <c r="G49" i="5" s="1"/>
  <c r="F15" i="11" s="1"/>
  <c r="E37" i="10"/>
  <c r="E9" i="10" s="1"/>
  <c r="E49" i="5" s="1"/>
  <c r="D15" i="11" s="1"/>
  <c r="E51" i="10"/>
  <c r="E12" i="10" s="1"/>
  <c r="F37" i="10"/>
  <c r="F9" i="10" s="1"/>
  <c r="F49" i="5" s="1"/>
  <c r="E15" i="11" s="1"/>
  <c r="F51" i="10"/>
  <c r="F12" i="10" s="1"/>
  <c r="G51" i="10"/>
  <c r="F14" i="11" s="1"/>
  <c r="D43" i="2"/>
  <c r="E43" i="2"/>
  <c r="F43" i="2"/>
  <c r="G43" i="2"/>
  <c r="H43" i="2"/>
  <c r="I43" i="2"/>
  <c r="J43" i="2"/>
  <c r="K43" i="2"/>
  <c r="L43" i="2"/>
  <c r="C43" i="2"/>
  <c r="B13" i="5"/>
  <c r="B15" i="5"/>
  <c r="A74" i="2"/>
  <c r="A9" i="5" s="1"/>
  <c r="B25" i="9"/>
  <c r="C45" i="5"/>
  <c r="C22" i="7"/>
  <c r="C24" i="7" s="1"/>
  <c r="C20" i="7"/>
  <c r="C23" i="7" s="1"/>
  <c r="D12" i="10"/>
  <c r="D35" i="5"/>
  <c r="C29" i="13" s="1"/>
  <c r="C14" i="11"/>
  <c r="D30" i="5"/>
  <c r="C34" i="11" s="1"/>
  <c r="C22" i="12"/>
  <c r="D14" i="10"/>
  <c r="C15" i="11"/>
  <c r="B23" i="5"/>
  <c r="B26" i="5" s="1"/>
  <c r="F36" i="4"/>
  <c r="D21" i="8"/>
  <c r="C9" i="4" s="1"/>
  <c r="D9" i="4" s="1"/>
  <c r="E9" i="4" s="1"/>
  <c r="F9" i="4" s="1"/>
  <c r="G9" i="4" s="1"/>
  <c r="H9" i="4" s="1"/>
  <c r="I9" i="4" s="1"/>
  <c r="J9" i="4" s="1"/>
  <c r="K9" i="4" s="1"/>
  <c r="L9" i="4" s="1"/>
  <c r="B15" i="11"/>
  <c r="J22" i="9"/>
  <c r="A94" i="2"/>
  <c r="C30" i="5"/>
  <c r="B34" i="11" s="1"/>
  <c r="B35" i="11" s="1"/>
  <c r="E19" i="8"/>
  <c r="H15" i="8"/>
  <c r="E11" i="8"/>
  <c r="C35" i="11" l="1"/>
  <c r="B36" i="11" s="1"/>
  <c r="B7" i="10"/>
  <c r="C21" i="12" s="1"/>
  <c r="D21" i="12" s="1"/>
  <c r="E21" i="12" s="1"/>
  <c r="F21" i="12" s="1"/>
  <c r="G21" i="12" s="1"/>
  <c r="H21" i="12" s="1"/>
  <c r="I21" i="12" s="1"/>
  <c r="J21" i="12" s="1"/>
  <c r="K21" i="12" s="1"/>
  <c r="L21" i="12" s="1"/>
  <c r="B8" i="11"/>
  <c r="B29" i="11" s="1"/>
  <c r="F67" i="2"/>
  <c r="G67" i="2"/>
  <c r="H67" i="2"/>
  <c r="I67" i="2"/>
  <c r="L67" i="2"/>
  <c r="J67" i="2"/>
  <c r="K67" i="2"/>
  <c r="D67" i="2"/>
  <c r="C67" i="2"/>
  <c r="E67" i="2"/>
  <c r="G62" i="2"/>
  <c r="H62" i="2"/>
  <c r="I62" i="2"/>
  <c r="D62" i="2"/>
  <c r="E62" i="2"/>
  <c r="F62" i="2"/>
  <c r="J62" i="2"/>
  <c r="L62" i="2"/>
  <c r="K62" i="2"/>
  <c r="C62" i="2"/>
  <c r="I38" i="2"/>
  <c r="J38" i="2"/>
  <c r="K38" i="2"/>
  <c r="D38" i="2"/>
  <c r="E38" i="2"/>
  <c r="H38" i="2"/>
  <c r="L38" i="2"/>
  <c r="C38" i="2"/>
  <c r="F38" i="2"/>
  <c r="G38" i="2"/>
  <c r="G57" i="2"/>
  <c r="K57" i="2"/>
  <c r="E57" i="2"/>
  <c r="H57" i="2"/>
  <c r="L57" i="2"/>
  <c r="F57" i="2"/>
  <c r="I57" i="2"/>
  <c r="C57" i="2"/>
  <c r="J57" i="2"/>
  <c r="D57" i="2"/>
  <c r="B31" i="5"/>
  <c r="E35" i="5"/>
  <c r="D29" i="13" s="1"/>
  <c r="D14" i="11"/>
  <c r="G35" i="5"/>
  <c r="F29" i="13" s="1"/>
  <c r="G12" i="10"/>
  <c r="E14" i="11"/>
  <c r="F35" i="5"/>
  <c r="E29" i="13" s="1"/>
  <c r="G125" i="1"/>
  <c r="C18" i="9"/>
  <c r="C17" i="12"/>
  <c r="B37" i="5"/>
  <c r="B39" i="5" s="1"/>
  <c r="B43" i="5" s="1"/>
  <c r="B51" i="5" s="1"/>
  <c r="B28" i="5"/>
  <c r="E14" i="10"/>
  <c r="E30" i="5"/>
  <c r="D34" i="11" s="1"/>
  <c r="D22" i="12"/>
  <c r="G36" i="4"/>
  <c r="F40" i="4"/>
  <c r="F24" i="5" s="1"/>
  <c r="G11" i="8"/>
  <c r="H11" i="8" s="1"/>
  <c r="E21" i="8"/>
  <c r="C10" i="4" s="1"/>
  <c r="D10" i="4" s="1"/>
  <c r="E10" i="4" s="1"/>
  <c r="F10" i="4" s="1"/>
  <c r="G10" i="4" s="1"/>
  <c r="H10" i="4" s="1"/>
  <c r="I10" i="4" s="1"/>
  <c r="J10" i="4" s="1"/>
  <c r="K10" i="4" s="1"/>
  <c r="L10" i="4" s="1"/>
  <c r="G19" i="8"/>
  <c r="H19" i="8" s="1"/>
  <c r="D52" i="2" l="1"/>
  <c r="K52" i="2"/>
  <c r="H52" i="2"/>
  <c r="E52" i="2"/>
  <c r="I52" i="2"/>
  <c r="J52" i="2"/>
  <c r="F52" i="2"/>
  <c r="L52" i="2"/>
  <c r="C52" i="2"/>
  <c r="G52" i="2"/>
  <c r="D35" i="11"/>
  <c r="E28" i="2"/>
  <c r="I28" i="2"/>
  <c r="L28" i="2"/>
  <c r="D28" i="2"/>
  <c r="J28" i="2"/>
  <c r="G28" i="2"/>
  <c r="K28" i="2"/>
  <c r="H28" i="2"/>
  <c r="F28" i="2"/>
  <c r="C28" i="2"/>
  <c r="B21" i="12"/>
  <c r="B26" i="12" s="1"/>
  <c r="C29" i="5"/>
  <c r="B11" i="11" s="1"/>
  <c r="B17" i="10"/>
  <c r="C33" i="2"/>
  <c r="F33" i="2"/>
  <c r="L33" i="2"/>
  <c r="G33" i="2"/>
  <c r="H33" i="2"/>
  <c r="I33" i="2"/>
  <c r="J33" i="2"/>
  <c r="D33" i="2"/>
  <c r="E33" i="2"/>
  <c r="K33" i="2"/>
  <c r="H21" i="8"/>
  <c r="G21" i="8"/>
  <c r="C11" i="4" s="1"/>
  <c r="D11" i="4" s="1"/>
  <c r="E11" i="4" s="1"/>
  <c r="F11" i="4" s="1"/>
  <c r="G11" i="4" s="1"/>
  <c r="H11" i="4" s="1"/>
  <c r="I11" i="4" s="1"/>
  <c r="J11" i="4" s="1"/>
  <c r="K11" i="4" s="1"/>
  <c r="L11" i="4" s="1"/>
  <c r="C30" i="7"/>
  <c r="G126" i="1"/>
  <c r="F14" i="10"/>
  <c r="E22" i="12"/>
  <c r="F30" i="5"/>
  <c r="E34" i="11" s="1"/>
  <c r="H36" i="4"/>
  <c r="G40" i="4"/>
  <c r="G24" i="5" s="1"/>
  <c r="C20" i="9"/>
  <c r="C23" i="9" s="1"/>
  <c r="C25" i="9" s="1"/>
  <c r="G6" i="1" l="1"/>
  <c r="G7" i="1"/>
  <c r="G89" i="1"/>
  <c r="E35" i="11"/>
  <c r="D17" i="12"/>
  <c r="D18" i="9"/>
  <c r="C28" i="13"/>
  <c r="D45" i="5"/>
  <c r="I36" i="4"/>
  <c r="H40" i="4"/>
  <c r="H24" i="5" s="1"/>
  <c r="G30" i="5"/>
  <c r="F34" i="11" s="1"/>
  <c r="F22" i="12"/>
  <c r="G14" i="10"/>
  <c r="G12" i="1" l="1"/>
  <c r="G21" i="1"/>
  <c r="G48" i="1" s="1"/>
  <c r="C10" i="2" s="1"/>
  <c r="G8" i="1"/>
  <c r="Q8" i="2"/>
  <c r="G104" i="1"/>
  <c r="G105" i="1" s="1"/>
  <c r="G29" i="1"/>
  <c r="G71" i="1" s="1"/>
  <c r="C16" i="2" s="1"/>
  <c r="G11" i="1"/>
  <c r="Q14" i="2"/>
  <c r="G108" i="1"/>
  <c r="G109" i="1" s="1"/>
  <c r="F35" i="11"/>
  <c r="J36" i="4"/>
  <c r="I40" i="4"/>
  <c r="I24" i="5" s="1"/>
  <c r="G22" i="12"/>
  <c r="H30" i="5"/>
  <c r="G34" i="11" s="1"/>
  <c r="H14" i="10"/>
  <c r="D20" i="9"/>
  <c r="D23" i="9" s="1"/>
  <c r="D25" i="9" s="1"/>
  <c r="G35" i="11" l="1"/>
  <c r="R14" i="2"/>
  <c r="C97" i="2"/>
  <c r="G25" i="1"/>
  <c r="G77" i="1" s="1"/>
  <c r="C17" i="2" s="1"/>
  <c r="G26" i="1"/>
  <c r="G13" i="1"/>
  <c r="G98" i="1" s="1"/>
  <c r="C37" i="2"/>
  <c r="D10" i="2"/>
  <c r="D16" i="2"/>
  <c r="C61" i="2"/>
  <c r="Q16" i="2"/>
  <c r="C89" i="2"/>
  <c r="R8" i="2"/>
  <c r="M46" i="5"/>
  <c r="G42" i="6"/>
  <c r="M44" i="5"/>
  <c r="G17" i="1"/>
  <c r="G54" i="1" s="1"/>
  <c r="C11" i="2" s="1"/>
  <c r="G18" i="1"/>
  <c r="E17" i="12"/>
  <c r="E18" i="9"/>
  <c r="J40" i="4"/>
  <c r="J24" i="5" s="1"/>
  <c r="K36" i="4"/>
  <c r="E45" i="5"/>
  <c r="D28" i="13"/>
  <c r="I30" i="5"/>
  <c r="H34" i="11" s="1"/>
  <c r="H35" i="11" s="1"/>
  <c r="I14" i="10"/>
  <c r="H22" i="12"/>
  <c r="C42" i="2" l="1"/>
  <c r="D11" i="2"/>
  <c r="S8" i="2"/>
  <c r="R16" i="2"/>
  <c r="D89" i="2"/>
  <c r="C95" i="2"/>
  <c r="C63" i="2"/>
  <c r="G19" i="1"/>
  <c r="G38" i="1" s="1"/>
  <c r="C8" i="2" s="1"/>
  <c r="E10" i="2"/>
  <c r="D37" i="2"/>
  <c r="E30" i="8"/>
  <c r="E37" i="8" s="1"/>
  <c r="E44" i="8" s="1"/>
  <c r="E51" i="8" s="1"/>
  <c r="E28" i="8"/>
  <c r="E35" i="8" s="1"/>
  <c r="E42" i="8" s="1"/>
  <c r="E49" i="8" s="1"/>
  <c r="E32" i="8"/>
  <c r="D61" i="2"/>
  <c r="E16" i="2"/>
  <c r="C87" i="2"/>
  <c r="C39" i="2"/>
  <c r="G27" i="1"/>
  <c r="G61" i="1" s="1"/>
  <c r="C14" i="2" s="1"/>
  <c r="D97" i="2"/>
  <c r="S14" i="2"/>
  <c r="C66" i="2"/>
  <c r="D17" i="2"/>
  <c r="J14" i="10"/>
  <c r="I22" i="12"/>
  <c r="J30" i="5"/>
  <c r="L36" i="4"/>
  <c r="L40" i="4" s="1"/>
  <c r="L24" i="5" s="1"/>
  <c r="K40" i="4"/>
  <c r="K24" i="5" s="1"/>
  <c r="E20" i="9"/>
  <c r="E23" i="9" s="1"/>
  <c r="E25" i="9" s="1"/>
  <c r="C115" i="2" l="1"/>
  <c r="G28" i="1"/>
  <c r="G66" i="1" s="1"/>
  <c r="C15" i="2" s="1"/>
  <c r="C94" i="2" s="1"/>
  <c r="D87" i="2"/>
  <c r="D39" i="2"/>
  <c r="C68" i="2"/>
  <c r="C96" i="2"/>
  <c r="G20" i="1"/>
  <c r="G43" i="1" s="1"/>
  <c r="C9" i="2" s="1"/>
  <c r="F32" i="8"/>
  <c r="F39" i="8" s="1"/>
  <c r="F46" i="8" s="1"/>
  <c r="F53" i="8" s="1"/>
  <c r="F30" i="8"/>
  <c r="F37" i="8" s="1"/>
  <c r="F44" i="8" s="1"/>
  <c r="F51" i="8" s="1"/>
  <c r="F28" i="8"/>
  <c r="F35" i="8" s="1"/>
  <c r="F42" i="8" s="1"/>
  <c r="F49" i="8" s="1"/>
  <c r="E17" i="2"/>
  <c r="D66" i="2"/>
  <c r="C107" i="2"/>
  <c r="C76" i="2"/>
  <c r="C11" i="5" s="1"/>
  <c r="D95" i="2"/>
  <c r="D63" i="2"/>
  <c r="E39" i="8"/>
  <c r="E46" i="8" s="1"/>
  <c r="E53" i="8" s="1"/>
  <c r="E55" i="8" s="1"/>
  <c r="C12" i="4" s="1"/>
  <c r="C14" i="4" s="1"/>
  <c r="T8" i="2"/>
  <c r="E89" i="2"/>
  <c r="S16" i="2"/>
  <c r="C51" i="2"/>
  <c r="D14" i="2"/>
  <c r="E37" i="2"/>
  <c r="F10" i="2"/>
  <c r="E11" i="2"/>
  <c r="D42" i="2"/>
  <c r="T14" i="2"/>
  <c r="E97" i="2"/>
  <c r="E61" i="2"/>
  <c r="F16" i="2"/>
  <c r="C27" i="2"/>
  <c r="D8" i="2"/>
  <c r="C88" i="2"/>
  <c r="C44" i="2"/>
  <c r="M24" i="5"/>
  <c r="E28" i="13"/>
  <c r="F45" i="5"/>
  <c r="F17" i="12"/>
  <c r="F18" i="9"/>
  <c r="I34" i="11"/>
  <c r="I35" i="11" s="1"/>
  <c r="K14" i="10"/>
  <c r="K30" i="5"/>
  <c r="J34" i="11" s="1"/>
  <c r="J22" i="12"/>
  <c r="C56" i="2" l="1"/>
  <c r="C58" i="2" s="1"/>
  <c r="D15" i="2"/>
  <c r="D94" i="2" s="1"/>
  <c r="D115" i="2"/>
  <c r="C114" i="2"/>
  <c r="F55" i="8"/>
  <c r="D12" i="4" s="1"/>
  <c r="D14" i="4" s="1"/>
  <c r="J35" i="11"/>
  <c r="E42" i="2"/>
  <c r="F11" i="2"/>
  <c r="E39" i="2"/>
  <c r="E87" i="2"/>
  <c r="U8" i="2"/>
  <c r="T16" i="2"/>
  <c r="F89" i="2"/>
  <c r="G28" i="8"/>
  <c r="G35" i="8" s="1"/>
  <c r="G42" i="8" s="1"/>
  <c r="G49" i="8" s="1"/>
  <c r="G30" i="8"/>
  <c r="G37" i="8" s="1"/>
  <c r="G44" i="8" s="1"/>
  <c r="G51" i="8" s="1"/>
  <c r="G32" i="8"/>
  <c r="G39" i="8" s="1"/>
  <c r="G46" i="8" s="1"/>
  <c r="G10" i="2"/>
  <c r="F37" i="2"/>
  <c r="D68" i="2"/>
  <c r="D96" i="2"/>
  <c r="D9" i="2"/>
  <c r="C86" i="2"/>
  <c r="C32" i="2"/>
  <c r="C34" i="2" s="1"/>
  <c r="E14" i="2"/>
  <c r="D51" i="2"/>
  <c r="C93" i="2"/>
  <c r="C98" i="2" s="1"/>
  <c r="C53" i="2"/>
  <c r="F17" i="2"/>
  <c r="E66" i="2"/>
  <c r="C116" i="2"/>
  <c r="D27" i="2"/>
  <c r="E8" i="2"/>
  <c r="F61" i="2"/>
  <c r="G16" i="2"/>
  <c r="D107" i="2"/>
  <c r="D76" i="2"/>
  <c r="D11" i="5" s="1"/>
  <c r="D44" i="2"/>
  <c r="D88" i="2"/>
  <c r="C108" i="2"/>
  <c r="C77" i="2"/>
  <c r="C12" i="5" s="1"/>
  <c r="C85" i="2"/>
  <c r="C29" i="2"/>
  <c r="E95" i="2"/>
  <c r="E63" i="2"/>
  <c r="U14" i="2"/>
  <c r="F97" i="2"/>
  <c r="L14" i="10"/>
  <c r="L22" i="12" s="1"/>
  <c r="K22" i="12"/>
  <c r="L30" i="5"/>
  <c r="K34" i="11" s="1"/>
  <c r="K35" i="11" s="1"/>
  <c r="F20" i="9"/>
  <c r="F23" i="9" s="1"/>
  <c r="G53" i="8" l="1"/>
  <c r="D56" i="2"/>
  <c r="D58" i="2" s="1"/>
  <c r="D114" i="2" s="1"/>
  <c r="E15" i="2"/>
  <c r="E56" i="2" s="1"/>
  <c r="E58" i="2" s="1"/>
  <c r="G55" i="8"/>
  <c r="E12" i="4" s="1"/>
  <c r="E14" i="4" s="1"/>
  <c r="C90" i="2"/>
  <c r="C101" i="2" s="1"/>
  <c r="D29" i="2"/>
  <c r="D85" i="2"/>
  <c r="D86" i="2"/>
  <c r="E9" i="2"/>
  <c r="D32" i="2"/>
  <c r="D34" i="2" s="1"/>
  <c r="E68" i="2"/>
  <c r="E96" i="2"/>
  <c r="F66" i="2"/>
  <c r="G17" i="2"/>
  <c r="D93" i="2"/>
  <c r="D98" i="2" s="1"/>
  <c r="D53" i="2"/>
  <c r="D116" i="2"/>
  <c r="G97" i="2"/>
  <c r="V14" i="2"/>
  <c r="F39" i="2"/>
  <c r="F87" i="2"/>
  <c r="E115" i="2"/>
  <c r="C105" i="2"/>
  <c r="C46" i="2"/>
  <c r="H10" i="2"/>
  <c r="G37" i="2"/>
  <c r="C106" i="2"/>
  <c r="C75" i="2"/>
  <c r="C10" i="5" s="1"/>
  <c r="C74" i="2"/>
  <c r="C70" i="2"/>
  <c r="C113" i="2"/>
  <c r="C117" i="2" s="1"/>
  <c r="C118" i="2" s="1"/>
  <c r="D108" i="2"/>
  <c r="D77" i="2"/>
  <c r="D12" i="5" s="1"/>
  <c r="H28" i="8"/>
  <c r="H30" i="8"/>
  <c r="H32" i="8"/>
  <c r="H39" i="8" s="1"/>
  <c r="H46" i="8" s="1"/>
  <c r="H53" i="8" s="1"/>
  <c r="V8" i="2"/>
  <c r="U16" i="2"/>
  <c r="G89" i="2"/>
  <c r="G61" i="2"/>
  <c r="H16" i="2"/>
  <c r="E107" i="2"/>
  <c r="E76" i="2"/>
  <c r="E11" i="5" s="1"/>
  <c r="F95" i="2"/>
  <c r="F63" i="2"/>
  <c r="G11" i="2"/>
  <c r="F42" i="2"/>
  <c r="F14" i="2"/>
  <c r="E51" i="2"/>
  <c r="F8" i="2"/>
  <c r="E27" i="2"/>
  <c r="E44" i="2"/>
  <c r="E88" i="2"/>
  <c r="G45" i="5"/>
  <c r="F28" i="13"/>
  <c r="F25" i="9"/>
  <c r="M30" i="5"/>
  <c r="E94" i="2" l="1"/>
  <c r="E114" i="2" s="1"/>
  <c r="F15" i="2"/>
  <c r="F56" i="2" s="1"/>
  <c r="F58" i="2" s="1"/>
  <c r="F115" i="2"/>
  <c r="G39" i="2"/>
  <c r="G87" i="2"/>
  <c r="C109" i="2"/>
  <c r="C110" i="2" s="1"/>
  <c r="C120" i="2" s="1"/>
  <c r="E108" i="2"/>
  <c r="E77" i="2"/>
  <c r="E12" i="5" s="1"/>
  <c r="E85" i="2"/>
  <c r="E29" i="2"/>
  <c r="G8" i="2"/>
  <c r="F27" i="2"/>
  <c r="E93" i="2"/>
  <c r="E53" i="2"/>
  <c r="F88" i="2"/>
  <c r="F44" i="2"/>
  <c r="C9" i="5"/>
  <c r="C13" i="5" s="1"/>
  <c r="C78" i="2"/>
  <c r="F107" i="2"/>
  <c r="F76" i="2"/>
  <c r="F11" i="5" s="1"/>
  <c r="G14" i="2"/>
  <c r="F51" i="2"/>
  <c r="I10" i="2"/>
  <c r="H37" i="2"/>
  <c r="V16" i="2"/>
  <c r="H89" i="2"/>
  <c r="W8" i="2"/>
  <c r="E116" i="2"/>
  <c r="H11" i="2"/>
  <c r="G42" i="2"/>
  <c r="I16" i="2"/>
  <c r="H61" i="2"/>
  <c r="C17" i="5"/>
  <c r="B10" i="13" s="1"/>
  <c r="C16" i="4"/>
  <c r="C20" i="4" s="1"/>
  <c r="C22" i="5" s="1"/>
  <c r="G15" i="2"/>
  <c r="F94" i="2"/>
  <c r="D106" i="2"/>
  <c r="D75" i="2"/>
  <c r="D10" i="5" s="1"/>
  <c r="W14" i="2"/>
  <c r="H97" i="2"/>
  <c r="I28" i="8"/>
  <c r="I32" i="8"/>
  <c r="I39" i="8" s="1"/>
  <c r="I46" i="8" s="1"/>
  <c r="I53" i="8" s="1"/>
  <c r="I30" i="8"/>
  <c r="E32" i="2"/>
  <c r="E34" i="2" s="1"/>
  <c r="E86" i="2"/>
  <c r="F9" i="2"/>
  <c r="G95" i="2"/>
  <c r="G63" i="2"/>
  <c r="H37" i="8"/>
  <c r="H44" i="8" s="1"/>
  <c r="H51" i="8" s="1"/>
  <c r="D70" i="2"/>
  <c r="D113" i="2"/>
  <c r="D117" i="2" s="1"/>
  <c r="D118" i="2" s="1"/>
  <c r="H17" i="2"/>
  <c r="G66" i="2"/>
  <c r="H35" i="8"/>
  <c r="H42" i="8" s="1"/>
  <c r="H49" i="8" s="1"/>
  <c r="D90" i="2"/>
  <c r="D101" i="2" s="1"/>
  <c r="C79" i="2"/>
  <c r="F96" i="2"/>
  <c r="F68" i="2"/>
  <c r="F116" i="2" s="1"/>
  <c r="D46" i="2"/>
  <c r="D74" i="2"/>
  <c r="D105" i="2"/>
  <c r="G17" i="12"/>
  <c r="G18" i="9"/>
  <c r="E98" i="2" l="1"/>
  <c r="G115" i="2"/>
  <c r="F114" i="2"/>
  <c r="H55" i="8"/>
  <c r="F12" i="4" s="1"/>
  <c r="F14" i="4" s="1"/>
  <c r="I89" i="2"/>
  <c r="X8" i="2"/>
  <c r="W16" i="2"/>
  <c r="J10" i="2"/>
  <c r="I37" i="2"/>
  <c r="F86" i="2"/>
  <c r="F32" i="2"/>
  <c r="F34" i="2" s="1"/>
  <c r="G9" i="2"/>
  <c r="G44" i="2"/>
  <c r="G88" i="2"/>
  <c r="I11" i="2"/>
  <c r="H42" i="2"/>
  <c r="H87" i="2"/>
  <c r="H39" i="2"/>
  <c r="G96" i="2"/>
  <c r="G68" i="2"/>
  <c r="I17" i="2"/>
  <c r="H66" i="2"/>
  <c r="I37" i="8"/>
  <c r="I44" i="8" s="1"/>
  <c r="I51" i="8" s="1"/>
  <c r="I35" i="8"/>
  <c r="I42" i="8" s="1"/>
  <c r="E74" i="2"/>
  <c r="E105" i="2"/>
  <c r="E46" i="2"/>
  <c r="D78" i="2"/>
  <c r="D9" i="5"/>
  <c r="D13" i="5" s="1"/>
  <c r="G94" i="2"/>
  <c r="G56" i="2"/>
  <c r="G58" i="2" s="1"/>
  <c r="H15" i="2"/>
  <c r="E90" i="2"/>
  <c r="E101" i="2" s="1"/>
  <c r="G51" i="2"/>
  <c r="H14" i="2"/>
  <c r="E75" i="2"/>
  <c r="E10" i="5" s="1"/>
  <c r="E106" i="2"/>
  <c r="F108" i="2"/>
  <c r="F77" i="2"/>
  <c r="F12" i="5" s="1"/>
  <c r="X14" i="2"/>
  <c r="I97" i="2"/>
  <c r="H8" i="2"/>
  <c r="G27" i="2"/>
  <c r="D17" i="5"/>
  <c r="C10" i="13" s="1"/>
  <c r="D16" i="4"/>
  <c r="D20" i="4" s="1"/>
  <c r="D22" i="5" s="1"/>
  <c r="F93" i="2"/>
  <c r="F98" i="2" s="1"/>
  <c r="F53" i="2"/>
  <c r="J28" i="8"/>
  <c r="J35" i="8" s="1"/>
  <c r="J42" i="8" s="1"/>
  <c r="J49" i="8" s="1"/>
  <c r="J32" i="8"/>
  <c r="J39" i="8" s="1"/>
  <c r="J46" i="8" s="1"/>
  <c r="J30" i="8"/>
  <c r="J37" i="8" s="1"/>
  <c r="J44" i="8" s="1"/>
  <c r="J51" i="8" s="1"/>
  <c r="D79" i="2"/>
  <c r="F29" i="2"/>
  <c r="F85" i="2"/>
  <c r="C15" i="5"/>
  <c r="B28" i="9"/>
  <c r="D11" i="7"/>
  <c r="D13" i="7" s="1"/>
  <c r="C122" i="2"/>
  <c r="E113" i="2"/>
  <c r="E117" i="2" s="1"/>
  <c r="E118" i="2" s="1"/>
  <c r="E70" i="2"/>
  <c r="H95" i="2"/>
  <c r="H63" i="2"/>
  <c r="D109" i="2"/>
  <c r="D110" i="2" s="1"/>
  <c r="D120" i="2" s="1"/>
  <c r="J16" i="2"/>
  <c r="I61" i="2"/>
  <c r="G76" i="2"/>
  <c r="G11" i="5" s="1"/>
  <c r="G107" i="2"/>
  <c r="G20" i="9"/>
  <c r="F90" i="2" l="1"/>
  <c r="H115" i="2"/>
  <c r="F101" i="2"/>
  <c r="F16" i="4" s="1"/>
  <c r="F20" i="4" s="1"/>
  <c r="F22" i="5" s="1"/>
  <c r="E109" i="2"/>
  <c r="E110" i="2" s="1"/>
  <c r="E120" i="2" s="1"/>
  <c r="I49" i="8"/>
  <c r="J53" i="8"/>
  <c r="J55" i="8" s="1"/>
  <c r="H12" i="4" s="1"/>
  <c r="H14" i="4" s="1"/>
  <c r="G114" i="2"/>
  <c r="I55" i="8"/>
  <c r="G12" i="4" s="1"/>
  <c r="G14" i="4" s="1"/>
  <c r="E9" i="5"/>
  <c r="E13" i="5" s="1"/>
  <c r="E78" i="2"/>
  <c r="B9" i="13"/>
  <c r="C19" i="5"/>
  <c r="G77" i="2"/>
  <c r="G12" i="5" s="1"/>
  <c r="G116" i="2"/>
  <c r="H107" i="2"/>
  <c r="H76" i="2"/>
  <c r="H11" i="5" s="1"/>
  <c r="G108" i="2"/>
  <c r="F106" i="2"/>
  <c r="F75" i="2"/>
  <c r="F10" i="5" s="1"/>
  <c r="I39" i="2"/>
  <c r="I87" i="2"/>
  <c r="H27" i="2"/>
  <c r="I8" i="2"/>
  <c r="I15" i="2"/>
  <c r="H94" i="2"/>
  <c r="H56" i="2"/>
  <c r="H58" i="2" s="1"/>
  <c r="K10" i="2"/>
  <c r="J37" i="2"/>
  <c r="F105" i="2"/>
  <c r="F74" i="2"/>
  <c r="F46" i="2"/>
  <c r="F79" i="2" s="1"/>
  <c r="E17" i="5"/>
  <c r="D10" i="13" s="1"/>
  <c r="E16" i="4"/>
  <c r="E20" i="4" s="1"/>
  <c r="E22" i="5" s="1"/>
  <c r="D122" i="2"/>
  <c r="D15" i="5"/>
  <c r="E11" i="7"/>
  <c r="E13" i="7" s="1"/>
  <c r="K16" i="2"/>
  <c r="J61" i="2"/>
  <c r="K32" i="8"/>
  <c r="K28" i="8"/>
  <c r="K30" i="8"/>
  <c r="H68" i="2"/>
  <c r="H96" i="2"/>
  <c r="J17" i="2"/>
  <c r="I66" i="2"/>
  <c r="J11" i="2"/>
  <c r="I42" i="2"/>
  <c r="X16" i="2"/>
  <c r="J89" i="2"/>
  <c r="Y8" i="2"/>
  <c r="F70" i="2"/>
  <c r="F113" i="2"/>
  <c r="F117" i="2" s="1"/>
  <c r="F118" i="2" s="1"/>
  <c r="G29" i="2"/>
  <c r="G85" i="2"/>
  <c r="Y14" i="2"/>
  <c r="J97" i="2"/>
  <c r="H9" i="2"/>
  <c r="G86" i="2"/>
  <c r="G32" i="2"/>
  <c r="G34" i="2" s="1"/>
  <c r="H44" i="2"/>
  <c r="H88" i="2"/>
  <c r="I95" i="2"/>
  <c r="I63" i="2"/>
  <c r="G93" i="2"/>
  <c r="G98" i="2" s="1"/>
  <c r="G53" i="2"/>
  <c r="H51" i="2"/>
  <c r="I14" i="2"/>
  <c r="C8" i="12"/>
  <c r="I8" i="12"/>
  <c r="C16" i="12"/>
  <c r="J8" i="12"/>
  <c r="E8" i="12"/>
  <c r="E35" i="9"/>
  <c r="K8" i="12"/>
  <c r="G16" i="12"/>
  <c r="G8" i="12"/>
  <c r="D35" i="9"/>
  <c r="H16" i="12"/>
  <c r="G26" i="13" s="1"/>
  <c r="I16" i="12"/>
  <c r="H26" i="13" s="1"/>
  <c r="K16" i="12"/>
  <c r="L8" i="12"/>
  <c r="B8" i="12"/>
  <c r="B13" i="12" s="1"/>
  <c r="F16" i="12"/>
  <c r="B35" i="9"/>
  <c r="C35" i="9"/>
  <c r="B16" i="12"/>
  <c r="B18" i="12" s="1"/>
  <c r="B28" i="12" s="1"/>
  <c r="D8" i="12"/>
  <c r="E16" i="12"/>
  <c r="B30" i="9"/>
  <c r="G32" i="9" s="1"/>
  <c r="H31" i="4" s="1"/>
  <c r="F8" i="12"/>
  <c r="D16" i="12"/>
  <c r="H8" i="12"/>
  <c r="L16" i="12"/>
  <c r="J16" i="12"/>
  <c r="F35" i="9"/>
  <c r="E79" i="2"/>
  <c r="G23" i="9"/>
  <c r="J26" i="13" l="1"/>
  <c r="F17" i="5"/>
  <c r="E10" i="13" s="1"/>
  <c r="F109" i="2"/>
  <c r="F110" i="2" s="1"/>
  <c r="F120" i="2" s="1"/>
  <c r="H114" i="2"/>
  <c r="K97" i="2"/>
  <c r="Z14" i="2"/>
  <c r="L97" i="2" s="1"/>
  <c r="K89" i="2"/>
  <c r="Z8" i="2"/>
  <c r="Y16" i="2"/>
  <c r="J15" i="2"/>
  <c r="I94" i="2"/>
  <c r="I56" i="2"/>
  <c r="I58" i="2" s="1"/>
  <c r="F26" i="13"/>
  <c r="G18" i="12"/>
  <c r="I9" i="2"/>
  <c r="H32" i="2"/>
  <c r="H34" i="2" s="1"/>
  <c r="H86" i="2"/>
  <c r="G74" i="2"/>
  <c r="G105" i="2"/>
  <c r="G46" i="2"/>
  <c r="I44" i="2"/>
  <c r="I88" i="2"/>
  <c r="K17" i="2"/>
  <c r="J66" i="2"/>
  <c r="G11" i="7"/>
  <c r="G13" i="7" s="1"/>
  <c r="F122" i="2"/>
  <c r="F15" i="5"/>
  <c r="J87" i="2"/>
  <c r="J39" i="2"/>
  <c r="L30" i="8"/>
  <c r="L37" i="8" s="1"/>
  <c r="L44" i="8" s="1"/>
  <c r="L28" i="8"/>
  <c r="L32" i="8"/>
  <c r="H116" i="2"/>
  <c r="K37" i="8"/>
  <c r="K44" i="8" s="1"/>
  <c r="K51" i="8" s="1"/>
  <c r="H85" i="2"/>
  <c r="H29" i="2"/>
  <c r="I51" i="2"/>
  <c r="J14" i="2"/>
  <c r="G70" i="2"/>
  <c r="G113" i="2"/>
  <c r="G117" i="2" s="1"/>
  <c r="G118" i="2" s="1"/>
  <c r="K39" i="8"/>
  <c r="K46" i="8" s="1"/>
  <c r="K53" i="8" s="1"/>
  <c r="G90" i="2"/>
  <c r="G101" i="2" s="1"/>
  <c r="B26" i="13"/>
  <c r="C18" i="12"/>
  <c r="E122" i="2"/>
  <c r="E15" i="5"/>
  <c r="F11" i="7"/>
  <c r="F13" i="7" s="1"/>
  <c r="H93" i="2"/>
  <c r="H98" i="2" s="1"/>
  <c r="H53" i="2"/>
  <c r="J63" i="2"/>
  <c r="J95" i="2"/>
  <c r="E26" i="13"/>
  <c r="F18" i="12"/>
  <c r="J8" i="2"/>
  <c r="I27" i="2"/>
  <c r="I96" i="2"/>
  <c r="I68" i="2"/>
  <c r="K35" i="8"/>
  <c r="K42" i="8" s="1"/>
  <c r="D18" i="12"/>
  <c r="C26" i="13"/>
  <c r="I115" i="2"/>
  <c r="L16" i="2"/>
  <c r="L61" i="2" s="1"/>
  <c r="K61" i="2"/>
  <c r="I26" i="13"/>
  <c r="K37" i="2"/>
  <c r="L10" i="2"/>
  <c r="L37" i="2" s="1"/>
  <c r="I107" i="2"/>
  <c r="I76" i="2"/>
  <c r="I11" i="5" s="1"/>
  <c r="K26" i="13"/>
  <c r="E32" i="9"/>
  <c r="F31" i="4" s="1"/>
  <c r="B32" i="9"/>
  <c r="C31" i="4" s="1"/>
  <c r="F32" i="9"/>
  <c r="G31" i="4" s="1"/>
  <c r="C32" i="9"/>
  <c r="D31" i="4" s="1"/>
  <c r="D32" i="9"/>
  <c r="E31" i="4" s="1"/>
  <c r="D26" i="13"/>
  <c r="E18" i="12"/>
  <c r="H108" i="2"/>
  <c r="H77" i="2"/>
  <c r="H12" i="5" s="1"/>
  <c r="D19" i="5"/>
  <c r="C9" i="13"/>
  <c r="F9" i="5"/>
  <c r="F13" i="5" s="1"/>
  <c r="F78" i="2"/>
  <c r="J42" i="2"/>
  <c r="K11" i="2"/>
  <c r="G106" i="2"/>
  <c r="G75" i="2"/>
  <c r="G10" i="5" s="1"/>
  <c r="I16" i="7"/>
  <c r="G11" i="13"/>
  <c r="H33" i="4"/>
  <c r="H23" i="5" s="1"/>
  <c r="G28" i="13"/>
  <c r="H45" i="5"/>
  <c r="G25" i="9"/>
  <c r="G79" i="2" l="1"/>
  <c r="H11" i="7" s="1"/>
  <c r="H13" i="7" s="1"/>
  <c r="I114" i="2"/>
  <c r="L51" i="8"/>
  <c r="G109" i="2"/>
  <c r="G110" i="2" s="1"/>
  <c r="G120" i="2" s="1"/>
  <c r="I29" i="2"/>
  <c r="I85" i="2"/>
  <c r="D33" i="4"/>
  <c r="D23" i="5" s="1"/>
  <c r="D26" i="5" s="1"/>
  <c r="E16" i="7"/>
  <c r="C11" i="13"/>
  <c r="H70" i="2"/>
  <c r="H113" i="2"/>
  <c r="H117" i="2" s="1"/>
  <c r="H118" i="2" s="1"/>
  <c r="L35" i="8"/>
  <c r="L42" i="8" s="1"/>
  <c r="K66" i="2"/>
  <c r="L17" i="2"/>
  <c r="L66" i="2" s="1"/>
  <c r="J27" i="2"/>
  <c r="K8" i="2"/>
  <c r="E9" i="13"/>
  <c r="F19" i="5"/>
  <c r="E19" i="5"/>
  <c r="D9" i="13"/>
  <c r="I108" i="2"/>
  <c r="I77" i="2"/>
  <c r="I12" i="5" s="1"/>
  <c r="J107" i="2"/>
  <c r="J76" i="2"/>
  <c r="J11" i="5" s="1"/>
  <c r="J44" i="2"/>
  <c r="J88" i="2"/>
  <c r="I116" i="2"/>
  <c r="J115" i="2"/>
  <c r="I86" i="2"/>
  <c r="I32" i="2"/>
  <c r="I34" i="2" s="1"/>
  <c r="J9" i="2"/>
  <c r="L87" i="2"/>
  <c r="L39" i="2"/>
  <c r="K87" i="2"/>
  <c r="K39" i="2"/>
  <c r="F33" i="4"/>
  <c r="F23" i="5" s="1"/>
  <c r="F26" i="5" s="1"/>
  <c r="E11" i="13"/>
  <c r="G16" i="7"/>
  <c r="H106" i="2"/>
  <c r="H75" i="2"/>
  <c r="H10" i="5" s="1"/>
  <c r="K14" i="2"/>
  <c r="J51" i="2"/>
  <c r="L95" i="2"/>
  <c r="L63" i="2"/>
  <c r="J94" i="2"/>
  <c r="J56" i="2"/>
  <c r="J58" i="2" s="1"/>
  <c r="K15" i="2"/>
  <c r="J96" i="2"/>
  <c r="J68" i="2"/>
  <c r="F11" i="13"/>
  <c r="H16" i="7"/>
  <c r="G33" i="4"/>
  <c r="G23" i="5" s="1"/>
  <c r="G9" i="5"/>
  <c r="G13" i="5" s="1"/>
  <c r="G78" i="2"/>
  <c r="H90" i="2"/>
  <c r="H101" i="2" s="1"/>
  <c r="M30" i="8"/>
  <c r="M32" i="8"/>
  <c r="M28" i="8"/>
  <c r="E33" i="4"/>
  <c r="E23" i="5" s="1"/>
  <c r="E26" i="5" s="1"/>
  <c r="D11" i="13"/>
  <c r="F16" i="7"/>
  <c r="L89" i="2"/>
  <c r="Z16" i="2"/>
  <c r="D16" i="7"/>
  <c r="C33" i="4"/>
  <c r="C23" i="5" s="1"/>
  <c r="C26" i="5" s="1"/>
  <c r="B11" i="13"/>
  <c r="G16" i="4"/>
  <c r="G20" i="4" s="1"/>
  <c r="G22" i="5" s="1"/>
  <c r="G17" i="5"/>
  <c r="F10" i="13" s="1"/>
  <c r="K63" i="2"/>
  <c r="K95" i="2"/>
  <c r="I53" i="2"/>
  <c r="I93" i="2"/>
  <c r="I98" i="2" s="1"/>
  <c r="H46" i="2"/>
  <c r="H105" i="2"/>
  <c r="H74" i="2"/>
  <c r="K42" i="2"/>
  <c r="L11" i="2"/>
  <c r="L42" i="2" s="1"/>
  <c r="K49" i="8"/>
  <c r="K55" i="8" s="1"/>
  <c r="I12" i="4" s="1"/>
  <c r="I14" i="4" s="1"/>
  <c r="L39" i="8"/>
  <c r="L46" i="8" s="1"/>
  <c r="H18" i="9"/>
  <c r="H17" i="12"/>
  <c r="H18" i="12" s="1"/>
  <c r="G35" i="9"/>
  <c r="G15" i="5" l="1"/>
  <c r="G19" i="5" s="1"/>
  <c r="G122" i="2"/>
  <c r="H109" i="2"/>
  <c r="H110" i="2" s="1"/>
  <c r="H79" i="2"/>
  <c r="I11" i="7" s="1"/>
  <c r="I13" i="7" s="1"/>
  <c r="C12" i="13"/>
  <c r="D12" i="13"/>
  <c r="K44" i="2"/>
  <c r="K88" i="2"/>
  <c r="J114" i="2"/>
  <c r="L88" i="2"/>
  <c r="L44" i="2"/>
  <c r="L115" i="2"/>
  <c r="L8" i="2"/>
  <c r="L27" i="2" s="1"/>
  <c r="K27" i="2"/>
  <c r="I70" i="2"/>
  <c r="I113" i="2"/>
  <c r="I117" i="2" s="1"/>
  <c r="I118" i="2" s="1"/>
  <c r="L49" i="8"/>
  <c r="H120" i="2"/>
  <c r="J108" i="2"/>
  <c r="J77" i="2"/>
  <c r="J12" i="5" s="1"/>
  <c r="J93" i="2"/>
  <c r="J98" i="2" s="1"/>
  <c r="J53" i="2"/>
  <c r="L53" i="8"/>
  <c r="H9" i="5"/>
  <c r="H13" i="5" s="1"/>
  <c r="H78" i="2"/>
  <c r="L15" i="2"/>
  <c r="K94" i="2"/>
  <c r="K56" i="2"/>
  <c r="K58" i="2" s="1"/>
  <c r="K68" i="2"/>
  <c r="K96" i="2"/>
  <c r="K115" i="2"/>
  <c r="E12" i="13"/>
  <c r="J116" i="2"/>
  <c r="K107" i="2"/>
  <c r="K76" i="2"/>
  <c r="K11" i="5" s="1"/>
  <c r="L76" i="2"/>
  <c r="L11" i="5" s="1"/>
  <c r="L107" i="2"/>
  <c r="N30" i="8"/>
  <c r="N37" i="8" s="1"/>
  <c r="N44" i="8" s="1"/>
  <c r="N51" i="8" s="1"/>
  <c r="N32" i="8"/>
  <c r="N39" i="8" s="1"/>
  <c r="N46" i="8" s="1"/>
  <c r="N53" i="8" s="1"/>
  <c r="N28" i="8"/>
  <c r="H17" i="5"/>
  <c r="H16" i="4"/>
  <c r="H20" i="4" s="1"/>
  <c r="H22" i="5" s="1"/>
  <c r="H26" i="5" s="1"/>
  <c r="G12" i="13" s="1"/>
  <c r="L68" i="2"/>
  <c r="L96" i="2"/>
  <c r="J85" i="2"/>
  <c r="J29" i="2"/>
  <c r="B12" i="13"/>
  <c r="C31" i="5"/>
  <c r="K51" i="2"/>
  <c r="L14" i="2"/>
  <c r="L51" i="2" s="1"/>
  <c r="G26" i="5"/>
  <c r="F12" i="13" s="1"/>
  <c r="M39" i="8"/>
  <c r="M46" i="8" s="1"/>
  <c r="M53" i="8" s="1"/>
  <c r="I90" i="2"/>
  <c r="I101" i="2" s="1"/>
  <c r="J86" i="2"/>
  <c r="K9" i="2"/>
  <c r="J32" i="2"/>
  <c r="J34" i="2" s="1"/>
  <c r="M35" i="8"/>
  <c r="M42" i="8" s="1"/>
  <c r="I75" i="2"/>
  <c r="I10" i="5" s="1"/>
  <c r="I106" i="2"/>
  <c r="M37" i="8"/>
  <c r="M44" i="8" s="1"/>
  <c r="M51" i="8" s="1"/>
  <c r="I46" i="2"/>
  <c r="I74" i="2"/>
  <c r="I105" i="2"/>
  <c r="H20" i="9"/>
  <c r="I109" i="2" l="1"/>
  <c r="I110" i="2" s="1"/>
  <c r="H15" i="5"/>
  <c r="G9" i="13" s="1"/>
  <c r="H122" i="2"/>
  <c r="F9" i="13"/>
  <c r="K114" i="2"/>
  <c r="I120" i="2"/>
  <c r="L55" i="8"/>
  <c r="J12" i="4" s="1"/>
  <c r="J14" i="4" s="1"/>
  <c r="M49" i="8"/>
  <c r="I79" i="2"/>
  <c r="I15" i="5" s="1"/>
  <c r="K116" i="2"/>
  <c r="L116" i="2"/>
  <c r="J70" i="2"/>
  <c r="J113" i="2"/>
  <c r="J117" i="2" s="1"/>
  <c r="J118" i="2" s="1"/>
  <c r="L53" i="2"/>
  <c r="L93" i="2"/>
  <c r="J90" i="2"/>
  <c r="J101" i="2" s="1"/>
  <c r="C40" i="10"/>
  <c r="C32" i="5"/>
  <c r="C26" i="10"/>
  <c r="K93" i="2"/>
  <c r="K98" i="2" s="1"/>
  <c r="K53" i="2"/>
  <c r="L56" i="2"/>
  <c r="L58" i="2" s="1"/>
  <c r="L94" i="2"/>
  <c r="I78" i="2"/>
  <c r="I9" i="5"/>
  <c r="I13" i="5" s="1"/>
  <c r="L85" i="2"/>
  <c r="L29" i="2"/>
  <c r="I17" i="5"/>
  <c r="H10" i="13" s="1"/>
  <c r="I16" i="4"/>
  <c r="I20" i="4" s="1"/>
  <c r="I22" i="5" s="1"/>
  <c r="N35" i="8"/>
  <c r="N42" i="8" s="1"/>
  <c r="N49" i="8" s="1"/>
  <c r="N55" i="8" s="1"/>
  <c r="L12" i="4" s="1"/>
  <c r="L14" i="4" s="1"/>
  <c r="K29" i="2"/>
  <c r="K85" i="2"/>
  <c r="L77" i="2"/>
  <c r="L12" i="5" s="1"/>
  <c r="L108" i="2"/>
  <c r="L9" i="2"/>
  <c r="K86" i="2"/>
  <c r="K32" i="2"/>
  <c r="K34" i="2" s="1"/>
  <c r="H19" i="5"/>
  <c r="G10" i="13"/>
  <c r="M55" i="8"/>
  <c r="K12" i="4" s="1"/>
  <c r="K14" i="4" s="1"/>
  <c r="J46" i="2"/>
  <c r="J74" i="2"/>
  <c r="J105" i="2"/>
  <c r="J75" i="2"/>
  <c r="J10" i="5" s="1"/>
  <c r="J106" i="2"/>
  <c r="K77" i="2"/>
  <c r="K12" i="5" s="1"/>
  <c r="K108" i="2"/>
  <c r="H23" i="9"/>
  <c r="H32" i="9"/>
  <c r="I31" i="4" s="1"/>
  <c r="J11" i="7" l="1"/>
  <c r="J13" i="7" s="1"/>
  <c r="L98" i="2"/>
  <c r="K90" i="2"/>
  <c r="K101" i="2" s="1"/>
  <c r="K16" i="4" s="1"/>
  <c r="K20" i="4" s="1"/>
  <c r="K22" i="5" s="1"/>
  <c r="J79" i="2"/>
  <c r="J15" i="5" s="1"/>
  <c r="I122" i="2"/>
  <c r="L114" i="2"/>
  <c r="L86" i="2"/>
  <c r="L90" i="2" s="1"/>
  <c r="L32" i="2"/>
  <c r="L34" i="2" s="1"/>
  <c r="L105" i="2"/>
  <c r="L74" i="2"/>
  <c r="H9" i="13"/>
  <c r="I19" i="5"/>
  <c r="B30" i="13"/>
  <c r="B32" i="13" s="1"/>
  <c r="D37" i="7"/>
  <c r="B10" i="11"/>
  <c r="K113" i="2"/>
  <c r="K117" i="2" s="1"/>
  <c r="K118" i="2" s="1"/>
  <c r="K70" i="2"/>
  <c r="J109" i="2"/>
  <c r="J110" i="2" s="1"/>
  <c r="J120" i="2" s="1"/>
  <c r="C15" i="10"/>
  <c r="C25" i="12" s="1"/>
  <c r="J78" i="2"/>
  <c r="J9" i="5"/>
  <c r="J13" i="5" s="1"/>
  <c r="H45" i="10"/>
  <c r="H51" i="10" s="1"/>
  <c r="C11" i="10"/>
  <c r="C52" i="10"/>
  <c r="K74" i="2"/>
  <c r="K46" i="2"/>
  <c r="K105" i="2"/>
  <c r="K106" i="2"/>
  <c r="K75" i="2"/>
  <c r="K10" i="5" s="1"/>
  <c r="C8" i="10"/>
  <c r="C33" i="5"/>
  <c r="H31" i="10"/>
  <c r="H37" i="10" s="1"/>
  <c r="H9" i="10" s="1"/>
  <c r="H49" i="5" s="1"/>
  <c r="C38" i="10"/>
  <c r="J16" i="4"/>
  <c r="J20" i="4" s="1"/>
  <c r="J22" i="5" s="1"/>
  <c r="J17" i="5"/>
  <c r="I10" i="13" s="1"/>
  <c r="L113" i="2"/>
  <c r="L70" i="2"/>
  <c r="I45" i="5"/>
  <c r="H28" i="13"/>
  <c r="H25" i="9"/>
  <c r="J16" i="7"/>
  <c r="I33" i="4"/>
  <c r="I23" i="5" s="1"/>
  <c r="H11" i="13"/>
  <c r="J122" i="2" l="1"/>
  <c r="K11" i="7"/>
  <c r="K13" i="7" s="1"/>
  <c r="L101" i="2"/>
  <c r="L16" i="4" s="1"/>
  <c r="L20" i="4" s="1"/>
  <c r="L22" i="5" s="1"/>
  <c r="M22" i="5" s="1"/>
  <c r="K17" i="5"/>
  <c r="J10" i="13" s="1"/>
  <c r="K79" i="2"/>
  <c r="L117" i="2"/>
  <c r="L118" i="2" s="1"/>
  <c r="K109" i="2"/>
  <c r="K110" i="2" s="1"/>
  <c r="K120" i="2" s="1"/>
  <c r="K15" i="5"/>
  <c r="L11" i="7"/>
  <c r="L13" i="7" s="1"/>
  <c r="K122" i="2"/>
  <c r="H12" i="10"/>
  <c r="G14" i="11"/>
  <c r="H35" i="5"/>
  <c r="G29" i="13" s="1"/>
  <c r="C34" i="5"/>
  <c r="C13" i="10"/>
  <c r="L9" i="5"/>
  <c r="L46" i="2"/>
  <c r="L79" i="2" s="1"/>
  <c r="L75" i="2"/>
  <c r="L10" i="5" s="1"/>
  <c r="L106" i="2"/>
  <c r="L109" i="2" s="1"/>
  <c r="L110" i="2" s="1"/>
  <c r="I9" i="13"/>
  <c r="J19" i="5"/>
  <c r="C36" i="5"/>
  <c r="C37" i="5" s="1"/>
  <c r="B13" i="11"/>
  <c r="B19" i="11" s="1"/>
  <c r="B21" i="11" s="1"/>
  <c r="B23" i="11" s="1"/>
  <c r="B25" i="11" s="1"/>
  <c r="K9" i="5"/>
  <c r="K13" i="5" s="1"/>
  <c r="K78" i="2"/>
  <c r="G15" i="11"/>
  <c r="D29" i="5"/>
  <c r="C10" i="10"/>
  <c r="I26" i="5"/>
  <c r="I17" i="12"/>
  <c r="I18" i="12" s="1"/>
  <c r="I18" i="9"/>
  <c r="H35" i="9"/>
  <c r="L17" i="5" l="1"/>
  <c r="K10" i="13" s="1"/>
  <c r="L120" i="2"/>
  <c r="C12" i="12"/>
  <c r="C24" i="12"/>
  <c r="L15" i="5"/>
  <c r="L122" i="2"/>
  <c r="M11" i="7"/>
  <c r="M13" i="7" s="1"/>
  <c r="B25" i="7" s="1"/>
  <c r="L13" i="5"/>
  <c r="C23" i="12"/>
  <c r="C26" i="12" s="1"/>
  <c r="C28" i="12" s="1"/>
  <c r="C17" i="10"/>
  <c r="C11" i="11"/>
  <c r="D31" i="5"/>
  <c r="C39" i="5"/>
  <c r="C43" i="5" s="1"/>
  <c r="C42" i="4"/>
  <c r="D30" i="7"/>
  <c r="L78" i="2"/>
  <c r="J9" i="13"/>
  <c r="K19" i="5"/>
  <c r="M15" i="5"/>
  <c r="I20" i="9"/>
  <c r="H12" i="13"/>
  <c r="M17" i="5" l="1"/>
  <c r="B14" i="13"/>
  <c r="B16" i="13" s="1"/>
  <c r="B34" i="13" s="1"/>
  <c r="C28" i="5"/>
  <c r="C44" i="4"/>
  <c r="K9" i="13"/>
  <c r="L19" i="5"/>
  <c r="M19" i="5" s="1"/>
  <c r="D26" i="10"/>
  <c r="D40" i="10"/>
  <c r="D32" i="5"/>
  <c r="C47" i="5"/>
  <c r="C51" i="5"/>
  <c r="I23" i="9"/>
  <c r="I32" i="9"/>
  <c r="J31" i="4" s="1"/>
  <c r="B38" i="13"/>
  <c r="C36" i="13" l="1"/>
  <c r="C10" i="11"/>
  <c r="C30" i="13"/>
  <c r="C32" i="13" s="1"/>
  <c r="E37" i="7"/>
  <c r="D11" i="10"/>
  <c r="I45" i="10"/>
  <c r="I51" i="10" s="1"/>
  <c r="D52" i="10"/>
  <c r="D15" i="7"/>
  <c r="D18" i="7" s="1"/>
  <c r="E15" i="7"/>
  <c r="E18" i="7" s="1"/>
  <c r="C52" i="5"/>
  <c r="C9" i="12" s="1"/>
  <c r="C13" i="12" s="1"/>
  <c r="B36" i="9"/>
  <c r="B37" i="9" s="1"/>
  <c r="D15" i="10"/>
  <c r="D25" i="12" s="1"/>
  <c r="I31" i="10"/>
  <c r="I37" i="10" s="1"/>
  <c r="I9" i="10" s="1"/>
  <c r="I49" i="5" s="1"/>
  <c r="D8" i="10"/>
  <c r="D33" i="5"/>
  <c r="C13" i="11" s="1"/>
  <c r="D38" i="10"/>
  <c r="K16" i="7"/>
  <c r="J33" i="4"/>
  <c r="J23" i="5" s="1"/>
  <c r="I11" i="13"/>
  <c r="I28" i="13"/>
  <c r="J45" i="5"/>
  <c r="I25" i="9"/>
  <c r="C19" i="11" l="1"/>
  <c r="C21" i="11" s="1"/>
  <c r="C23" i="11" s="1"/>
  <c r="D36" i="5"/>
  <c r="D10" i="10"/>
  <c r="E29" i="5"/>
  <c r="E22" i="7"/>
  <c r="E24" i="7" s="1"/>
  <c r="E20" i="7"/>
  <c r="E23" i="7" s="1"/>
  <c r="D34" i="5"/>
  <c r="D13" i="10"/>
  <c r="H15" i="11"/>
  <c r="D20" i="7"/>
  <c r="D23" i="7" s="1"/>
  <c r="D22" i="7"/>
  <c r="D24" i="7" s="1"/>
  <c r="I35" i="5"/>
  <c r="H29" i="13" s="1"/>
  <c r="I12" i="10"/>
  <c r="H14" i="11"/>
  <c r="J26" i="5"/>
  <c r="J17" i="12"/>
  <c r="J18" i="12" s="1"/>
  <c r="J18" i="9"/>
  <c r="I35" i="9"/>
  <c r="D37" i="5" l="1"/>
  <c r="D39" i="5" s="1"/>
  <c r="D43" i="5" s="1"/>
  <c r="D47" i="5" s="1"/>
  <c r="C29" i="11"/>
  <c r="C25" i="11"/>
  <c r="E31" i="5"/>
  <c r="D11" i="11"/>
  <c r="D24" i="12"/>
  <c r="D12" i="12"/>
  <c r="D23" i="12"/>
  <c r="D17" i="10"/>
  <c r="J20" i="9"/>
  <c r="I12" i="13"/>
  <c r="D51" i="5" l="1"/>
  <c r="C36" i="9" s="1"/>
  <c r="C37" i="9" s="1"/>
  <c r="D26" i="12"/>
  <c r="D28" i="12" s="1"/>
  <c r="D42" i="4"/>
  <c r="E30" i="7"/>
  <c r="E26" i="10"/>
  <c r="E32" i="5"/>
  <c r="E40" i="10"/>
  <c r="J23" i="9"/>
  <c r="J32" i="9"/>
  <c r="K31" i="4" s="1"/>
  <c r="D52" i="5" l="1"/>
  <c r="D9" i="12" s="1"/>
  <c r="D13" i="12" s="1"/>
  <c r="D44" i="4"/>
  <c r="F15" i="7" s="1"/>
  <c r="F18" i="7" s="1"/>
  <c r="C14" i="13"/>
  <c r="C16" i="13" s="1"/>
  <c r="C34" i="13" s="1"/>
  <c r="D28" i="5"/>
  <c r="D30" i="13"/>
  <c r="D32" i="13" s="1"/>
  <c r="F37" i="7"/>
  <c r="D10" i="11"/>
  <c r="E15" i="10"/>
  <c r="E25" i="12" s="1"/>
  <c r="J45" i="10"/>
  <c r="J51" i="10" s="1"/>
  <c r="E52" i="10"/>
  <c r="E11" i="10"/>
  <c r="E33" i="5"/>
  <c r="D13" i="11" s="1"/>
  <c r="J31" i="10"/>
  <c r="J37" i="10" s="1"/>
  <c r="J9" i="10" s="1"/>
  <c r="J49" i="5" s="1"/>
  <c r="I15" i="11" s="1"/>
  <c r="E38" i="10"/>
  <c r="E8" i="10"/>
  <c r="K33" i="4"/>
  <c r="K23" i="5" s="1"/>
  <c r="L16" i="7"/>
  <c r="J11" i="13"/>
  <c r="J28" i="13"/>
  <c r="K45" i="5"/>
  <c r="J25" i="9"/>
  <c r="C38" i="13"/>
  <c r="D36" i="13" l="1"/>
  <c r="D19" i="11"/>
  <c r="D21" i="11" s="1"/>
  <c r="D23" i="11" s="1"/>
  <c r="F20" i="7"/>
  <c r="F23" i="7" s="1"/>
  <c r="F22" i="7"/>
  <c r="F24" i="7" s="1"/>
  <c r="F29" i="5"/>
  <c r="E10" i="10"/>
  <c r="E34" i="5"/>
  <c r="E13" i="10"/>
  <c r="I14" i="11"/>
  <c r="J12" i="10"/>
  <c r="J35" i="5"/>
  <c r="I29" i="13" s="1"/>
  <c r="E36" i="5"/>
  <c r="K17" i="12"/>
  <c r="K18" i="12" s="1"/>
  <c r="K18" i="9"/>
  <c r="J35" i="9"/>
  <c r="K26" i="5"/>
  <c r="E37" i="5" l="1"/>
  <c r="E39" i="5" s="1"/>
  <c r="E43" i="5" s="1"/>
  <c r="D29" i="11"/>
  <c r="D25" i="11"/>
  <c r="E23" i="12"/>
  <c r="E17" i="10"/>
  <c r="E24" i="12"/>
  <c r="E12" i="12"/>
  <c r="E11" i="11"/>
  <c r="F31" i="5"/>
  <c r="J12" i="13"/>
  <c r="K20" i="9"/>
  <c r="E51" i="5" l="1"/>
  <c r="E47" i="5"/>
  <c r="E26" i="12"/>
  <c r="E28" i="12" s="1"/>
  <c r="F32" i="5"/>
  <c r="F40" i="10"/>
  <c r="F26" i="10"/>
  <c r="F30" i="7"/>
  <c r="E42" i="4"/>
  <c r="K23" i="9"/>
  <c r="K32" i="9"/>
  <c r="L31" i="4" s="1"/>
  <c r="D36" i="9"/>
  <c r="D37" i="9" s="1"/>
  <c r="E52" i="5"/>
  <c r="F15" i="10" l="1"/>
  <c r="F25" i="12" s="1"/>
  <c r="E44" i="4"/>
  <c r="G15" i="7" s="1"/>
  <c r="G18" i="7" s="1"/>
  <c r="E28" i="5"/>
  <c r="D14" i="13"/>
  <c r="D16" i="13" s="1"/>
  <c r="D34" i="13" s="1"/>
  <c r="F52" i="10"/>
  <c r="K45" i="10"/>
  <c r="K51" i="10" s="1"/>
  <c r="F11" i="10"/>
  <c r="F8" i="10"/>
  <c r="F33" i="5"/>
  <c r="E13" i="11" s="1"/>
  <c r="F38" i="10"/>
  <c r="K31" i="10"/>
  <c r="K37" i="10" s="1"/>
  <c r="K9" i="10" s="1"/>
  <c r="K49" i="5" s="1"/>
  <c r="J15" i="11" s="1"/>
  <c r="E30" i="13"/>
  <c r="E32" i="13" s="1"/>
  <c r="E10" i="11"/>
  <c r="G37" i="7"/>
  <c r="M16" i="7"/>
  <c r="K11" i="13"/>
  <c r="L33" i="4"/>
  <c r="L23" i="5" s="1"/>
  <c r="K28" i="13"/>
  <c r="L45" i="5"/>
  <c r="M45" i="5" s="1"/>
  <c r="K25" i="9"/>
  <c r="E9" i="12"/>
  <c r="E13" i="12" s="1"/>
  <c r="D38" i="13"/>
  <c r="E36" i="13" l="1"/>
  <c r="F36" i="5"/>
  <c r="F37" i="5" s="1"/>
  <c r="F13" i="10"/>
  <c r="F34" i="5"/>
  <c r="E19" i="11"/>
  <c r="E21" i="11" s="1"/>
  <c r="E23" i="11" s="1"/>
  <c r="K35" i="5"/>
  <c r="J29" i="13" s="1"/>
  <c r="J14" i="11"/>
  <c r="K12" i="10"/>
  <c r="F10" i="10"/>
  <c r="G29" i="5"/>
  <c r="G20" i="7"/>
  <c r="G23" i="7" s="1"/>
  <c r="G22" i="7"/>
  <c r="G24" i="7" s="1"/>
  <c r="L26" i="5"/>
  <c r="M23" i="5"/>
  <c r="L17" i="12"/>
  <c r="L18" i="12" s="1"/>
  <c r="K35" i="9"/>
  <c r="G31" i="5" l="1"/>
  <c r="F11" i="11"/>
  <c r="E25" i="11"/>
  <c r="E29" i="11"/>
  <c r="G30" i="7"/>
  <c r="F42" i="4"/>
  <c r="F17" i="10"/>
  <c r="F23" i="12"/>
  <c r="F12" i="12"/>
  <c r="F24" i="12"/>
  <c r="F39" i="5"/>
  <c r="F43" i="5" s="1"/>
  <c r="K12" i="13"/>
  <c r="M26" i="5"/>
  <c r="E14" i="13" l="1"/>
  <c r="E16" i="13" s="1"/>
  <c r="E34" i="13" s="1"/>
  <c r="F44" i="4"/>
  <c r="H15" i="7" s="1"/>
  <c r="H18" i="7" s="1"/>
  <c r="F28" i="5"/>
  <c r="F51" i="5"/>
  <c r="F47" i="5"/>
  <c r="F26" i="12"/>
  <c r="F28" i="12" s="1"/>
  <c r="G26" i="10"/>
  <c r="G32" i="5"/>
  <c r="G40" i="10"/>
  <c r="E38" i="13"/>
  <c r="F36" i="13" l="1"/>
  <c r="G11" i="10"/>
  <c r="L45" i="10"/>
  <c r="L51" i="10" s="1"/>
  <c r="G52" i="10"/>
  <c r="F10" i="11"/>
  <c r="H37" i="7"/>
  <c r="F30" i="13"/>
  <c r="F32" i="13" s="1"/>
  <c r="F52" i="5"/>
  <c r="F9" i="12" s="1"/>
  <c r="F13" i="12" s="1"/>
  <c r="E36" i="9"/>
  <c r="E37" i="9" s="1"/>
  <c r="G15" i="10"/>
  <c r="G25" i="12" s="1"/>
  <c r="H22" i="7"/>
  <c r="H24" i="7" s="1"/>
  <c r="H20" i="7"/>
  <c r="H23" i="7" s="1"/>
  <c r="G33" i="5"/>
  <c r="F13" i="11" s="1"/>
  <c r="L31" i="10"/>
  <c r="L37" i="10" s="1"/>
  <c r="L9" i="10" s="1"/>
  <c r="L49" i="5" s="1"/>
  <c r="G38" i="10"/>
  <c r="G8" i="10"/>
  <c r="F19" i="11" l="1"/>
  <c r="F21" i="11" s="1"/>
  <c r="F23" i="11" s="1"/>
  <c r="M49" i="5"/>
  <c r="K15" i="11"/>
  <c r="M15" i="11" s="1"/>
  <c r="F29" i="11"/>
  <c r="F25" i="11"/>
  <c r="G10" i="10"/>
  <c r="H29" i="5"/>
  <c r="G36" i="5"/>
  <c r="K14" i="11"/>
  <c r="L35" i="5"/>
  <c r="M35" i="5" s="1"/>
  <c r="L12" i="10"/>
  <c r="G34" i="5"/>
  <c r="G13" i="10"/>
  <c r="G24" i="12" l="1"/>
  <c r="G12" i="12"/>
  <c r="G17" i="10"/>
  <c r="G23" i="12"/>
  <c r="G26" i="12" s="1"/>
  <c r="G28" i="12" s="1"/>
  <c r="G37" i="5"/>
  <c r="G11" i="11"/>
  <c r="H31" i="5"/>
  <c r="K29" i="13"/>
  <c r="H26" i="10" l="1"/>
  <c r="H32" i="5"/>
  <c r="H40" i="10"/>
  <c r="H30" i="7"/>
  <c r="G42" i="4"/>
  <c r="G39" i="5"/>
  <c r="G43" i="5" s="1"/>
  <c r="H15" i="10" l="1"/>
  <c r="H25" i="12" s="1"/>
  <c r="G28" i="5"/>
  <c r="F14" i="13"/>
  <c r="F16" i="13" s="1"/>
  <c r="F34" i="13" s="1"/>
  <c r="G44" i="4"/>
  <c r="I15" i="7" s="1"/>
  <c r="I18" i="7" s="1"/>
  <c r="G30" i="13"/>
  <c r="G32" i="13" s="1"/>
  <c r="G10" i="11"/>
  <c r="I37" i="7"/>
  <c r="G47" i="5"/>
  <c r="G51" i="5"/>
  <c r="H11" i="10"/>
  <c r="H52" i="10"/>
  <c r="H8" i="10"/>
  <c r="H33" i="5"/>
  <c r="G13" i="11" s="1"/>
  <c r="H38" i="10"/>
  <c r="F38" i="13"/>
  <c r="G36" i="13" l="1"/>
  <c r="G19" i="11"/>
  <c r="G21" i="11" s="1"/>
  <c r="G23" i="11" s="1"/>
  <c r="G25" i="11" s="1"/>
  <c r="H36" i="5"/>
  <c r="H37" i="5" s="1"/>
  <c r="H42" i="4" s="1"/>
  <c r="H28" i="5" s="1"/>
  <c r="F36" i="9"/>
  <c r="F37" i="9" s="1"/>
  <c r="G52" i="5"/>
  <c r="G9" i="12" s="1"/>
  <c r="G13" i="12" s="1"/>
  <c r="H10" i="10"/>
  <c r="I29" i="5"/>
  <c r="H13" i="10"/>
  <c r="H34" i="5"/>
  <c r="I20" i="7"/>
  <c r="I23" i="7" s="1"/>
  <c r="I22" i="7"/>
  <c r="I24" i="7" s="1"/>
  <c r="G14" i="13" l="1"/>
  <c r="G16" i="13" s="1"/>
  <c r="G34" i="13" s="1"/>
  <c r="H44" i="4"/>
  <c r="J15" i="7" s="1"/>
  <c r="J18" i="7" s="1"/>
  <c r="J22" i="7" s="1"/>
  <c r="J24" i="7" s="1"/>
  <c r="I30" i="7"/>
  <c r="G29" i="11"/>
  <c r="H39" i="5"/>
  <c r="H43" i="5" s="1"/>
  <c r="I31" i="5"/>
  <c r="H11" i="11"/>
  <c r="H12" i="12"/>
  <c r="H24" i="12"/>
  <c r="H17" i="10"/>
  <c r="H23" i="12"/>
  <c r="G38" i="13"/>
  <c r="H36" i="13" l="1"/>
  <c r="J20" i="7"/>
  <c r="J23" i="7" s="1"/>
  <c r="H47" i="5"/>
  <c r="H51" i="5"/>
  <c r="H26" i="12"/>
  <c r="H28" i="12" s="1"/>
  <c r="I32" i="5"/>
  <c r="I40" i="10"/>
  <c r="I26" i="10"/>
  <c r="H52" i="5" l="1"/>
  <c r="H9" i="12" s="1"/>
  <c r="H13" i="12" s="1"/>
  <c r="G36" i="9"/>
  <c r="G37" i="9" s="1"/>
  <c r="I8" i="10"/>
  <c r="I38" i="10"/>
  <c r="I33" i="5"/>
  <c r="I15" i="10"/>
  <c r="I25" i="12" s="1"/>
  <c r="I11" i="10"/>
  <c r="I52" i="10"/>
  <c r="J37" i="7"/>
  <c r="H10" i="11"/>
  <c r="H30" i="13"/>
  <c r="H32" i="13" s="1"/>
  <c r="I13" i="10" l="1"/>
  <c r="I34" i="5"/>
  <c r="I36" i="5"/>
  <c r="I37" i="5" s="1"/>
  <c r="H13" i="11"/>
  <c r="H19" i="11" s="1"/>
  <c r="H21" i="11" s="1"/>
  <c r="H23" i="11" s="1"/>
  <c r="I10" i="10"/>
  <c r="J29" i="5"/>
  <c r="H29" i="11" l="1"/>
  <c r="H25" i="11"/>
  <c r="J31" i="5"/>
  <c r="I11" i="11"/>
  <c r="I23" i="12"/>
  <c r="I17" i="10"/>
  <c r="I39" i="5"/>
  <c r="I43" i="5" s="1"/>
  <c r="J30" i="7"/>
  <c r="I42" i="4"/>
  <c r="I24" i="12"/>
  <c r="I12" i="12"/>
  <c r="I47" i="5" l="1"/>
  <c r="I51" i="5"/>
  <c r="H14" i="13"/>
  <c r="H16" i="13" s="1"/>
  <c r="H34" i="13" s="1"/>
  <c r="I44" i="4"/>
  <c r="K15" i="7" s="1"/>
  <c r="K18" i="7" s="1"/>
  <c r="I28" i="5"/>
  <c r="I26" i="12"/>
  <c r="I28" i="12" s="1"/>
  <c r="J26" i="10"/>
  <c r="J32" i="5"/>
  <c r="J40" i="10"/>
  <c r="H38" i="13"/>
  <c r="I36" i="13" l="1"/>
  <c r="J11" i="10"/>
  <c r="J52" i="10"/>
  <c r="K22" i="7"/>
  <c r="K24" i="7" s="1"/>
  <c r="K20" i="7"/>
  <c r="K23" i="7" s="1"/>
  <c r="I30" i="13"/>
  <c r="I32" i="13" s="1"/>
  <c r="I10" i="11"/>
  <c r="K37" i="7"/>
  <c r="H36" i="9"/>
  <c r="H37" i="9" s="1"/>
  <c r="I52" i="5"/>
  <c r="I9" i="12" s="1"/>
  <c r="I13" i="12" s="1"/>
  <c r="J15" i="10"/>
  <c r="J25" i="12" s="1"/>
  <c r="J8" i="10"/>
  <c r="J33" i="5"/>
  <c r="I13" i="11" s="1"/>
  <c r="J38" i="10"/>
  <c r="I19" i="11" l="1"/>
  <c r="I21" i="11" s="1"/>
  <c r="I23" i="11" s="1"/>
  <c r="I25" i="11" s="1"/>
  <c r="K29" i="5"/>
  <c r="J10" i="10"/>
  <c r="J36" i="5"/>
  <c r="J34" i="5"/>
  <c r="J13" i="10"/>
  <c r="I29" i="11" l="1"/>
  <c r="J23" i="12"/>
  <c r="J17" i="10"/>
  <c r="J24" i="12"/>
  <c r="J12" i="12"/>
  <c r="J37" i="5"/>
  <c r="J11" i="11"/>
  <c r="K31" i="5"/>
  <c r="K30" i="7" l="1"/>
  <c r="J42" i="4"/>
  <c r="K32" i="5"/>
  <c r="K40" i="10"/>
  <c r="K26" i="10"/>
  <c r="J39" i="5"/>
  <c r="J43" i="5" s="1"/>
  <c r="J26" i="12"/>
  <c r="J28" i="12" s="1"/>
  <c r="K15" i="10" l="1"/>
  <c r="K25" i="12" s="1"/>
  <c r="J47" i="5"/>
  <c r="J51" i="5"/>
  <c r="K11" i="10"/>
  <c r="K52" i="10"/>
  <c r="K8" i="10"/>
  <c r="K33" i="5"/>
  <c r="J13" i="11" s="1"/>
  <c r="K38" i="10"/>
  <c r="J44" i="4"/>
  <c r="L15" i="7" s="1"/>
  <c r="L18" i="7" s="1"/>
  <c r="J28" i="5"/>
  <c r="I14" i="13"/>
  <c r="I16" i="13" s="1"/>
  <c r="I34" i="13" s="1"/>
  <c r="J10" i="11"/>
  <c r="J30" i="13"/>
  <c r="J32" i="13" s="1"/>
  <c r="L37" i="7"/>
  <c r="I38" i="13"/>
  <c r="K36" i="5" l="1"/>
  <c r="K37" i="5" s="1"/>
  <c r="K42" i="4" s="1"/>
  <c r="K44" i="4" s="1"/>
  <c r="M15" i="7" s="1"/>
  <c r="M18" i="7" s="1"/>
  <c r="J36" i="13"/>
  <c r="L30" i="7"/>
  <c r="J19" i="11"/>
  <c r="J21" i="11" s="1"/>
  <c r="J23" i="11" s="1"/>
  <c r="I36" i="9"/>
  <c r="I37" i="9" s="1"/>
  <c r="J52" i="5"/>
  <c r="J9" i="12" s="1"/>
  <c r="J13" i="12" s="1"/>
  <c r="L20" i="7"/>
  <c r="L23" i="7" s="1"/>
  <c r="L22" i="7"/>
  <c r="L24" i="7" s="1"/>
  <c r="L29" i="5"/>
  <c r="K10" i="10"/>
  <c r="K13" i="10"/>
  <c r="K34" i="5"/>
  <c r="J14" i="13"/>
  <c r="J16" i="13" s="1"/>
  <c r="J34" i="13" s="1"/>
  <c r="J38" i="13" s="1"/>
  <c r="K28" i="5"/>
  <c r="K39" i="5" l="1"/>
  <c r="K43" i="5" s="1"/>
  <c r="K47" i="5" s="1"/>
  <c r="K11" i="11"/>
  <c r="L31" i="5"/>
  <c r="M29" i="5"/>
  <c r="K23" i="12"/>
  <c r="K17" i="10"/>
  <c r="J29" i="11"/>
  <c r="J25" i="11"/>
  <c r="K24" i="12"/>
  <c r="K12" i="12"/>
  <c r="K36" i="13"/>
  <c r="M20" i="7"/>
  <c r="M22" i="7"/>
  <c r="K51" i="5" l="1"/>
  <c r="J36" i="9" s="1"/>
  <c r="J37" i="9" s="1"/>
  <c r="K52" i="5"/>
  <c r="K9" i="12" s="1"/>
  <c r="K13" i="12" s="1"/>
  <c r="K26" i="12"/>
  <c r="K28" i="12" s="1"/>
  <c r="L32" i="5"/>
  <c r="L26" i="10"/>
  <c r="M31" i="5"/>
  <c r="L40" i="10"/>
  <c r="M24" i="7"/>
  <c r="B28" i="7"/>
  <c r="M23" i="7"/>
  <c r="B26" i="7"/>
  <c r="L15" i="10" l="1"/>
  <c r="L25" i="12" s="1"/>
  <c r="L8" i="10"/>
  <c r="L10" i="10" s="1"/>
  <c r="L23" i="12" s="1"/>
  <c r="L33" i="5"/>
  <c r="L38" i="10"/>
  <c r="L11" i="10"/>
  <c r="L52" i="10"/>
  <c r="K10" i="11"/>
  <c r="K30" i="13"/>
  <c r="K32" i="13" s="1"/>
  <c r="M37" i="7"/>
  <c r="B33" i="7" s="1"/>
  <c r="M32" i="5"/>
  <c r="L36" i="5"/>
  <c r="B27" i="7"/>
  <c r="B29" i="7"/>
  <c r="L37" i="5" l="1"/>
  <c r="M36" i="5"/>
  <c r="K13" i="11"/>
  <c r="K19" i="11" s="1"/>
  <c r="M33" i="5"/>
  <c r="L13" i="10"/>
  <c r="L34" i="5"/>
  <c r="M34" i="5" s="1"/>
  <c r="L17" i="10" l="1"/>
  <c r="M15" i="10" s="1"/>
  <c r="L24" i="12"/>
  <c r="L26" i="12" s="1"/>
  <c r="L28" i="12" s="1"/>
  <c r="L12" i="12"/>
  <c r="L42" i="4"/>
  <c r="L39" i="5"/>
  <c r="M37" i="5"/>
  <c r="M30" i="7"/>
  <c r="B32" i="7" s="1"/>
  <c r="K14" i="13" l="1"/>
  <c r="K16" i="13" s="1"/>
  <c r="K34" i="13" s="1"/>
  <c r="L44" i="4"/>
  <c r="L28" i="5"/>
  <c r="L43" i="5"/>
  <c r="M39" i="5"/>
  <c r="K38" i="13"/>
  <c r="O28" i="5" l="1"/>
  <c r="K17" i="11" s="1"/>
  <c r="K20" i="11" s="1"/>
  <c r="K21" i="11" s="1"/>
  <c r="M21" i="11" s="1"/>
  <c r="M28" i="5"/>
  <c r="L47" i="5"/>
  <c r="M47" i="5" s="1"/>
  <c r="L51" i="5"/>
  <c r="M43" i="5"/>
  <c r="K23" i="11" l="1"/>
  <c r="K25" i="11" s="1"/>
  <c r="B27" i="11" s="1"/>
  <c r="K36" i="9"/>
  <c r="K37" i="9" s="1"/>
  <c r="M36" i="9" s="1"/>
  <c r="B19" i="1" s="1"/>
  <c r="M51" i="5"/>
  <c r="L52" i="5"/>
  <c r="K29" i="11" l="1"/>
  <c r="B32" i="11" s="1"/>
  <c r="M23" i="11"/>
  <c r="M52" i="5"/>
  <c r="L9" i="12"/>
  <c r="L13" i="12" s="1"/>
  <c r="B3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Holcomb, Rodney</author>
  </authors>
  <commentList>
    <comment ref="B17" authorId="0" shapeId="0" xr:uid="{CD58A5B8-DF41-4F52-BD8C-5524EC5EF7AB}">
      <text>
        <r>
          <rPr>
            <sz val="9"/>
            <color indexed="81"/>
            <rFont val="Tahoma"/>
            <family val="2"/>
          </rPr>
          <t>Note: Working capital amount should probably be some percentage of in-shell pecan purchases.</t>
        </r>
      </text>
    </comment>
  </commentList>
</comments>
</file>

<file path=xl/sharedStrings.xml><?xml version="1.0" encoding="utf-8"?>
<sst xmlns="http://schemas.openxmlformats.org/spreadsheetml/2006/main" count="839" uniqueCount="476">
  <si>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</si>
  <si>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</si>
  <si>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</si>
  <si>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</si>
  <si>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</si>
  <si>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</si>
  <si>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</si>
  <si>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</si>
  <si>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</si>
  <si>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</si>
  <si>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Units</t>
  </si>
  <si>
    <t>Total Volume</t>
  </si>
  <si>
    <t>Year 0</t>
  </si>
  <si>
    <t>Total Investment</t>
  </si>
  <si>
    <t>Loan Amount</t>
  </si>
  <si>
    <t>Loan Term</t>
  </si>
  <si>
    <t>Long Term Interest Rate</t>
  </si>
  <si>
    <t>Percent Financed</t>
  </si>
  <si>
    <t>Working Capital</t>
  </si>
  <si>
    <t>Beginning Balance</t>
  </si>
  <si>
    <t>Interest Rate</t>
  </si>
  <si>
    <t>Interest</t>
  </si>
  <si>
    <t>Annual Payment</t>
  </si>
  <si>
    <t>Principal</t>
  </si>
  <si>
    <t>Ending Balance</t>
  </si>
  <si>
    <t>Short Term Interest Rate</t>
  </si>
  <si>
    <t>Interest Amount</t>
  </si>
  <si>
    <t>Total Interest Expense</t>
  </si>
  <si>
    <t>Labor</t>
  </si>
  <si>
    <t>Occupation</t>
  </si>
  <si>
    <t>Overtime</t>
  </si>
  <si>
    <t>Benefits</t>
  </si>
  <si>
    <t>Salaries</t>
  </si>
  <si>
    <t>Benefits as % of Salaries</t>
  </si>
  <si>
    <t>% of Payroll Tax to Salaries</t>
  </si>
  <si>
    <t>% of Retirement Tax to Salaries</t>
  </si>
  <si>
    <t>Total Labor</t>
  </si>
  <si>
    <t>Variable</t>
  </si>
  <si>
    <t>Utilities</t>
  </si>
  <si>
    <t>Fixed</t>
  </si>
  <si>
    <t>Maintenance</t>
  </si>
  <si>
    <t>Property Tax</t>
  </si>
  <si>
    <t>Insurance</t>
  </si>
  <si>
    <t>Supplies</t>
  </si>
  <si>
    <t>Buildings</t>
  </si>
  <si>
    <t>Special Purpose Buildings</t>
  </si>
  <si>
    <t>Equipment and Heavy Rolling Stock</t>
  </si>
  <si>
    <t>Light Trucks and Vehicles</t>
  </si>
  <si>
    <t>Depreciation</t>
  </si>
  <si>
    <t>Other</t>
  </si>
  <si>
    <t>Total Other</t>
  </si>
  <si>
    <t>Total Expenses</t>
  </si>
  <si>
    <t>Total</t>
  </si>
  <si>
    <t>Discount Rate</t>
  </si>
  <si>
    <t>Return On Investment</t>
  </si>
  <si>
    <t>Quality Percent</t>
  </si>
  <si>
    <t>Gross Margin</t>
  </si>
  <si>
    <t>Discount Factor</t>
  </si>
  <si>
    <t>PV of Income</t>
  </si>
  <si>
    <t>Total Expense</t>
  </si>
  <si>
    <t>Cash Expenses</t>
  </si>
  <si>
    <t>PV of Expenses</t>
  </si>
  <si>
    <t>Benefits Less Costs</t>
  </si>
  <si>
    <t>Net Present Value</t>
  </si>
  <si>
    <t>Internal Rate of Return</t>
  </si>
  <si>
    <t>Year</t>
  </si>
  <si>
    <t>39 year Straight Line</t>
  </si>
  <si>
    <t>10 year with percentage from table</t>
  </si>
  <si>
    <t>7 year with percentage from table</t>
  </si>
  <si>
    <t>5 year with percentage from table</t>
  </si>
  <si>
    <t>Cost</t>
  </si>
  <si>
    <t>Life</t>
  </si>
  <si>
    <t>Salvage</t>
  </si>
  <si>
    <t>Period</t>
  </si>
  <si>
    <t>Depreciation per year for 39 years</t>
  </si>
  <si>
    <t>Rate</t>
  </si>
  <si>
    <t>Description</t>
  </si>
  <si>
    <t>Value</t>
  </si>
  <si>
    <t>#4</t>
  </si>
  <si>
    <t>#5</t>
  </si>
  <si>
    <t>Total Buildings</t>
  </si>
  <si>
    <t>Total Equip and Heavy Rolling Stock</t>
  </si>
  <si>
    <t>Total Special Purpose Building</t>
  </si>
  <si>
    <t>Total Light Trucks and Vehicles</t>
  </si>
  <si>
    <t>10 year Straight Line</t>
  </si>
  <si>
    <t>7 Yr MACRS with half year convention</t>
  </si>
  <si>
    <t>5 Yr MACRS with half year convention</t>
  </si>
  <si>
    <t>Wage Inflation</t>
  </si>
  <si>
    <t>Property Tax as % of Prop and Plant</t>
  </si>
  <si>
    <t>Expense Inflation Rate</t>
  </si>
  <si>
    <t>Total Plant Property and Equipment</t>
  </si>
  <si>
    <t>Total Plant Property &amp; Equip</t>
  </si>
  <si>
    <t>Tax Information</t>
  </si>
  <si>
    <t>Payroll Information</t>
  </si>
  <si>
    <t>Income Tax Rate</t>
  </si>
  <si>
    <t>Overtime%</t>
  </si>
  <si>
    <t>Sales Projections</t>
  </si>
  <si>
    <t>Product Name</t>
  </si>
  <si>
    <t>VARIABLE COST OF PRODUCTION PER UNIT</t>
  </si>
  <si>
    <t>Product</t>
  </si>
  <si>
    <t>Unit</t>
  </si>
  <si>
    <t>VC/unit</t>
  </si>
  <si>
    <t>Price/unit</t>
  </si>
  <si>
    <t>Total Utilities</t>
  </si>
  <si>
    <t>Insurance as % of Plant &amp; Equip</t>
  </si>
  <si>
    <t>Discount rate for NPV calculation</t>
  </si>
  <si>
    <t>Total PV of Income</t>
  </si>
  <si>
    <t>Total PV of Expenses</t>
  </si>
  <si>
    <t>PV Benefits Less PV Costs</t>
  </si>
  <si>
    <t>Land</t>
  </si>
  <si>
    <t>Total Land, Plant Property and Equipment</t>
  </si>
  <si>
    <t>This sheet allows you to input salaries and overtime assumptions for various positions.</t>
  </si>
  <si>
    <t>This Sheet summaries expenses.  The only input is for "supplies and miscellaneous" expenses.</t>
  </si>
  <si>
    <t>This sheet summaries income, expenses and net profit.  There are no inputs on this sheet</t>
  </si>
  <si>
    <t>Tax</t>
  </si>
  <si>
    <t>After Tax Profit</t>
  </si>
  <si>
    <t>The only input is the discount rate.</t>
  </si>
  <si>
    <t>If you choose to modify the template we would advise you to save it under another name and retain the original for reference.</t>
  </si>
  <si>
    <t>Developed by:</t>
  </si>
  <si>
    <t>To get started go to the "Input Page"</t>
  </si>
  <si>
    <t>For comments or suggestions contact:</t>
  </si>
  <si>
    <t>This sheet summaries the feasibility of the project.  It provides net present value, benefit cost ratio and internal rate of return</t>
  </si>
  <si>
    <t>PV Benefit/PV Cost Ratio</t>
  </si>
  <si>
    <t>This sheet calculates depreciation.  You enter descriptions and values for buildings, equipment and other property.</t>
  </si>
  <si>
    <t>This sheet calculates loan amortization and interest.  There are no inputs on this sheet.</t>
  </si>
  <si>
    <t>% of Employee INS Tax to Salaries</t>
  </si>
  <si>
    <t>Maintenance as % of Plant &amp; Equip</t>
  </si>
  <si>
    <t>INPUT CAPITAL STRUCTURE AND</t>
  </si>
  <si>
    <t>EXPENSE INFORMATION</t>
  </si>
  <si>
    <t>Gross Sales Projection</t>
  </si>
  <si>
    <t>Price/Unit</t>
  </si>
  <si>
    <t>Gross Sales</t>
  </si>
  <si>
    <t>Rodney Holcomb, holcorb@okstate.edu 405-744-6272</t>
  </si>
  <si>
    <t>The template can also be modified and expanded to meet your particular situation by turning off the protection.</t>
  </si>
  <si>
    <t>Each sheet is currently protected allowing you to only input information in the input cells.</t>
  </si>
  <si>
    <t>After Tax Profits</t>
  </si>
  <si>
    <t>Principle</t>
  </si>
  <si>
    <t xml:space="preserve">Cash Flow </t>
  </si>
  <si>
    <t>Return on Assets</t>
  </si>
  <si>
    <t>Estimate of Cash Flows</t>
  </si>
  <si>
    <t>(after tax income/total PPE investment)</t>
  </si>
  <si>
    <t>(does not consider increases or decreases in working capital loan)</t>
  </si>
  <si>
    <t>Payback Period (years)</t>
  </si>
  <si>
    <t>(payback period only displayed if less than 10 years)</t>
  </si>
  <si>
    <t>For a Guide to Using the Feasibility Template Click On the Icon Below</t>
  </si>
  <si>
    <t>FORWARD TO INPUTS</t>
  </si>
  <si>
    <t>MENU</t>
  </si>
  <si>
    <t>FORWARD TO PERSONNEL EXPENSE</t>
  </si>
  <si>
    <t>FORWARD TO DEPRECIATION</t>
  </si>
  <si>
    <t>FORWARD TO EXPENSE PROJECTION</t>
  </si>
  <si>
    <t>FORWARD TO OPERATIONS SUMMARY</t>
  </si>
  <si>
    <t>FORWARD TO RETURN ON INVESTMENT</t>
  </si>
  <si>
    <t>BACK TO INTRODUCTION</t>
  </si>
  <si>
    <t>BACK TO INPUTS</t>
  </si>
  <si>
    <t>BACK TO OPERATION SUMMARY</t>
  </si>
  <si>
    <t>Less Depreciation and Term Interest</t>
  </si>
  <si>
    <t>* Year 0 miscellaneous expenses may include legal fees, licenses, permits and other organizational expenses.</t>
  </si>
  <si>
    <t>Miscellaneous*</t>
  </si>
  <si>
    <t>Equity Information</t>
  </si>
  <si>
    <t>Dividend rate on common</t>
  </si>
  <si>
    <t>Revolving period (years)</t>
  </si>
  <si>
    <t>Prefered Stock</t>
  </si>
  <si>
    <t>Dividend Rate on Preferred Stock</t>
  </si>
  <si>
    <t>Profit Allocation</t>
  </si>
  <si>
    <t>(all percentages relate to before tax income)</t>
  </si>
  <si>
    <t>Percentage to Unallocated Reserve</t>
  </si>
  <si>
    <t>Percentage to Cash Patronage Refund</t>
  </si>
  <si>
    <t>Percentage to Qualified Stock Patraonage Refund</t>
  </si>
  <si>
    <t>Percentage to Non-Qualifited Stock Patronage Refund</t>
  </si>
  <si>
    <t>EBIT</t>
  </si>
  <si>
    <t>Average EBIT</t>
  </si>
  <si>
    <t>Cash Patronage</t>
  </si>
  <si>
    <t>Common stock redemption</t>
  </si>
  <si>
    <t>Preferred Stock</t>
  </si>
  <si>
    <t>Qualified Stock Credits Issued</t>
  </si>
  <si>
    <t>Total Qualified Stock Credits</t>
  </si>
  <si>
    <t>Qualified Stock Credits Redeemed 1 yr rev</t>
  </si>
  <si>
    <t>Qualified Stock Credits Redeemed 2 yr rev</t>
  </si>
  <si>
    <t>Qualified Stock Credits Redeemed 3 yr rev</t>
  </si>
  <si>
    <t>Qualified Stock Credits Redeemed 4 yr rev</t>
  </si>
  <si>
    <t>Qualified Stock Credits Redeemed 5 yr rev</t>
  </si>
  <si>
    <t>Qualified Stock Credits Redeemed 6 yr rev</t>
  </si>
  <si>
    <t>Qualified Stock Credits Redeemed 7 yr rev</t>
  </si>
  <si>
    <t>Qualified Stock Credits Redeemed 8 yr rev</t>
  </si>
  <si>
    <t>Qualified Stock Credits Redeemed 9 yr rev</t>
  </si>
  <si>
    <t>Qualified Stock Credits Redeemed 10 yr rev</t>
  </si>
  <si>
    <t>Total Qualified Redeemed</t>
  </si>
  <si>
    <t>Non-Qualified Stock Credits Redeemed 1 yr rev</t>
  </si>
  <si>
    <t>Non-Qualified Stock Credits Redeemed 2 yr rev</t>
  </si>
  <si>
    <t>Non-Qualified Stock Credits Redeemed 3 yr rev</t>
  </si>
  <si>
    <t>Non-Qualified Stock Credits Redeemed 4 yr rev</t>
  </si>
  <si>
    <t>Non-Qualified Stock Credits Redeemed 5 yr rev</t>
  </si>
  <si>
    <t>Non-Qualified Stock Credits Redeemed 6 yr rev</t>
  </si>
  <si>
    <t>Non-Qualified Stock Credits Redeemed 7 yr rev</t>
  </si>
  <si>
    <t>Non-Qualified Stock Credits Redeemed 8 yr rev</t>
  </si>
  <si>
    <t>Non-Qualified Stock Credits Redeemed 9 yr rev</t>
  </si>
  <si>
    <t>Non-Qualified Stock Credits Redeemed 10 yr rev</t>
  </si>
  <si>
    <t>Total Non-Qualified Redeemed</t>
  </si>
  <si>
    <t>Total Non-Qualified Stock Credits</t>
  </si>
  <si>
    <t>Non-Qualified Stock Credits Issued</t>
  </si>
  <si>
    <t>Unallocated Equity</t>
  </si>
  <si>
    <t>Total Members Equity</t>
  </si>
  <si>
    <t>Qualified Redemption</t>
  </si>
  <si>
    <t>Non-Qualified Redemption</t>
  </si>
  <si>
    <t>Profit before Patronage</t>
  </si>
  <si>
    <t>Non-Qualified Redeemed</t>
  </si>
  <si>
    <t>Cash Patronage Refund</t>
  </si>
  <si>
    <t>Qualified Patronage Refund</t>
  </si>
  <si>
    <t>Before Tax Income</t>
  </si>
  <si>
    <t>Income Taxes</t>
  </si>
  <si>
    <t>Analysis of Member Return</t>
  </si>
  <si>
    <t>Initial Investment</t>
  </si>
  <si>
    <t>Qualified Stock Received</t>
  </si>
  <si>
    <t>Taxable Income</t>
  </si>
  <si>
    <t>Member's Income Tax</t>
  </si>
  <si>
    <t>Member's Income Tax Rate</t>
  </si>
  <si>
    <t>Qualified Stock Redeemed</t>
  </si>
  <si>
    <t>Non-Qualified Stock Redeemed</t>
  </si>
  <si>
    <t>After Tax Cash Income</t>
  </si>
  <si>
    <t>Return on Investment</t>
  </si>
  <si>
    <t>Stock Dividends</t>
  </si>
  <si>
    <t>Sale of Stock</t>
  </si>
  <si>
    <t>Taxable Gain on Stock</t>
  </si>
  <si>
    <t>Capital Gains Tax Rate</t>
  </si>
  <si>
    <t>Gross Cash Flow from Operations</t>
  </si>
  <si>
    <t>Cash flows</t>
  </si>
  <si>
    <t>Average Return on Assets</t>
  </si>
  <si>
    <t>Preferred Stock Return</t>
  </si>
  <si>
    <t>Dividends</t>
  </si>
  <si>
    <t>Percent Member Business</t>
  </si>
  <si>
    <t>Additional Asset Purchased</t>
  </si>
  <si>
    <t>Average ROI for Common</t>
  </si>
  <si>
    <t>Average ROI Preferred</t>
  </si>
  <si>
    <t>This Sheet Summaries the Member's Return.  The only inputs are the tax rates</t>
  </si>
  <si>
    <t>Cumulative Cash Flow</t>
  </si>
  <si>
    <t>Qualified Stock Balance</t>
  </si>
  <si>
    <t>Membership Stock</t>
  </si>
  <si>
    <t>Non Qualified Stock Issued</t>
  </si>
  <si>
    <t>Qualified Stock Issued</t>
  </si>
  <si>
    <t>Non Qualified Stock Redeemed</t>
  </si>
  <si>
    <t>Non Qualified Stock Balance</t>
  </si>
  <si>
    <t>Percent Financed-Year 1</t>
  </si>
  <si>
    <t>Membership Common Stock</t>
  </si>
  <si>
    <t>Cost of Goods Sold</t>
  </si>
  <si>
    <t>Total Sales</t>
  </si>
  <si>
    <t>Total Cost of Goods Sold</t>
  </si>
  <si>
    <t>Total Gross Margin</t>
  </si>
  <si>
    <t>Operating Expenses</t>
  </si>
  <si>
    <t>Total Operating Exp.</t>
  </si>
  <si>
    <t>Gross Margins</t>
  </si>
  <si>
    <t>The Calculations Below Are Used to Determing the Equity Revolved Each Year Based on the Inputed Revolving Period</t>
  </si>
  <si>
    <t>Total Debt</t>
  </si>
  <si>
    <t>Total Assets</t>
  </si>
  <si>
    <t>Debt/Assets</t>
  </si>
  <si>
    <t>Average</t>
  </si>
  <si>
    <t>Average %debt/assets 10 years</t>
  </si>
  <si>
    <t>Common stock dividend</t>
  </si>
  <si>
    <t>Preferred stock dividend</t>
  </si>
  <si>
    <t>Payback formula calculations are in the cell below this one-do not overwrite</t>
  </si>
  <si>
    <t>ASSETS</t>
  </si>
  <si>
    <t>Cash from Operations</t>
  </si>
  <si>
    <t>Land Buildings and Equipment</t>
  </si>
  <si>
    <t>less Accumulated Depreciation</t>
  </si>
  <si>
    <t>Working capital loan</t>
  </si>
  <si>
    <t>Loan term loan</t>
  </si>
  <si>
    <t>Membership stock</t>
  </si>
  <si>
    <t>Qualified stock</t>
  </si>
  <si>
    <t>Non-qualified stock</t>
  </si>
  <si>
    <t>Preferred stock</t>
  </si>
  <si>
    <t>Future tax credit from qualifieds stock</t>
  </si>
  <si>
    <t>Unallocated equity</t>
  </si>
  <si>
    <t>LIABILITIES</t>
  </si>
  <si>
    <t>MEMBER EQUITY</t>
  </si>
  <si>
    <t>TOTAL MEMBER EQUITY</t>
  </si>
  <si>
    <t>TOTAL LIABILITIES AND EQUITY</t>
  </si>
  <si>
    <t>TOTAL LIABILITIES</t>
  </si>
  <si>
    <t>TOTAL ASSETS</t>
  </si>
  <si>
    <t>SIMPLIFIED BALANCE SHEET</t>
  </si>
  <si>
    <t>Number</t>
  </si>
  <si>
    <t>Total Salary</t>
  </si>
  <si>
    <t>Cashflow from Operating Activities</t>
  </si>
  <si>
    <t>Cash received from sales of goods</t>
  </si>
  <si>
    <t>Interest paid</t>
  </si>
  <si>
    <t>Other expenses paid</t>
  </si>
  <si>
    <t>Cash patronage received from regional cooperatives</t>
  </si>
  <si>
    <t>Income taxes paid</t>
  </si>
  <si>
    <t>Net Cash provided (used) in operating activities</t>
  </si>
  <si>
    <t>Cash flows from investing Activities</t>
  </si>
  <si>
    <t>Stock redeemed by regional cooperatives</t>
  </si>
  <si>
    <t>Additions to property and equipment</t>
  </si>
  <si>
    <t>Sale of property and equipment</t>
  </si>
  <si>
    <t>Net cash used in investing activities</t>
  </si>
  <si>
    <t>Cashflow from financing activities</t>
  </si>
  <si>
    <t>Net short term borrowing (repayment)</t>
  </si>
  <si>
    <t>Long term borrowing</t>
  </si>
  <si>
    <t>Principal payment on long term debt</t>
  </si>
  <si>
    <t>Patron equities redeemed</t>
  </si>
  <si>
    <t>Cash patronage refunds</t>
  </si>
  <si>
    <t>Net cash provided (used) by financing activities</t>
  </si>
  <si>
    <t>Cash balance beginning of year</t>
  </si>
  <si>
    <t>Cash paid to patrons and suppliers</t>
  </si>
  <si>
    <t>Short term assets</t>
  </si>
  <si>
    <t>Net Increase (decrease) in cash (annual cash flow)</t>
  </si>
  <si>
    <t>Cash balance end of year (cummulative cash flow)</t>
  </si>
  <si>
    <t>Close coop=1, open coop enter 0</t>
  </si>
  <si>
    <t>Misc</t>
  </si>
  <si>
    <t>Amount</t>
  </si>
  <si>
    <t>KW</t>
  </si>
  <si>
    <t>fork lifts</t>
  </si>
  <si>
    <t>hours/day</t>
  </si>
  <si>
    <t>maximum capacity/year</t>
  </si>
  <si>
    <t>downtime percentage</t>
  </si>
  <si>
    <t>Days per year</t>
  </si>
  <si>
    <t>HP</t>
  </si>
  <si>
    <t>KW/HP</t>
  </si>
  <si>
    <t>Hours of operation</t>
  </si>
  <si>
    <t>Total HP/hour</t>
  </si>
  <si>
    <t>Electricity cost/hour</t>
  </si>
  <si>
    <t>Electricity cost/year</t>
  </si>
  <si>
    <t>Hourly wage</t>
  </si>
  <si>
    <t>Non-Qualified Patronage Refund</t>
  </si>
  <si>
    <t>Cracked Shells</t>
  </si>
  <si>
    <t>50 lb Bag</t>
  </si>
  <si>
    <t>lbs/hour</t>
  </si>
  <si>
    <t>Horsepower/lb/hour</t>
  </si>
  <si>
    <t>Electricity cost/lb pecan meat</t>
  </si>
  <si>
    <t>In-Shell Pecans</t>
  </si>
  <si>
    <t>Number of lbs</t>
  </si>
  <si>
    <t>Total Pecan Supply Cost</t>
  </si>
  <si>
    <t>Assistant Manager</t>
  </si>
  <si>
    <t>General Manager</t>
  </si>
  <si>
    <t>Secretary</t>
  </si>
  <si>
    <t>Sales</t>
  </si>
  <si>
    <t>Walk-in Freezer</t>
  </si>
  <si>
    <t>Total Cost per lb of pecan meat production</t>
  </si>
  <si>
    <t>Semi Truck</t>
  </si>
  <si>
    <t>Purchasing Projections</t>
  </si>
  <si>
    <t>Depreciation Totals</t>
  </si>
  <si>
    <t>Equip &amp; Heavy Rolling Stock</t>
  </si>
  <si>
    <t>Light Trucks &amp; Vehicles</t>
  </si>
  <si>
    <t>Total Annual Depreciation</t>
  </si>
  <si>
    <t>Savage 1312- 12' Belt Elevator</t>
  </si>
  <si>
    <t xml:space="preserve"> Savage 3918 Feed Hopper</t>
  </si>
  <si>
    <t>Chlorine Bath Sanitizer</t>
  </si>
  <si>
    <t>Savage 238S Cracker</t>
  </si>
  <si>
    <t>Savage 410S Sheller</t>
  </si>
  <si>
    <t>Savage 520S Inspection Table</t>
  </si>
  <si>
    <t>x2</t>
  </si>
  <si>
    <t>x1</t>
  </si>
  <si>
    <t>x4</t>
  </si>
  <si>
    <t>Unloading/Sanitation</t>
  </si>
  <si>
    <t>Cracking/Shelling</t>
  </si>
  <si>
    <t>Packaging/Shipping</t>
  </si>
  <si>
    <t>Native</t>
  </si>
  <si>
    <t>Total Pecan Supply Cost (Improved)</t>
  </si>
  <si>
    <t>Total Pecan Supply Cost (Native)</t>
  </si>
  <si>
    <t>1 lb Bag</t>
  </si>
  <si>
    <t>lb</t>
  </si>
  <si>
    <t xml:space="preserve">Total Volume </t>
  </si>
  <si>
    <t>Improved +Native (Gross Sales )</t>
  </si>
  <si>
    <t>Written By Version</t>
  </si>
  <si>
    <t>Serialization Major Version</t>
  </si>
  <si>
    <t>Serialization Minor Version</t>
  </si>
  <si>
    <t>Browse Record</t>
  </si>
  <si>
    <t>Display Mode</t>
  </si>
  <si>
    <t>Sens Graph Type</t>
  </si>
  <si>
    <t>Cond Sens Settings</t>
  </si>
  <si>
    <t>Scenario Settings</t>
  </si>
  <si>
    <t>Selected Scenario</t>
  </si>
  <si>
    <t>Distribution Options</t>
  </si>
  <si>
    <t>Distribution GS</t>
  </si>
  <si>
    <t>Distribution Curves</t>
  </si>
  <si>
    <t>Sens Tornado Options</t>
  </si>
  <si>
    <t>Sens Tornado GS</t>
  </si>
  <si>
    <t>Sens Tornado Curves</t>
  </si>
  <si>
    <t>Scen Tornado Options</t>
  </si>
  <si>
    <t>Scen Tornado GS</t>
  </si>
  <si>
    <t>Scen Tornado Curves</t>
  </si>
  <si>
    <t>Sens Spider Option</t>
  </si>
  <si>
    <t>Sens Spider GS</t>
  </si>
  <si>
    <t>Sens Spider Curves</t>
  </si>
  <si>
    <t>`</t>
  </si>
  <si>
    <t xml:space="preserve">There are also inputs on the "Personnel Expense", </t>
  </si>
  <si>
    <t>Depreciation, &amp; "Expense Projection" sheets</t>
  </si>
  <si>
    <t xml:space="preserve">This sheet summaries the volume and price information from the input page.  There is no input on this page.  </t>
  </si>
  <si>
    <t>Other Labor Cost</t>
  </si>
  <si>
    <t>wage/lb</t>
  </si>
  <si>
    <t>Other Labor Cost Total</t>
  </si>
  <si>
    <t>cost $/lb (In-shell Improved)</t>
  </si>
  <si>
    <t>cost $/lb (In-shell Native)</t>
  </si>
  <si>
    <t>Packaging material (Plastic)</t>
  </si>
  <si>
    <t>Packaging material (woven polypropylene bags)</t>
  </si>
  <si>
    <t>Used Fitzpatrick Fitzmill Hammer Mill, Model M5A.</t>
  </si>
  <si>
    <t>Pecan Meal</t>
  </si>
  <si>
    <t>Electricity cost/kw</t>
  </si>
  <si>
    <t xml:space="preserve"> other Utilities</t>
  </si>
  <si>
    <t>Electricity</t>
  </si>
  <si>
    <t>Water</t>
  </si>
  <si>
    <t>Gas</t>
  </si>
  <si>
    <t>Telephone</t>
  </si>
  <si>
    <t>Monthly</t>
  </si>
  <si>
    <t>Yearly</t>
  </si>
  <si>
    <t>Steel Building (6000 sqft)</t>
  </si>
  <si>
    <t>Concrete slab (6000 sqft)</t>
  </si>
  <si>
    <t>Retrofitting of interior (6000 sqft)</t>
  </si>
  <si>
    <t>Snack Halves (Wholesale)</t>
  </si>
  <si>
    <t>Snack Halves (retail)</t>
  </si>
  <si>
    <t>Snack Halves (Retail)</t>
  </si>
  <si>
    <t>Batch Meat Dryer</t>
  </si>
  <si>
    <t>ME &amp; E Aspirator/8 Inch Cyclone Head Blower</t>
  </si>
  <si>
    <t>Savage 704S Bucket Elevator</t>
  </si>
  <si>
    <t>GF1_rK0qDwEAEwDnAAwjACcAXwBxAIUAhgCUAKIAwwDjAN0AKwD//wAAAAAAAAEEAAAAACpfKCQqICMsIyMwXyk7XygkKiAoIywjIzApO18oJCogIi0iXyk7XyhAXykAAAABDEVuZCBDYXNoIFkxMAEAAQEQAAIAAQpTdGF0aXN0aWNzAwEBAP8BAQEBAQABAQEABAAAAAEBAQEBAAEBAQAEAAAAAaYAAhkADEVuZCBDYXNoIFkxMAAAAP/cFDwBAAACAAIAywDUAAEBAwEAAAAAAAAAAAEAAAAAAADwfwEFAAEBAQABAQEA</t>
  </si>
  <si>
    <t>GF1_rK0qDwEAEwDlAAwjACcAXwBwAIQAhQCTAKEAwQDhANsAKwD//wAAAAAAAAEEAAAAACpfKCQqICMsIyMwXyk7XygkKiAoIywjIzApO18oJCogIi0iXyk7XyhAXykAAAABC0VuZCBDYXNoIFkxAQABARAAAgABClN0YXRpc3RpY3MDAQEA/wEBAQEBAAEBAQAEAAAAAQEBAQEAAQEBAAQAAAABpQACGAALRW5kIENhc2ggWTEAAAD/3BQ8AQAAAgACAMkA0gABAQMBAAAAAAAAAAABAAAAAAAA8H8BBQABAQEAAQEBAA==</t>
  </si>
  <si>
    <t>8.11.0</t>
  </si>
  <si>
    <t>GF1_rK0qDwEAEwDfAAwjACcAZwBxAIUAhgCUAKIAuwDbANUAKwD//wAAAAAAAAEEAAAAADJfKCQqICMsIyMwLjAwXyk7XygkKiAoIywjIzAuMDApO18oJCogIi0iPz9fKTtfKEBfKQAAAAEEY2FzaAEAAQEQAAIAAQpTdGF0aXN0aWNzAwEBAP8BAQEBAQABAQEABAAAAAEBAQEBAAEBAQAEAAAAAaYAAhEABGNhc2gAAAD/3BQ8AQAAAgACAMMAzAABAQMBAAAAAAAAAAABAAAAAAAA8H8BBQABAQEAAQEBAA==</t>
  </si>
  <si>
    <t>Proportion of native variety</t>
  </si>
  <si>
    <t>Proportion of improved variety</t>
  </si>
  <si>
    <t>Total production capacity</t>
  </si>
  <si>
    <t>Amount (lb)</t>
  </si>
  <si>
    <t>LBS of Pecan Meat  from Improved Var</t>
  </si>
  <si>
    <t>LBS of Pecan Meat  from native Var sold at wholesale level</t>
  </si>
  <si>
    <t>LBS of Pecan Meat  from native Var sold at retail level</t>
  </si>
  <si>
    <t>LSB of Cracked Shells  from native var</t>
  </si>
  <si>
    <t>LSB of Cracked Shells from Improved Var</t>
  </si>
  <si>
    <t xml:space="preserve"> </t>
  </si>
  <si>
    <t xml:space="preserve">PRODUCT VOLUMES AND  MARGIN PER UNIT </t>
  </si>
  <si>
    <t>Improved Variety</t>
  </si>
  <si>
    <t>Pecans production capacity (In-shell weight)</t>
  </si>
  <si>
    <t>Proportion of broken pieces from improved variety</t>
  </si>
  <si>
    <t>Proportion of broken pieces from native variety</t>
  </si>
  <si>
    <t>LBS  of broken pieces from improved variety</t>
  </si>
  <si>
    <t>LBS of broken pieces from native variety</t>
  </si>
  <si>
    <t>LBS of Pecan Meat  from native var</t>
  </si>
  <si>
    <t>INPUTS AND INITIAL VOLUME</t>
  </si>
  <si>
    <t>Improved variety</t>
  </si>
  <si>
    <t>Snack halves retail (Improved)</t>
  </si>
  <si>
    <t>Snack halves wholesale (Native)</t>
  </si>
  <si>
    <t>Snack halves retail(Native)</t>
  </si>
  <si>
    <t>Snack halves wholesale (Improved)</t>
  </si>
  <si>
    <t>SALES GROWTH</t>
  </si>
  <si>
    <t>Native variety</t>
  </si>
  <si>
    <t>Total Cost of Goods Sold (Improved)</t>
  </si>
  <si>
    <t>Total Cost of Goods Sold (Native)</t>
  </si>
  <si>
    <t>Total Gross Sales (Improved)</t>
  </si>
  <si>
    <t>Total Gross Sales (Native)</t>
  </si>
  <si>
    <t>Total Gross Sales (Improved+Native)</t>
  </si>
  <si>
    <t>Gross Margin (Improved)</t>
  </si>
  <si>
    <t>Gross Margin (Native)</t>
  </si>
  <si>
    <t>Total Gross Margin (option 1)</t>
  </si>
  <si>
    <t>Total Gross Margin (option 2)</t>
  </si>
  <si>
    <t>Proportion</t>
  </si>
  <si>
    <t>Total in-shell pecans</t>
  </si>
  <si>
    <t>Total Personnel Costs</t>
  </si>
  <si>
    <t>Salary/ year /each</t>
  </si>
  <si>
    <t>Benefit calculations are based on the percentage entered on the "Input" sheet.</t>
  </si>
  <si>
    <t>"Other labor cost" depends on the total in-shell pecans for each year</t>
  </si>
  <si>
    <t>Total Variable cost</t>
  </si>
  <si>
    <t>Total Fixed cost</t>
  </si>
  <si>
    <t>Input cells are shaded in beige.</t>
  </si>
  <si>
    <t>Avg/lb</t>
  </si>
  <si>
    <t>Edwin Coleman, edcolem@okstate.edu</t>
  </si>
  <si>
    <t>Feasibility Assessment Template for a Pecan Shelling Cooperative</t>
  </si>
  <si>
    <t xml:space="preserve">Phil Kenkel, Rodney Holcomb and Edwin Coleman, Oklahoma State University </t>
  </si>
  <si>
    <t>Phil Kenkel,  kenkel@okstate.edu  405-744-9818</t>
  </si>
  <si>
    <t>SHELLING CAPACITY</t>
  </si>
  <si>
    <t>UTILITIES</t>
  </si>
  <si>
    <t>IN-SHELL PECAN PRICE (GROWER PRICE)</t>
  </si>
  <si>
    <t>This Sheet Summaries The Changes in Owner's Equity.  There are no inputs on this page.</t>
  </si>
  <si>
    <t>NPV: Common Stock</t>
  </si>
  <si>
    <t>IRR: Common Stock</t>
  </si>
  <si>
    <t>ESTIMATED CASH FLOWS</t>
  </si>
  <si>
    <t>This templates is designed to assist you in assessing the feasibility of a pecan shelling cooperative project.</t>
  </si>
  <si>
    <t>Kernel yield percentage (native)</t>
  </si>
  <si>
    <t>Kernel yield percentage (improved)</t>
  </si>
  <si>
    <t>PERCENT Impr Var Pecan Meat sold at wholesale level</t>
  </si>
  <si>
    <t>PERCENT Impr Var Pecan Meat sold at retail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</si>
</sst>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  <numFmt numFmtId="165" formatCode="&quot;$&quot;#,##0"/>
    <numFmt numFmtId="166" formatCode="0.0%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.00"/>
    <numFmt numFmtId="170" formatCode="0_)"/>
    <numFmt numFmtId="171" formatCode="&quot;$&quot;#,##0.0000_);[Red]\(&quot;$&quot;#,##0.0000\)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Book Antiqua"/>
      <family val="1"/>
    </font>
    <font>
      <b/>
      <sz val="14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3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9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C00000"/>
      <name val="Arial"/>
      <family val="2"/>
    </font>
    <font>
      <sz val="10"/>
      <color rgb="FFFF0000"/>
      <name val="Arial"/>
      <family val="2"/>
    </font>
    <font>
      <sz val="9"/>
      <color theme="1"/>
      <name val="TimesNewRomanPSMT"/>
    </font>
    <font>
      <b/>
      <sz val="9"/>
      <color theme="1"/>
      <name val="TimesNewRomanPS"/>
    </font>
    <font>
      <sz val="7"/>
      <color theme="1"/>
      <name val="ArialMT"/>
    </font>
    <font>
      <b/>
      <sz val="14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9"/>
      <name val="Arial MT"/>
    </font>
    <font>
      <sz val="9"/>
      <name val="Arial"/>
      <family val="2"/>
    </font>
    <font>
      <sz val="12"/>
      <name val="Arial MT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sz val="10"/>
      <color rgb="FF006100"/>
      <name val="Arial"/>
      <family val="2"/>
    </font>
    <font>
      <sz val="10"/>
      <color indexed="17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0"/>
      <color indexed="52"/>
      <name val="Arial"/>
      <family val="2"/>
    </font>
    <font>
      <sz val="10"/>
      <color rgb="FF9C6500"/>
      <name val="Arial"/>
      <family val="2"/>
    </font>
    <font>
      <sz val="10"/>
      <color indexed="60"/>
      <name val="Arial"/>
      <family val="2"/>
    </font>
    <font>
      <sz val="10"/>
      <name val="Courier"/>
      <family val="3"/>
    </font>
    <font>
      <b/>
      <sz val="10"/>
      <color rgb="FF3F3F3F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u/>
      <sz val="9"/>
      <color theme="10"/>
      <name val="Arial MT"/>
    </font>
    <font>
      <u/>
      <sz val="11"/>
      <color theme="10"/>
      <name val="Calibri"/>
      <family val="2"/>
      <scheme val="minor"/>
    </font>
    <font>
      <sz val="12"/>
      <color indexed="8"/>
      <name val="Arial MT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sz val="11"/>
      <color indexed="9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u/>
      <sz val="10"/>
      <color theme="1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86">
    <xf numFmtId="0" fontId="0" fillId="0" borderId="0" applyFill="0" applyBorder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11" applyNumberFormat="0" applyAlignment="0" applyProtection="0"/>
    <xf numFmtId="0" fontId="34" fillId="8" borderId="12" applyNumberFormat="0" applyAlignment="0" applyProtection="0"/>
    <xf numFmtId="0" fontId="35" fillId="8" borderId="11" applyNumberFormat="0" applyAlignment="0" applyProtection="0"/>
    <xf numFmtId="0" fontId="36" fillId="0" borderId="13" applyNumberFormat="0" applyFill="0" applyAlignment="0" applyProtection="0"/>
    <xf numFmtId="0" fontId="37" fillId="9" borderId="14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0" borderId="15" applyNumberFormat="0" applyFont="0" applyAlignment="0" applyProtection="0"/>
    <xf numFmtId="0" fontId="1" fillId="3" borderId="0" applyNumberFormat="0" applyBorder="0" applyAlignment="0" applyProtection="0"/>
    <xf numFmtId="0" fontId="49" fillId="0" borderId="0"/>
    <xf numFmtId="1" fontId="44" fillId="0" borderId="0" applyFont="0"/>
    <xf numFmtId="0" fontId="45" fillId="0" borderId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8" fillId="34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8" fillId="34" borderId="0" applyNumberFormat="0" applyBorder="0" applyAlignment="0" applyProtection="0"/>
    <xf numFmtId="0" fontId="42" fillId="12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8" fillId="3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8" fillId="35" borderId="0" applyNumberFormat="0" applyBorder="0" applyAlignment="0" applyProtection="0"/>
    <xf numFmtId="0" fontId="42" fillId="1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8" fillId="36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8" fillId="36" borderId="0" applyNumberFormat="0" applyBorder="0" applyAlignment="0" applyProtection="0"/>
    <xf numFmtId="0" fontId="42" fillId="19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8" fillId="37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8" fillId="37" borderId="0" applyNumberFormat="0" applyBorder="0" applyAlignment="0" applyProtection="0"/>
    <xf numFmtId="0" fontId="42" fillId="23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8" fillId="38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8" fillId="38" borderId="0" applyNumberFormat="0" applyBorder="0" applyAlignment="0" applyProtection="0"/>
    <xf numFmtId="0" fontId="42" fillId="27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8" fillId="39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8" fillId="39" borderId="0" applyNumberFormat="0" applyBorder="0" applyAlignment="0" applyProtection="0"/>
    <xf numFmtId="0" fontId="42" fillId="31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8" fillId="40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8" fillId="40" borderId="0" applyNumberFormat="0" applyBorder="0" applyAlignment="0" applyProtection="0"/>
    <xf numFmtId="0" fontId="42" fillId="13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8" fillId="41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8" fillId="41" borderId="0" applyNumberFormat="0" applyBorder="0" applyAlignment="0" applyProtection="0"/>
    <xf numFmtId="0" fontId="42" fillId="16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8" fillId="42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8" fillId="42" borderId="0" applyNumberFormat="0" applyBorder="0" applyAlignment="0" applyProtection="0"/>
    <xf numFmtId="0" fontId="42" fillId="20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8" fillId="37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8" fillId="37" borderId="0" applyNumberFormat="0" applyBorder="0" applyAlignment="0" applyProtection="0"/>
    <xf numFmtId="0" fontId="42" fillId="24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8" fillId="40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8" fillId="40" borderId="0" applyNumberFormat="0" applyBorder="0" applyAlignment="0" applyProtection="0"/>
    <xf numFmtId="0" fontId="42" fillId="28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8" fillId="43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8" fillId="43" borderId="0" applyNumberFormat="0" applyBorder="0" applyAlignment="0" applyProtection="0"/>
    <xf numFmtId="0" fontId="42" fillId="3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41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4" fillId="44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4" fillId="44" borderId="0" applyNumberFormat="0" applyBorder="0" applyAlignment="0" applyProtection="0"/>
    <xf numFmtId="0" fontId="52" fillId="3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41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14" fillId="41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14" fillId="41" borderId="0" applyNumberFormat="0" applyBorder="0" applyAlignment="0" applyProtection="0"/>
    <xf numFmtId="0" fontId="52" fillId="17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41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14" fillId="42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14" fillId="42" borderId="0" applyNumberFormat="0" applyBorder="0" applyAlignment="0" applyProtection="0"/>
    <xf numFmtId="0" fontId="52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41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14" fillId="4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14" fillId="45" borderId="0" applyNumberFormat="0" applyBorder="0" applyAlignment="0" applyProtection="0"/>
    <xf numFmtId="0" fontId="52" fillId="2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41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14" fillId="46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14" fillId="46" borderId="0" applyNumberFormat="0" applyBorder="0" applyAlignment="0" applyProtection="0"/>
    <xf numFmtId="0" fontId="52" fillId="29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41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14" fillId="47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14" fillId="47" borderId="0" applyNumberFormat="0" applyBorder="0" applyAlignment="0" applyProtection="0"/>
    <xf numFmtId="0" fontId="52" fillId="33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41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14" fillId="48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14" fillId="48" borderId="0" applyNumberFormat="0" applyBorder="0" applyAlignment="0" applyProtection="0"/>
    <xf numFmtId="0" fontId="52" fillId="11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41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14" fillId="49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14" fillId="49" borderId="0" applyNumberFormat="0" applyBorder="0" applyAlignment="0" applyProtection="0"/>
    <xf numFmtId="0" fontId="52" fillId="14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41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14" fillId="50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14" fillId="50" borderId="0" applyNumberFormat="0" applyBorder="0" applyAlignment="0" applyProtection="0"/>
    <xf numFmtId="0" fontId="52" fillId="18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41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14" fillId="45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14" fillId="45" borderId="0" applyNumberFormat="0" applyBorder="0" applyAlignment="0" applyProtection="0"/>
    <xf numFmtId="0" fontId="52" fillId="22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41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14" fillId="4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14" fillId="46" borderId="0" applyNumberFormat="0" applyBorder="0" applyAlignment="0" applyProtection="0"/>
    <xf numFmtId="0" fontId="52" fillId="2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41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4" fillId="5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4" fillId="51" borderId="0" applyNumberFormat="0" applyBorder="0" applyAlignment="0" applyProtection="0"/>
    <xf numFmtId="0" fontId="52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31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4" fillId="3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4" fillId="35" borderId="0" applyNumberFormat="0" applyBorder="0" applyAlignment="0" applyProtection="0"/>
    <xf numFmtId="0" fontId="53" fillId="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6" fillId="52" borderId="17" applyNumberFormat="0" applyAlignment="0" applyProtection="0"/>
    <xf numFmtId="0" fontId="56" fillId="52" borderId="17" applyNumberFormat="0" applyAlignment="0" applyProtection="0"/>
    <xf numFmtId="0" fontId="56" fillId="52" borderId="17" applyNumberFormat="0" applyAlignment="0" applyProtection="0"/>
    <xf numFmtId="0" fontId="3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6" fillId="52" borderId="17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6" fillId="52" borderId="17" applyNumberFormat="0" applyAlignment="0" applyProtection="0"/>
    <xf numFmtId="0" fontId="55" fillId="8" borderId="11" applyNumberFormat="0" applyAlignment="0" applyProtection="0"/>
    <xf numFmtId="0" fontId="56" fillId="52" borderId="17" applyNumberFormat="0" applyAlignment="0" applyProtection="0"/>
    <xf numFmtId="0" fontId="56" fillId="52" borderId="17" applyNumberFormat="0" applyAlignment="0" applyProtection="0"/>
    <xf numFmtId="0" fontId="56" fillId="52" borderId="17" applyNumberFormat="0" applyAlignment="0" applyProtection="0"/>
    <xf numFmtId="0" fontId="56" fillId="52" borderId="17" applyNumberFormat="0" applyAlignment="0" applyProtection="0"/>
    <xf numFmtId="0" fontId="56" fillId="52" borderId="17" applyNumberFormat="0" applyAlignment="0" applyProtection="0"/>
    <xf numFmtId="0" fontId="56" fillId="52" borderId="17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5" fillId="8" borderId="11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8" fillId="53" borderId="18" applyNumberFormat="0" applyAlignment="0" applyProtection="0"/>
    <xf numFmtId="0" fontId="58" fillId="53" borderId="18" applyNumberFormat="0" applyAlignment="0" applyProtection="0"/>
    <xf numFmtId="0" fontId="58" fillId="53" borderId="18" applyNumberFormat="0" applyAlignment="0" applyProtection="0"/>
    <xf numFmtId="0" fontId="3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8" fillId="53" borderId="18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8" fillId="53" borderId="18" applyNumberFormat="0" applyAlignment="0" applyProtection="0"/>
    <xf numFmtId="0" fontId="57" fillId="9" borderId="14" applyNumberFormat="0" applyAlignment="0" applyProtection="0"/>
    <xf numFmtId="0" fontId="58" fillId="53" borderId="18" applyNumberFormat="0" applyAlignment="0" applyProtection="0"/>
    <xf numFmtId="0" fontId="58" fillId="53" borderId="18" applyNumberFormat="0" applyAlignment="0" applyProtection="0"/>
    <xf numFmtId="0" fontId="58" fillId="53" borderId="18" applyNumberFormat="0" applyAlignment="0" applyProtection="0"/>
    <xf numFmtId="0" fontId="58" fillId="53" borderId="18" applyNumberFormat="0" applyAlignment="0" applyProtection="0"/>
    <xf numFmtId="0" fontId="58" fillId="53" borderId="18" applyNumberFormat="0" applyAlignment="0" applyProtection="0"/>
    <xf numFmtId="0" fontId="58" fillId="53" borderId="18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0" fontId="57" fillId="9" borderId="14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30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2" fillId="36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2" fillId="36" borderId="0" applyNumberFormat="0" applyBorder="0" applyAlignment="0" applyProtection="0"/>
    <xf numFmtId="0" fontId="61" fillId="4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27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4" fillId="0" borderId="19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4" fillId="0" borderId="19" applyNumberFormat="0" applyFill="0" applyAlignment="0" applyProtection="0"/>
    <xf numFmtId="0" fontId="63" fillId="0" borderId="8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28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6" fillId="0" borderId="20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6" fillId="0" borderId="20" applyNumberFormat="0" applyFill="0" applyAlignment="0" applyProtection="0"/>
    <xf numFmtId="0" fontId="65" fillId="0" borderId="9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6" fillId="0" borderId="20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29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2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21" applyNumberFormat="0" applyFill="0" applyAlignment="0" applyProtection="0"/>
    <xf numFmtId="0" fontId="67" fillId="0" borderId="10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33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70" fillId="39" borderId="17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70" fillId="39" borderId="17" applyNumberFormat="0" applyAlignment="0" applyProtection="0"/>
    <xf numFmtId="0" fontId="69" fillId="7" borderId="11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70" fillId="39" borderId="17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69" fillId="7" borderId="11" applyNumberFormat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36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2" fillId="0" borderId="22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2" fillId="0" borderId="22" applyNumberFormat="0" applyFill="0" applyAlignment="0" applyProtection="0"/>
    <xf numFmtId="0" fontId="71" fillId="0" borderId="13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51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54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54" borderId="0" applyNumberFormat="0" applyBorder="0" applyAlignment="0" applyProtection="0"/>
    <xf numFmtId="0" fontId="73" fillId="6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0" fontId="43" fillId="0" borderId="0"/>
    <xf numFmtId="0" fontId="42" fillId="0" borderId="0"/>
    <xf numFmtId="0" fontId="42" fillId="0" borderId="0"/>
    <xf numFmtId="170" fontId="4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8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43" fillId="0" borderId="0"/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1" fillId="10" borderId="15" applyNumberFormat="0" applyFont="0" applyAlignment="0" applyProtection="0"/>
    <xf numFmtId="0" fontId="3" fillId="55" borderId="23" applyNumberFormat="0" applyFont="0" applyAlignment="0" applyProtection="0"/>
    <xf numFmtId="0" fontId="3" fillId="55" borderId="23" applyNumberFormat="0" applyFont="0" applyAlignment="0" applyProtection="0"/>
    <xf numFmtId="0" fontId="3" fillId="55" borderId="23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3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3" fillId="55" borderId="23" applyNumberFormat="0" applyFont="0" applyAlignment="0" applyProtection="0"/>
    <xf numFmtId="0" fontId="48" fillId="55" borderId="23" applyNumberFormat="0" applyFont="0" applyAlignment="0" applyProtection="0"/>
    <xf numFmtId="0" fontId="3" fillId="55" borderId="23" applyNumberFormat="0" applyFont="0" applyAlignment="0" applyProtection="0"/>
    <xf numFmtId="0" fontId="3" fillId="55" borderId="23" applyNumberFormat="0" applyFont="0" applyAlignment="0" applyProtection="0"/>
    <xf numFmtId="0" fontId="3" fillId="55" borderId="23" applyNumberFormat="0" applyFont="0" applyAlignment="0" applyProtection="0"/>
    <xf numFmtId="0" fontId="3" fillId="55" borderId="23" applyNumberFormat="0" applyFont="0" applyAlignment="0" applyProtection="0"/>
    <xf numFmtId="0" fontId="3" fillId="55" borderId="23" applyNumberFormat="0" applyFont="0" applyAlignment="0" applyProtection="0"/>
    <xf numFmtId="0" fontId="3" fillId="55" borderId="23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55" borderId="23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48" fillId="10" borderId="15" applyNumberFormat="0" applyFon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7" fillId="52" borderId="24" applyNumberFormat="0" applyAlignment="0" applyProtection="0"/>
    <xf numFmtId="0" fontId="77" fillId="52" borderId="24" applyNumberFormat="0" applyAlignment="0" applyProtection="0"/>
    <xf numFmtId="0" fontId="77" fillId="52" borderId="24" applyNumberFormat="0" applyAlignment="0" applyProtection="0"/>
    <xf numFmtId="0" fontId="34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7" fillId="52" borderId="24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7" fillId="52" borderId="24" applyNumberFormat="0" applyAlignment="0" applyProtection="0"/>
    <xf numFmtId="0" fontId="76" fillId="8" borderId="12" applyNumberFormat="0" applyAlignment="0" applyProtection="0"/>
    <xf numFmtId="0" fontId="77" fillId="52" borderId="24" applyNumberFormat="0" applyAlignment="0" applyProtection="0"/>
    <xf numFmtId="0" fontId="77" fillId="52" borderId="24" applyNumberFormat="0" applyAlignment="0" applyProtection="0"/>
    <xf numFmtId="0" fontId="77" fillId="52" borderId="24" applyNumberFormat="0" applyAlignment="0" applyProtection="0"/>
    <xf numFmtId="0" fontId="77" fillId="52" borderId="24" applyNumberFormat="0" applyAlignment="0" applyProtection="0"/>
    <xf numFmtId="0" fontId="77" fillId="52" borderId="24" applyNumberFormat="0" applyAlignment="0" applyProtection="0"/>
    <xf numFmtId="0" fontId="77" fillId="52" borderId="24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0" fontId="76" fillId="8" borderId="12" applyNumberFormat="0" applyAlignment="0" applyProtection="0"/>
    <xf numFmtId="9" fontId="4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80" fillId="0" borderId="25" applyNumberFormat="0" applyFill="0" applyAlignment="0" applyProtection="0"/>
    <xf numFmtId="0" fontId="80" fillId="0" borderId="25" applyNumberFormat="0" applyFill="0" applyAlignment="0" applyProtection="0"/>
    <xf numFmtId="0" fontId="80" fillId="0" borderId="25" applyNumberFormat="0" applyFill="0" applyAlignment="0" applyProtection="0"/>
    <xf numFmtId="0" fontId="40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80" fillId="0" borderId="25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80" fillId="0" borderId="25" applyNumberFormat="0" applyFill="0" applyAlignment="0" applyProtection="0"/>
    <xf numFmtId="0" fontId="79" fillId="0" borderId="16" applyNumberFormat="0" applyFill="0" applyAlignment="0" applyProtection="0"/>
    <xf numFmtId="0" fontId="80" fillId="0" borderId="25" applyNumberFormat="0" applyFill="0" applyAlignment="0" applyProtection="0"/>
    <xf numFmtId="0" fontId="80" fillId="0" borderId="25" applyNumberFormat="0" applyFill="0" applyAlignment="0" applyProtection="0"/>
    <xf numFmtId="0" fontId="80" fillId="0" borderId="25" applyNumberFormat="0" applyFill="0" applyAlignment="0" applyProtection="0"/>
    <xf numFmtId="0" fontId="80" fillId="0" borderId="25" applyNumberFormat="0" applyFill="0" applyAlignment="0" applyProtection="0"/>
    <xf numFmtId="0" fontId="80" fillId="0" borderId="25" applyNumberFormat="0" applyFill="0" applyAlignment="0" applyProtection="0"/>
    <xf numFmtId="0" fontId="80" fillId="0" borderId="25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3" fillId="0" borderId="0" applyNumberFormat="0" applyFont="0" applyFill="0" applyBorder="0" applyAlignment="0" applyProtection="0"/>
    <xf numFmtId="1" fontId="81" fillId="0" borderId="0" applyNumberFormat="0" applyFill="0" applyBorder="0" applyAlignment="0" applyProtection="0"/>
    <xf numFmtId="0" fontId="51" fillId="6" borderId="0" applyNumberFormat="0" applyBorder="0" applyAlignment="0" applyProtection="0"/>
    <xf numFmtId="0" fontId="44" fillId="10" borderId="15" applyNumberFormat="0" applyFont="0" applyAlignment="0" applyProtection="0"/>
    <xf numFmtId="0" fontId="41" fillId="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82" fillId="0" borderId="0" applyNumberFormat="0" applyFill="0" applyBorder="0" applyAlignment="0" applyProtection="0"/>
    <xf numFmtId="43" fontId="8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4" fillId="0" borderId="0"/>
    <xf numFmtId="43" fontId="1" fillId="0" borderId="0" applyFont="0" applyFill="0" applyBorder="0" applyAlignment="0" applyProtection="0"/>
    <xf numFmtId="0" fontId="1" fillId="0" borderId="0"/>
    <xf numFmtId="0" fontId="44" fillId="0" borderId="0"/>
    <xf numFmtId="0" fontId="85" fillId="0" borderId="0"/>
    <xf numFmtId="0" fontId="3" fillId="0" borderId="0"/>
    <xf numFmtId="1" fontId="44" fillId="0" borderId="0" applyFont="0"/>
    <xf numFmtId="0" fontId="1" fillId="10" borderId="15" applyNumberFormat="0" applyFont="0" applyAlignment="0" applyProtection="0"/>
    <xf numFmtId="9" fontId="1" fillId="0" borderId="0" applyFont="0" applyFill="0" applyBorder="0" applyAlignment="0" applyProtection="0"/>
    <xf numFmtId="0" fontId="83" fillId="0" borderId="0"/>
    <xf numFmtId="0" fontId="83" fillId="10" borderId="15" applyNumberFormat="0" applyFont="0" applyAlignment="0" applyProtection="0"/>
    <xf numFmtId="0" fontId="1" fillId="0" borderId="0"/>
    <xf numFmtId="0" fontId="1" fillId="10" borderId="15" applyNumberFormat="0" applyFont="0" applyAlignment="0" applyProtection="0"/>
    <xf numFmtId="43" fontId="1" fillId="0" borderId="0" applyFont="0" applyFill="0" applyBorder="0" applyAlignment="0" applyProtection="0"/>
    <xf numFmtId="0" fontId="8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10" borderId="15" applyNumberFormat="0" applyFont="0" applyAlignment="0" applyProtection="0"/>
    <xf numFmtId="44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4" fillId="0" borderId="0"/>
    <xf numFmtId="0" fontId="3" fillId="0" borderId="0"/>
    <xf numFmtId="0" fontId="1" fillId="10" borderId="15" applyNumberFormat="0" applyFont="0" applyAlignment="0" applyProtection="0"/>
    <xf numFmtId="9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9">
    <xf numFmtId="0" fontId="0" fillId="0" borderId="0" xfId="0"/>
    <xf numFmtId="0" fontId="4" fillId="0" borderId="0" xfId="0" applyFont="1"/>
    <xf numFmtId="38" fontId="0" fillId="0" borderId="0" xfId="0" applyNumberFormat="1"/>
    <xf numFmtId="0" fontId="0" fillId="0" borderId="0" xfId="0" applyFill="1"/>
    <xf numFmtId="6" fontId="0" fillId="0" borderId="0" xfId="0" applyNumberFormat="1"/>
    <xf numFmtId="8" fontId="0" fillId="0" borderId="0" xfId="0" applyNumberFormat="1"/>
    <xf numFmtId="10" fontId="0" fillId="0" borderId="0" xfId="0" applyNumberFormat="1"/>
    <xf numFmtId="165" fontId="0" fillId="0" borderId="0" xfId="0" applyNumberFormat="1"/>
    <xf numFmtId="10" fontId="0" fillId="0" borderId="0" xfId="0" applyNumberFormat="1" applyFill="1"/>
    <xf numFmtId="6" fontId="0" fillId="0" borderId="0" xfId="0" applyNumberFormat="1" applyFill="1"/>
    <xf numFmtId="9" fontId="4" fillId="0" borderId="0" xfId="0" applyNumberFormat="1" applyFont="1"/>
    <xf numFmtId="10" fontId="8" fillId="0" borderId="0" xfId="0" applyNumberFormat="1" applyFont="1" applyAlignment="1">
      <alignment horizontal="center" vertical="top" wrapText="1"/>
    </xf>
    <xf numFmtId="6" fontId="0" fillId="0" borderId="1" xfId="0" applyNumberFormat="1" applyBorder="1"/>
    <xf numFmtId="8" fontId="0" fillId="0" borderId="1" xfId="0" applyNumberFormat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167" fontId="0" fillId="0" borderId="0" xfId="2" applyNumberFormat="1" applyFont="1"/>
    <xf numFmtId="167" fontId="0" fillId="0" borderId="0" xfId="0" applyNumberFormat="1"/>
    <xf numFmtId="0" fontId="9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4" fillId="0" borderId="0" xfId="0" applyFont="1" applyFill="1" applyBorder="1"/>
    <xf numFmtId="10" fontId="6" fillId="0" borderId="0" xfId="0" applyNumberFormat="1" applyFont="1" applyBorder="1" applyAlignment="1">
      <alignment horizontal="center" vertical="top" wrapText="1"/>
    </xf>
    <xf numFmtId="10" fontId="8" fillId="0" borderId="0" xfId="0" applyNumberFormat="1" applyFont="1" applyBorder="1" applyAlignment="1">
      <alignment horizontal="center" vertical="top" wrapText="1"/>
    </xf>
    <xf numFmtId="1" fontId="0" fillId="0" borderId="0" xfId="0" applyNumberFormat="1"/>
    <xf numFmtId="0" fontId="13" fillId="0" borderId="0" xfId="0" applyFont="1"/>
    <xf numFmtId="0" fontId="0" fillId="0" borderId="3" xfId="0" applyBorder="1"/>
    <xf numFmtId="0" fontId="16" fillId="0" borderId="0" xfId="3" applyFont="1" applyFill="1" applyBorder="1" applyAlignment="1" applyProtection="1"/>
    <xf numFmtId="8" fontId="0" fillId="0" borderId="0" xfId="0" applyNumberForma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/>
    <xf numFmtId="6" fontId="23" fillId="0" borderId="0" xfId="0" applyNumberFormat="1" applyFont="1"/>
    <xf numFmtId="0" fontId="24" fillId="0" borderId="0" xfId="0" applyFont="1"/>
    <xf numFmtId="167" fontId="0" fillId="0" borderId="0" xfId="2" applyNumberFormat="1" applyFont="1" applyFill="1"/>
    <xf numFmtId="6" fontId="0" fillId="0" borderId="7" xfId="0" applyNumberFormat="1" applyBorder="1"/>
    <xf numFmtId="0" fontId="0" fillId="0" borderId="7" xfId="0" applyBorder="1"/>
    <xf numFmtId="0" fontId="3" fillId="0" borderId="0" xfId="0" applyFont="1"/>
    <xf numFmtId="44" fontId="3" fillId="0" borderId="0" xfId="0" applyNumberFormat="1" applyFont="1"/>
    <xf numFmtId="0" fontId="18" fillId="0" borderId="0" xfId="0" applyFont="1" applyBorder="1"/>
    <xf numFmtId="0" fontId="86" fillId="0" borderId="0" xfId="0" applyFont="1" applyBorder="1"/>
    <xf numFmtId="0" fontId="87" fillId="0" borderId="0" xfId="0" applyFont="1" applyBorder="1" applyAlignment="1">
      <alignment horizontal="center"/>
    </xf>
    <xf numFmtId="0" fontId="87" fillId="0" borderId="0" xfId="0" applyFont="1" applyFill="1" applyBorder="1" applyAlignment="1">
      <alignment horizontal="center"/>
    </xf>
    <xf numFmtId="0" fontId="19" fillId="0" borderId="0" xfId="0" applyFont="1" applyBorder="1"/>
    <xf numFmtId="0" fontId="18" fillId="0" borderId="0" xfId="0" applyFont="1" applyFill="1" applyBorder="1"/>
    <xf numFmtId="0" fontId="87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Protection="1">
      <protection locked="0"/>
    </xf>
    <xf numFmtId="0" fontId="87" fillId="2" borderId="0" xfId="0" applyFont="1" applyFill="1" applyBorder="1" applyAlignment="1">
      <alignment horizontal="center"/>
    </xf>
    <xf numFmtId="0" fontId="87" fillId="2" borderId="0" xfId="0" applyFont="1" applyFill="1" applyBorder="1"/>
    <xf numFmtId="168" fontId="18" fillId="0" borderId="0" xfId="1" applyNumberFormat="1" applyFont="1" applyFill="1" applyBorder="1" applyProtection="1">
      <protection locked="0"/>
    </xf>
    <xf numFmtId="168" fontId="18" fillId="0" borderId="0" xfId="4" applyNumberFormat="1" applyFont="1" applyFill="1" applyBorder="1"/>
    <xf numFmtId="8" fontId="87" fillId="0" borderId="0" xfId="0" applyNumberFormat="1" applyFont="1" applyFill="1" applyBorder="1" applyAlignment="1">
      <alignment horizontal="center"/>
    </xf>
    <xf numFmtId="9" fontId="18" fillId="0" borderId="0" xfId="0" applyNumberFormat="1" applyFont="1" applyBorder="1"/>
    <xf numFmtId="0" fontId="19" fillId="0" borderId="0" xfId="0" applyFont="1" applyFill="1" applyBorder="1"/>
    <xf numFmtId="168" fontId="18" fillId="0" borderId="0" xfId="0" applyNumberFormat="1" applyFont="1" applyFill="1" applyBorder="1"/>
    <xf numFmtId="10" fontId="18" fillId="0" borderId="0" xfId="0" applyNumberFormat="1" applyFont="1" applyBorder="1"/>
    <xf numFmtId="6" fontId="18" fillId="0" borderId="0" xfId="0" applyNumberFormat="1" applyFont="1" applyFill="1" applyBorder="1"/>
    <xf numFmtId="44" fontId="18" fillId="0" borderId="0" xfId="2" applyFont="1" applyFill="1" applyBorder="1"/>
    <xf numFmtId="44" fontId="18" fillId="0" borderId="0" xfId="0" applyNumberFormat="1" applyFont="1" applyFill="1" applyBorder="1"/>
    <xf numFmtId="9" fontId="18" fillId="0" borderId="0" xfId="0" applyNumberFormat="1" applyFont="1" applyFill="1" applyBorder="1"/>
    <xf numFmtId="6" fontId="18" fillId="0" borderId="0" xfId="0" applyNumberFormat="1" applyFont="1" applyBorder="1"/>
    <xf numFmtId="9" fontId="18" fillId="0" borderId="0" xfId="2" applyNumberFormat="1" applyFont="1" applyFill="1" applyBorder="1" applyProtection="1"/>
    <xf numFmtId="0" fontId="18" fillId="0" borderId="0" xfId="0" applyFont="1" applyFill="1" applyBorder="1" applyAlignment="1">
      <alignment horizontal="center"/>
    </xf>
    <xf numFmtId="0" fontId="87" fillId="0" borderId="0" xfId="0" applyFont="1" applyFill="1" applyBorder="1"/>
    <xf numFmtId="168" fontId="18" fillId="0" borderId="0" xfId="1" applyNumberFormat="1" applyFont="1" applyFill="1" applyBorder="1"/>
    <xf numFmtId="10" fontId="18" fillId="0" borderId="0" xfId="0" applyNumberFormat="1" applyFont="1" applyFill="1" applyBorder="1" applyProtection="1">
      <protection locked="0"/>
    </xf>
    <xf numFmtId="10" fontId="18" fillId="0" borderId="0" xfId="0" applyNumberFormat="1" applyFont="1" applyFill="1" applyBorder="1"/>
    <xf numFmtId="38" fontId="18" fillId="0" borderId="0" xfId="0" quotePrefix="1" applyNumberFormat="1" applyFont="1" applyFill="1" applyBorder="1"/>
    <xf numFmtId="44" fontId="18" fillId="0" borderId="0" xfId="2" applyFont="1" applyFill="1" applyBorder="1" applyProtection="1">
      <protection locked="0"/>
    </xf>
    <xf numFmtId="38" fontId="18" fillId="0" borderId="0" xfId="0" applyNumberFormat="1" applyFont="1" applyFill="1" applyBorder="1"/>
    <xf numFmtId="0" fontId="18" fillId="0" borderId="0" xfId="0" quotePrefix="1" applyFont="1" applyBorder="1" applyAlignment="1">
      <alignment horizontal="center"/>
    </xf>
    <xf numFmtId="9" fontId="18" fillId="0" borderId="0" xfId="4" applyFont="1" applyBorder="1"/>
    <xf numFmtId="0" fontId="89" fillId="0" borderId="0" xfId="0" applyFont="1" applyBorder="1"/>
    <xf numFmtId="9" fontId="18" fillId="0" borderId="0" xfId="4" applyFont="1" applyFill="1" applyBorder="1" applyProtection="1"/>
    <xf numFmtId="9" fontId="18" fillId="0" borderId="0" xfId="4" applyFont="1" applyFill="1" applyBorder="1" applyProtection="1">
      <protection locked="0"/>
    </xf>
    <xf numFmtId="0" fontId="88" fillId="0" borderId="0" xfId="0" applyFont="1" applyFill="1" applyBorder="1"/>
    <xf numFmtId="8" fontId="18" fillId="0" borderId="0" xfId="0" applyNumberFormat="1" applyFont="1" applyFill="1" applyBorder="1"/>
    <xf numFmtId="166" fontId="18" fillId="0" borderId="0" xfId="4" applyNumberFormat="1" applyFont="1" applyBorder="1"/>
    <xf numFmtId="166" fontId="88" fillId="0" borderId="0" xfId="4" applyNumberFormat="1" applyFont="1" applyFill="1" applyBorder="1"/>
    <xf numFmtId="1" fontId="18" fillId="0" borderId="0" xfId="0" applyNumberFormat="1" applyFont="1" applyFill="1" applyBorder="1" applyProtection="1">
      <protection locked="0"/>
    </xf>
    <xf numFmtId="8" fontId="18" fillId="0" borderId="0" xfId="0" applyNumberFormat="1" applyFont="1" applyBorder="1"/>
    <xf numFmtId="167" fontId="18" fillId="0" borderId="0" xfId="2" applyNumberFormat="1" applyFont="1" applyFill="1" applyBorder="1"/>
    <xf numFmtId="44" fontId="18" fillId="0" borderId="0" xfId="0" applyNumberFormat="1" applyFont="1" applyFill="1" applyBorder="1" applyProtection="1">
      <protection locked="0"/>
    </xf>
    <xf numFmtId="6" fontId="19" fillId="0" borderId="0" xfId="0" applyNumberFormat="1" applyFont="1" applyBorder="1"/>
    <xf numFmtId="168" fontId="18" fillId="0" borderId="0" xfId="0" applyNumberFormat="1" applyFont="1" applyFill="1" applyBorder="1" applyProtection="1">
      <protection locked="0"/>
    </xf>
    <xf numFmtId="167" fontId="18" fillId="0" borderId="0" xfId="0" applyNumberFormat="1" applyFont="1" applyFill="1" applyBorder="1"/>
    <xf numFmtId="44" fontId="18" fillId="0" borderId="0" xfId="2" applyFont="1" applyFill="1" applyBorder="1" applyProtection="1"/>
    <xf numFmtId="0" fontId="18" fillId="0" borderId="26" xfId="0" applyFont="1" applyBorder="1" applyAlignment="1">
      <alignment horizontal="left"/>
    </xf>
    <xf numFmtId="169" fontId="18" fillId="0" borderId="0" xfId="0" applyNumberFormat="1" applyFont="1" applyFill="1" applyBorder="1"/>
    <xf numFmtId="1" fontId="18" fillId="0" borderId="0" xfId="0" applyNumberFormat="1" applyFont="1" applyFill="1" applyBorder="1"/>
    <xf numFmtId="9" fontId="18" fillId="0" borderId="0" xfId="0" applyNumberFormat="1" applyFont="1"/>
    <xf numFmtId="0" fontId="18" fillId="0" borderId="0" xfId="0" applyFont="1" applyFill="1"/>
    <xf numFmtId="9" fontId="18" fillId="0" borderId="0" xfId="0" applyNumberFormat="1" applyFont="1" applyFill="1"/>
    <xf numFmtId="10" fontId="18" fillId="57" borderId="0" xfId="0" applyNumberFormat="1" applyFont="1" applyFill="1" applyBorder="1" applyProtection="1">
      <protection locked="0"/>
    </xf>
    <xf numFmtId="0" fontId="18" fillId="57" borderId="0" xfId="0" applyFont="1" applyFill="1" applyBorder="1" applyProtection="1">
      <protection locked="0"/>
    </xf>
    <xf numFmtId="0" fontId="18" fillId="57" borderId="0" xfId="0" applyFont="1" applyFill="1" applyBorder="1"/>
    <xf numFmtId="166" fontId="18" fillId="57" borderId="0" xfId="4" applyNumberFormat="1" applyFont="1" applyFill="1" applyBorder="1" applyProtection="1">
      <protection locked="0"/>
    </xf>
    <xf numFmtId="167" fontId="18" fillId="57" borderId="0" xfId="2" applyNumberFormat="1" applyFont="1" applyFill="1" applyBorder="1" applyProtection="1">
      <protection locked="0"/>
    </xf>
    <xf numFmtId="44" fontId="18" fillId="57" borderId="0" xfId="2" applyFont="1" applyFill="1" applyBorder="1" applyProtection="1">
      <protection locked="0"/>
    </xf>
    <xf numFmtId="10" fontId="18" fillId="57" borderId="0" xfId="4" applyNumberFormat="1" applyFont="1" applyFill="1" applyBorder="1" applyProtection="1">
      <protection locked="0"/>
    </xf>
    <xf numFmtId="10" fontId="18" fillId="57" borderId="0" xfId="4" quotePrefix="1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165" fontId="0" fillId="0" borderId="0" xfId="0" applyNumberFormat="1" applyBorder="1"/>
    <xf numFmtId="10" fontId="0" fillId="0" borderId="0" xfId="0" applyNumberFormat="1" applyBorder="1"/>
    <xf numFmtId="6" fontId="0" fillId="0" borderId="0" xfId="0" applyNumberFormat="1" applyFill="1" applyBorder="1"/>
    <xf numFmtId="10" fontId="0" fillId="0" borderId="0" xfId="0" applyNumberFormat="1" applyFill="1" applyBorder="1"/>
    <xf numFmtId="6" fontId="0" fillId="0" borderId="0" xfId="0" applyNumberFormat="1" applyBorder="1"/>
    <xf numFmtId="166" fontId="0" fillId="0" borderId="0" xfId="4" applyNumberFormat="1" applyFont="1" applyBorder="1"/>
    <xf numFmtId="0" fontId="0" fillId="0" borderId="28" xfId="0" applyBorder="1"/>
    <xf numFmtId="0" fontId="0" fillId="0" borderId="29" xfId="0" applyBorder="1"/>
    <xf numFmtId="0" fontId="4" fillId="0" borderId="26" xfId="0" applyFont="1" applyBorder="1"/>
    <xf numFmtId="0" fontId="0" fillId="0" borderId="30" xfId="0" applyBorder="1"/>
    <xf numFmtId="0" fontId="0" fillId="0" borderId="26" xfId="0" applyBorder="1"/>
    <xf numFmtId="0" fontId="6" fillId="0" borderId="26" xfId="0" applyFont="1" applyBorder="1"/>
    <xf numFmtId="166" fontId="0" fillId="0" borderId="30" xfId="0" applyNumberFormat="1" applyBorder="1"/>
    <xf numFmtId="0" fontId="0" fillId="0" borderId="31" xfId="0" applyBorder="1"/>
    <xf numFmtId="0" fontId="0" fillId="0" borderId="32" xfId="0" applyBorder="1"/>
    <xf numFmtId="0" fontId="6" fillId="0" borderId="33" xfId="0" applyFont="1" applyBorder="1"/>
    <xf numFmtId="0" fontId="0" fillId="56" borderId="34" xfId="0" applyFill="1" applyBorder="1"/>
    <xf numFmtId="0" fontId="6" fillId="0" borderId="37" xfId="0" applyFont="1" applyBorder="1"/>
    <xf numFmtId="0" fontId="0" fillId="0" borderId="38" xfId="0" applyBorder="1"/>
    <xf numFmtId="0" fontId="19" fillId="0" borderId="27" xfId="0" applyFont="1" applyFill="1" applyBorder="1"/>
    <xf numFmtId="0" fontId="18" fillId="0" borderId="28" xfId="0" applyFont="1" applyFill="1" applyBorder="1"/>
    <xf numFmtId="9" fontId="18" fillId="0" borderId="28" xfId="0" applyNumberFormat="1" applyFont="1" applyFill="1" applyBorder="1"/>
    <xf numFmtId="0" fontId="18" fillId="0" borderId="29" xfId="0" applyFont="1" applyFill="1" applyBorder="1"/>
    <xf numFmtId="0" fontId="18" fillId="0" borderId="30" xfId="0" applyFont="1" applyFill="1" applyBorder="1"/>
    <xf numFmtId="9" fontId="87" fillId="0" borderId="0" xfId="0" applyNumberFormat="1" applyFont="1" applyFill="1" applyBorder="1" applyAlignment="1">
      <alignment horizontal="center"/>
    </xf>
    <xf numFmtId="0" fontId="18" fillId="0" borderId="26" xfId="0" applyFont="1" applyFill="1" applyBorder="1"/>
    <xf numFmtId="38" fontId="18" fillId="0" borderId="30" xfId="0" applyNumberFormat="1" applyFont="1" applyFill="1" applyBorder="1"/>
    <xf numFmtId="38" fontId="19" fillId="0" borderId="0" xfId="0" applyNumberFormat="1" applyFont="1" applyFill="1" applyBorder="1"/>
    <xf numFmtId="0" fontId="19" fillId="0" borderId="26" xfId="0" applyFont="1" applyFill="1" applyBorder="1"/>
    <xf numFmtId="0" fontId="18" fillId="0" borderId="26" xfId="0" applyFont="1" applyBorder="1"/>
    <xf numFmtId="164" fontId="18" fillId="0" borderId="0" xfId="0" applyNumberFormat="1" applyFont="1" applyFill="1" applyBorder="1"/>
    <xf numFmtId="165" fontId="18" fillId="0" borderId="0" xfId="2" applyNumberFormat="1" applyFont="1" applyFill="1" applyBorder="1"/>
    <xf numFmtId="165" fontId="18" fillId="0" borderId="0" xfId="0" applyNumberFormat="1" applyFont="1" applyFill="1" applyBorder="1"/>
    <xf numFmtId="165" fontId="19" fillId="0" borderId="0" xfId="0" applyNumberFormat="1" applyFont="1" applyFill="1" applyBorder="1"/>
    <xf numFmtId="0" fontId="18" fillId="0" borderId="32" xfId="0" applyFont="1" applyFill="1" applyBorder="1"/>
    <xf numFmtId="6" fontId="18" fillId="0" borderId="32" xfId="0" applyNumberFormat="1" applyFont="1" applyFill="1" applyBorder="1"/>
    <xf numFmtId="9" fontId="18" fillId="0" borderId="32" xfId="0" applyNumberFormat="1" applyFont="1" applyFill="1" applyBorder="1"/>
    <xf numFmtId="0" fontId="18" fillId="0" borderId="33" xfId="0" applyFont="1" applyFill="1" applyBorder="1"/>
    <xf numFmtId="0" fontId="18" fillId="0" borderId="31" xfId="0" applyFont="1" applyFill="1" applyBorder="1"/>
    <xf numFmtId="1" fontId="18" fillId="0" borderId="32" xfId="0" applyNumberFormat="1" applyFont="1" applyFill="1" applyBorder="1"/>
    <xf numFmtId="38" fontId="18" fillId="0" borderId="32" xfId="0" applyNumberFormat="1" applyFont="1" applyFill="1" applyBorder="1"/>
    <xf numFmtId="38" fontId="18" fillId="0" borderId="33" xfId="0" applyNumberFormat="1" applyFont="1" applyFill="1" applyBorder="1"/>
    <xf numFmtId="0" fontId="87" fillId="0" borderId="30" xfId="0" applyFont="1" applyFill="1" applyBorder="1" applyAlignment="1">
      <alignment horizontal="center"/>
    </xf>
    <xf numFmtId="44" fontId="18" fillId="0" borderId="30" xfId="2" applyFont="1" applyFill="1" applyBorder="1"/>
    <xf numFmtId="6" fontId="18" fillId="0" borderId="30" xfId="0" applyNumberFormat="1" applyFont="1" applyFill="1" applyBorder="1"/>
    <xf numFmtId="164" fontId="18" fillId="0" borderId="30" xfId="0" applyNumberFormat="1" applyFont="1" applyFill="1" applyBorder="1"/>
    <xf numFmtId="44" fontId="18" fillId="0" borderId="30" xfId="0" applyNumberFormat="1" applyFont="1" applyFill="1" applyBorder="1"/>
    <xf numFmtId="6" fontId="18" fillId="0" borderId="33" xfId="0" applyNumberFormat="1" applyFont="1" applyFill="1" applyBorder="1"/>
    <xf numFmtId="165" fontId="18" fillId="0" borderId="30" xfId="2" applyNumberFormat="1" applyFont="1" applyFill="1" applyBorder="1"/>
    <xf numFmtId="165" fontId="18" fillId="0" borderId="32" xfId="0" applyNumberFormat="1" applyFont="1" applyFill="1" applyBorder="1"/>
    <xf numFmtId="165" fontId="18" fillId="0" borderId="33" xfId="0" applyNumberFormat="1" applyFont="1" applyFill="1" applyBorder="1"/>
    <xf numFmtId="165" fontId="18" fillId="0" borderId="30" xfId="0" applyNumberFormat="1" applyFont="1" applyFill="1" applyBorder="1"/>
    <xf numFmtId="165" fontId="19" fillId="0" borderId="30" xfId="0" applyNumberFormat="1" applyFont="1" applyFill="1" applyBorder="1"/>
    <xf numFmtId="0" fontId="87" fillId="0" borderId="26" xfId="0" applyFont="1" applyBorder="1"/>
    <xf numFmtId="0" fontId="18" fillId="0" borderId="30" xfId="0" applyFont="1" applyBorder="1"/>
    <xf numFmtId="0" fontId="19" fillId="0" borderId="26" xfId="0" applyFont="1" applyBorder="1"/>
    <xf numFmtId="0" fontId="88" fillId="0" borderId="30" xfId="0" applyFont="1" applyBorder="1"/>
    <xf numFmtId="0" fontId="87" fillId="0" borderId="30" xfId="0" applyFont="1" applyBorder="1" applyAlignment="1">
      <alignment horizontal="center"/>
    </xf>
    <xf numFmtId="38" fontId="18" fillId="0" borderId="30" xfId="0" applyNumberFormat="1" applyFont="1" applyBorder="1"/>
    <xf numFmtId="0" fontId="19" fillId="0" borderId="26" xfId="0" applyFont="1" applyBorder="1" applyAlignment="1">
      <alignment horizontal="right"/>
    </xf>
    <xf numFmtId="0" fontId="19" fillId="0" borderId="26" xfId="0" applyFont="1" applyBorder="1" applyAlignment="1">
      <alignment horizontal="left"/>
    </xf>
    <xf numFmtId="9" fontId="18" fillId="57" borderId="30" xfId="4" applyFont="1" applyFill="1" applyBorder="1" applyProtection="1">
      <protection locked="0"/>
    </xf>
    <xf numFmtId="9" fontId="18" fillId="0" borderId="30" xfId="4" applyFont="1" applyBorder="1"/>
    <xf numFmtId="0" fontId="19" fillId="0" borderId="31" xfId="0" applyFont="1" applyBorder="1"/>
    <xf numFmtId="0" fontId="18" fillId="0" borderId="32" xfId="0" applyFont="1" applyBorder="1"/>
    <xf numFmtId="0" fontId="18" fillId="0" borderId="33" xfId="0" applyFont="1" applyBorder="1"/>
    <xf numFmtId="0" fontId="18" fillId="0" borderId="30" xfId="0" applyFont="1" applyBorder="1" applyAlignment="1">
      <alignment horizontal="center"/>
    </xf>
    <xf numFmtId="168" fontId="18" fillId="57" borderId="30" xfId="1" applyNumberFormat="1" applyFont="1" applyFill="1" applyBorder="1" applyProtection="1">
      <protection locked="0"/>
    </xf>
    <xf numFmtId="168" fontId="18" fillId="0" borderId="30" xfId="4" applyNumberFormat="1" applyFont="1" applyFill="1" applyBorder="1" applyProtection="1"/>
    <xf numFmtId="168" fontId="18" fillId="0" borderId="30" xfId="0" applyNumberFormat="1" applyFont="1" applyFill="1" applyBorder="1"/>
    <xf numFmtId="168" fontId="18" fillId="0" borderId="30" xfId="1" applyNumberFormat="1" applyFont="1" applyFill="1" applyBorder="1" applyProtection="1">
      <protection locked="0"/>
    </xf>
    <xf numFmtId="168" fontId="18" fillId="0" borderId="30" xfId="0" applyNumberFormat="1" applyFont="1" applyBorder="1"/>
    <xf numFmtId="0" fontId="18" fillId="57" borderId="30" xfId="0" applyFont="1" applyFill="1" applyBorder="1" applyProtection="1">
      <protection locked="0"/>
    </xf>
    <xf numFmtId="168" fontId="18" fillId="0" borderId="30" xfId="1" applyNumberFormat="1" applyFont="1" applyFill="1" applyBorder="1" applyProtection="1"/>
    <xf numFmtId="38" fontId="18" fillId="0" borderId="30" xfId="0" applyNumberFormat="1" applyFont="1" applyFill="1" applyBorder="1" applyAlignment="1">
      <alignment horizontal="right"/>
    </xf>
    <xf numFmtId="38" fontId="18" fillId="0" borderId="30" xfId="0" quotePrefix="1" applyNumberFormat="1" applyFont="1" applyFill="1" applyBorder="1"/>
    <xf numFmtId="44" fontId="18" fillId="57" borderId="30" xfId="2" applyFont="1" applyFill="1" applyBorder="1" applyProtection="1">
      <protection locked="0"/>
    </xf>
    <xf numFmtId="44" fontId="18" fillId="0" borderId="30" xfId="2" applyFont="1" applyFill="1" applyBorder="1" applyProtection="1">
      <protection locked="0"/>
    </xf>
    <xf numFmtId="1" fontId="18" fillId="0" borderId="30" xfId="0" applyNumberFormat="1" applyFont="1" applyFill="1" applyBorder="1" applyAlignment="1">
      <alignment horizontal="right"/>
    </xf>
    <xf numFmtId="168" fontId="18" fillId="0" borderId="30" xfId="0" applyNumberFormat="1" applyFont="1" applyFill="1" applyBorder="1" applyProtection="1">
      <protection locked="0"/>
    </xf>
    <xf numFmtId="167" fontId="18" fillId="0" borderId="30" xfId="0" applyNumberFormat="1" applyFont="1" applyFill="1" applyBorder="1"/>
    <xf numFmtId="0" fontId="19" fillId="0" borderId="40" xfId="0" applyFont="1" applyBorder="1"/>
    <xf numFmtId="0" fontId="18" fillId="0" borderId="7" xfId="0" applyFont="1" applyBorder="1"/>
    <xf numFmtId="0" fontId="18" fillId="0" borderId="41" xfId="0" applyFont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90" fillId="0" borderId="30" xfId="0" applyFont="1" applyBorder="1" applyAlignment="1">
      <alignment horizontal="center"/>
    </xf>
    <xf numFmtId="0" fontId="90" fillId="0" borderId="30" xfId="0" applyFont="1" applyFill="1" applyBorder="1" applyAlignment="1">
      <alignment horizontal="center"/>
    </xf>
    <xf numFmtId="0" fontId="18" fillId="0" borderId="40" xfId="0" applyFont="1" applyBorder="1"/>
    <xf numFmtId="0" fontId="18" fillId="0" borderId="37" xfId="0" applyFont="1" applyBorder="1"/>
    <xf numFmtId="0" fontId="18" fillId="0" borderId="1" xfId="0" applyFont="1" applyBorder="1"/>
    <xf numFmtId="0" fontId="18" fillId="0" borderId="38" xfId="0" applyFont="1" applyBorder="1"/>
    <xf numFmtId="0" fontId="19" fillId="0" borderId="28" xfId="0" applyFont="1" applyFill="1" applyBorder="1"/>
    <xf numFmtId="0" fontId="18" fillId="0" borderId="27" xfId="0" applyFont="1" applyBorder="1"/>
    <xf numFmtId="0" fontId="4" fillId="0" borderId="27" xfId="0" applyFont="1" applyBorder="1"/>
    <xf numFmtId="0" fontId="4" fillId="0" borderId="28" xfId="0" applyFont="1" applyBorder="1"/>
    <xf numFmtId="8" fontId="0" fillId="0" borderId="28" xfId="0" applyNumberFormat="1" applyBorder="1"/>
    <xf numFmtId="8" fontId="0" fillId="0" borderId="0" xfId="0" applyNumberFormat="1" applyBorder="1"/>
    <xf numFmtId="0" fontId="5" fillId="0" borderId="2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8" fontId="5" fillId="0" borderId="0" xfId="0" applyNumberFormat="1" applyFont="1" applyBorder="1" applyAlignment="1">
      <alignment horizontal="center"/>
    </xf>
    <xf numFmtId="0" fontId="4" fillId="0" borderId="26" xfId="0" applyFont="1" applyFill="1" applyBorder="1" applyProtection="1">
      <protection locked="0"/>
    </xf>
    <xf numFmtId="38" fontId="0" fillId="57" borderId="0" xfId="0" applyNumberFormat="1" applyFill="1" applyBorder="1" applyProtection="1">
      <protection locked="0"/>
    </xf>
    <xf numFmtId="6" fontId="0" fillId="57" borderId="0" xfId="0" applyNumberFormat="1" applyFill="1" applyBorder="1" applyProtection="1">
      <protection locked="0"/>
    </xf>
    <xf numFmtId="9" fontId="0" fillId="57" borderId="0" xfId="4" applyFont="1" applyFill="1" applyBorder="1" applyProtection="1">
      <protection locked="0"/>
    </xf>
    <xf numFmtId="167" fontId="0" fillId="0" borderId="0" xfId="2" applyNumberFormat="1" applyFont="1" applyBorder="1"/>
    <xf numFmtId="0" fontId="0" fillId="0" borderId="26" xfId="0" applyFill="1" applyBorder="1" applyProtection="1">
      <protection locked="0"/>
    </xf>
    <xf numFmtId="0" fontId="0" fillId="0" borderId="0" xfId="0" applyBorder="1" applyProtection="1">
      <protection locked="0"/>
    </xf>
    <xf numFmtId="9" fontId="0" fillId="0" borderId="0" xfId="4" applyFont="1" applyBorder="1" applyProtection="1">
      <protection locked="0"/>
    </xf>
    <xf numFmtId="0" fontId="0" fillId="0" borderId="26" xfId="0" applyFill="1" applyBorder="1"/>
    <xf numFmtId="9" fontId="0" fillId="0" borderId="0" xfId="4" applyFont="1" applyFill="1" applyBorder="1" applyProtection="1">
      <protection locked="0"/>
    </xf>
    <xf numFmtId="167" fontId="0" fillId="0" borderId="0" xfId="2" applyNumberFormat="1" applyFont="1" applyFill="1" applyBorder="1"/>
    <xf numFmtId="0" fontId="4" fillId="0" borderId="37" xfId="0" applyFont="1" applyBorder="1"/>
    <xf numFmtId="0" fontId="10" fillId="0" borderId="26" xfId="0" applyFont="1" applyBorder="1"/>
    <xf numFmtId="8" fontId="4" fillId="0" borderId="0" xfId="0" applyNumberFormat="1" applyFont="1" applyBorder="1"/>
    <xf numFmtId="8" fontId="0" fillId="57" borderId="0" xfId="0" applyNumberFormat="1" applyFill="1" applyBorder="1"/>
    <xf numFmtId="171" fontId="0" fillId="0" borderId="0" xfId="0" applyNumberFormat="1" applyFill="1" applyBorder="1"/>
    <xf numFmtId="0" fontId="4" fillId="0" borderId="31" xfId="0" applyFont="1" applyBorder="1"/>
    <xf numFmtId="6" fontId="0" fillId="0" borderId="30" xfId="0" applyNumberFormat="1" applyBorder="1"/>
    <xf numFmtId="6" fontId="0" fillId="0" borderId="30" xfId="0" applyNumberFormat="1" applyFill="1" applyBorder="1"/>
    <xf numFmtId="0" fontId="4" fillId="0" borderId="44" xfId="0" applyFont="1" applyBorder="1"/>
    <xf numFmtId="0" fontId="4" fillId="0" borderId="45" xfId="0" applyFont="1" applyBorder="1"/>
    <xf numFmtId="6" fontId="0" fillId="0" borderId="45" xfId="0" applyNumberFormat="1" applyBorder="1"/>
    <xf numFmtId="8" fontId="0" fillId="0" borderId="45" xfId="0" applyNumberFormat="1" applyBorder="1"/>
    <xf numFmtId="6" fontId="0" fillId="0" borderId="46" xfId="0" applyNumberFormat="1" applyBorder="1"/>
    <xf numFmtId="0" fontId="0" fillId="57" borderId="0" xfId="0" applyFill="1" applyBorder="1"/>
    <xf numFmtId="0" fontId="0" fillId="0" borderId="45" xfId="0" applyBorder="1"/>
    <xf numFmtId="0" fontId="4" fillId="0" borderId="26" xfId="0" applyFont="1" applyFill="1" applyBorder="1"/>
    <xf numFmtId="167" fontId="0" fillId="57" borderId="0" xfId="2" applyNumberFormat="1" applyFont="1" applyFill="1" applyBorder="1" applyProtection="1">
      <protection locked="0"/>
    </xf>
    <xf numFmtId="0" fontId="5" fillId="0" borderId="26" xfId="0" applyFont="1" applyBorder="1"/>
    <xf numFmtId="165" fontId="0" fillId="0" borderId="0" xfId="2" applyNumberFormat="1" applyFont="1" applyBorder="1"/>
    <xf numFmtId="167" fontId="0" fillId="0" borderId="0" xfId="0" applyNumberFormat="1" applyBorder="1"/>
    <xf numFmtId="44" fontId="0" fillId="0" borderId="0" xfId="2" applyFont="1" applyBorder="1"/>
    <xf numFmtId="0" fontId="0" fillId="0" borderId="33" xfId="0" applyBorder="1"/>
    <xf numFmtId="0" fontId="0" fillId="0" borderId="40" xfId="0" applyBorder="1"/>
    <xf numFmtId="0" fontId="0" fillId="0" borderId="41" xfId="0" applyBorder="1"/>
    <xf numFmtId="0" fontId="0" fillId="0" borderId="27" xfId="0" applyBorder="1"/>
    <xf numFmtId="9" fontId="0" fillId="0" borderId="30" xfId="4" applyFont="1" applyBorder="1"/>
    <xf numFmtId="6" fontId="5" fillId="0" borderId="0" xfId="0" applyNumberFormat="1" applyFont="1" applyBorder="1" applyAlignment="1">
      <alignment horizontal="center"/>
    </xf>
    <xf numFmtId="1" fontId="0" fillId="0" borderId="0" xfId="1" applyNumberFormat="1" applyFont="1" applyBorder="1"/>
    <xf numFmtId="1" fontId="0" fillId="0" borderId="0" xfId="0" applyNumberFormat="1" applyBorder="1"/>
    <xf numFmtId="0" fontId="4" fillId="0" borderId="26" xfId="0" applyFont="1" applyFill="1" applyBorder="1" applyAlignment="1">
      <alignment horizontal="center"/>
    </xf>
    <xf numFmtId="0" fontId="7" fillId="0" borderId="0" xfId="0" applyFont="1" applyBorder="1"/>
    <xf numFmtId="0" fontId="3" fillId="0" borderId="30" xfId="0" applyFont="1" applyBorder="1"/>
    <xf numFmtId="0" fontId="4" fillId="0" borderId="26" xfId="0" applyFont="1" applyBorder="1" applyAlignment="1">
      <alignment horizontal="center"/>
    </xf>
    <xf numFmtId="6" fontId="6" fillId="0" borderId="0" xfId="0" applyNumberFormat="1" applyFont="1" applyFill="1" applyBorder="1"/>
    <xf numFmtId="6" fontId="4" fillId="0" borderId="0" xfId="0" applyNumberFormat="1" applyFont="1" applyFill="1" applyBorder="1"/>
    <xf numFmtId="167" fontId="6" fillId="0" borderId="0" xfId="0" applyNumberFormat="1" applyFont="1" applyFill="1" applyBorder="1"/>
    <xf numFmtId="0" fontId="6" fillId="0" borderId="0" xfId="0" applyFont="1" applyBorder="1"/>
    <xf numFmtId="6" fontId="6" fillId="0" borderId="0" xfId="0" applyNumberFormat="1" applyFont="1" applyBorder="1"/>
    <xf numFmtId="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6" fillId="0" borderId="0" xfId="0" applyNumberFormat="1" applyFont="1" applyFill="1" applyBorder="1"/>
    <xf numFmtId="6" fontId="0" fillId="0" borderId="32" xfId="0" applyNumberFormat="1" applyBorder="1"/>
    <xf numFmtId="10" fontId="6" fillId="0" borderId="32" xfId="0" applyNumberFormat="1" applyFont="1" applyBorder="1" applyAlignment="1">
      <alignment horizontal="center" vertical="top" wrapText="1"/>
    </xf>
    <xf numFmtId="0" fontId="4" fillId="0" borderId="40" xfId="0" applyFont="1" applyBorder="1"/>
    <xf numFmtId="0" fontId="3" fillId="57" borderId="26" xfId="0" applyFont="1" applyFill="1" applyBorder="1" applyProtection="1">
      <protection locked="0"/>
    </xf>
    <xf numFmtId="0" fontId="0" fillId="57" borderId="0" xfId="0" applyFill="1" applyBorder="1" applyProtection="1">
      <protection locked="0"/>
    </xf>
    <xf numFmtId="0" fontId="3" fillId="57" borderId="0" xfId="0" applyFont="1" applyFill="1" applyBorder="1" applyProtection="1">
      <protection locked="0"/>
    </xf>
    <xf numFmtId="0" fontId="2" fillId="57" borderId="26" xfId="5" applyFill="1" applyBorder="1" applyAlignment="1" applyProtection="1">
      <protection locked="0"/>
    </xf>
    <xf numFmtId="0" fontId="2" fillId="57" borderId="26" xfId="5" applyFill="1" applyBorder="1"/>
    <xf numFmtId="0" fontId="6" fillId="57" borderId="26" xfId="0" applyFont="1" applyFill="1" applyBorder="1" applyProtection="1">
      <protection locked="0"/>
    </xf>
    <xf numFmtId="6" fontId="6" fillId="0" borderId="0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6" fontId="0" fillId="0" borderId="0" xfId="0" applyNumberFormat="1" applyFill="1" applyBorder="1" applyProtection="1">
      <protection locked="0"/>
    </xf>
    <xf numFmtId="6" fontId="0" fillId="0" borderId="30" xfId="0" applyNumberFormat="1" applyFill="1" applyBorder="1" applyProtection="1">
      <protection locked="0"/>
    </xf>
    <xf numFmtId="6" fontId="25" fillId="0" borderId="0" xfId="0" applyNumberFormat="1" applyFont="1" applyBorder="1"/>
    <xf numFmtId="6" fontId="0" fillId="0" borderId="39" xfId="0" applyNumberFormat="1" applyBorder="1"/>
    <xf numFmtId="0" fontId="4" fillId="0" borderId="42" xfId="0" applyFont="1" applyBorder="1"/>
    <xf numFmtId="6" fontId="0" fillId="0" borderId="43" xfId="0" applyNumberFormat="1" applyBorder="1"/>
    <xf numFmtId="6" fontId="3" fillId="0" borderId="0" xfId="0" applyNumberFormat="1" applyFont="1" applyBorder="1"/>
    <xf numFmtId="0" fontId="6" fillId="0" borderId="1" xfId="0" applyFont="1" applyBorder="1" applyAlignment="1">
      <alignment horizontal="center"/>
    </xf>
    <xf numFmtId="6" fontId="4" fillId="0" borderId="28" xfId="0" applyNumberFormat="1" applyFont="1" applyFill="1" applyBorder="1"/>
    <xf numFmtId="167" fontId="0" fillId="57" borderId="30" xfId="0" applyNumberFormat="1" applyFill="1" applyBorder="1" applyProtection="1">
      <protection locked="0"/>
    </xf>
    <xf numFmtId="6" fontId="6" fillId="0" borderId="32" xfId="0" applyNumberFormat="1" applyFont="1" applyFill="1" applyBorder="1"/>
    <xf numFmtId="167" fontId="0" fillId="0" borderId="32" xfId="2" applyNumberFormat="1" applyFont="1" applyBorder="1"/>
    <xf numFmtId="167" fontId="0" fillId="0" borderId="33" xfId="0" applyNumberFormat="1" applyBorder="1"/>
    <xf numFmtId="0" fontId="4" fillId="0" borderId="29" xfId="0" applyFont="1" applyBorder="1"/>
    <xf numFmtId="167" fontId="0" fillId="57" borderId="30" xfId="2" applyNumberFormat="1" applyFont="1" applyFill="1" applyBorder="1" applyProtection="1">
      <protection locked="0"/>
    </xf>
    <xf numFmtId="0" fontId="0" fillId="57" borderId="26" xfId="0" applyFill="1" applyBorder="1" applyProtection="1">
      <protection locked="0"/>
    </xf>
    <xf numFmtId="167" fontId="0" fillId="0" borderId="33" xfId="2" applyNumberFormat="1" applyFont="1" applyBorder="1"/>
    <xf numFmtId="167" fontId="4" fillId="0" borderId="29" xfId="2" applyNumberFormat="1" applyFont="1" applyBorder="1"/>
    <xf numFmtId="6" fontId="6" fillId="0" borderId="28" xfId="0" applyNumberFormat="1" applyFont="1" applyFill="1" applyBorder="1"/>
    <xf numFmtId="167" fontId="0" fillId="0" borderId="29" xfId="2" applyNumberFormat="1" applyFont="1" applyBorder="1"/>
    <xf numFmtId="0" fontId="3" fillId="0" borderId="0" xfId="0" applyFont="1" applyBorder="1"/>
    <xf numFmtId="0" fontId="6" fillId="0" borderId="7" xfId="0" applyFont="1" applyBorder="1"/>
    <xf numFmtId="0" fontId="3" fillId="0" borderId="0" xfId="0" applyFont="1" applyFill="1" applyBorder="1"/>
    <xf numFmtId="0" fontId="3" fillId="0" borderId="27" xfId="0" applyFont="1" applyBorder="1"/>
    <xf numFmtId="10" fontId="3" fillId="57" borderId="28" xfId="0" applyNumberFormat="1" applyFont="1" applyFill="1" applyBorder="1" applyProtection="1">
      <protection locked="0"/>
    </xf>
    <xf numFmtId="0" fontId="3" fillId="0" borderId="28" xfId="0" applyFont="1" applyBorder="1"/>
    <xf numFmtId="38" fontId="3" fillId="0" borderId="29" xfId="0" applyNumberFormat="1" applyFont="1" applyBorder="1"/>
    <xf numFmtId="0" fontId="3" fillId="0" borderId="26" xfId="0" applyFont="1" applyBorder="1"/>
    <xf numFmtId="6" fontId="3" fillId="0" borderId="30" xfId="0" applyNumberFormat="1" applyFont="1" applyBorder="1"/>
    <xf numFmtId="8" fontId="3" fillId="0" borderId="0" xfId="0" applyNumberFormat="1" applyFont="1" applyBorder="1"/>
    <xf numFmtId="6" fontId="3" fillId="0" borderId="0" xfId="0" applyNumberFormat="1" applyFont="1" applyBorder="1" applyAlignment="1">
      <alignment horizontal="center"/>
    </xf>
    <xf numFmtId="8" fontId="3" fillId="0" borderId="30" xfId="0" applyNumberFormat="1" applyFont="1" applyBorder="1"/>
    <xf numFmtId="0" fontId="3" fillId="0" borderId="26" xfId="0" applyFont="1" applyFill="1" applyBorder="1"/>
    <xf numFmtId="166" fontId="3" fillId="0" borderId="0" xfId="4" applyNumberFormat="1" applyFont="1" applyFill="1" applyBorder="1"/>
    <xf numFmtId="166" fontId="3" fillId="0" borderId="0" xfId="4" applyNumberFormat="1" applyFont="1" applyBorder="1"/>
    <xf numFmtId="166" fontId="3" fillId="0" borderId="30" xfId="4" applyNumberFormat="1" applyFont="1" applyBorder="1"/>
    <xf numFmtId="44" fontId="0" fillId="0" borderId="0" xfId="0" applyNumberFormat="1" applyBorder="1"/>
    <xf numFmtId="9" fontId="0" fillId="57" borderId="28" xfId="4" applyFont="1" applyFill="1" applyBorder="1" applyProtection="1">
      <protection locked="0"/>
    </xf>
    <xf numFmtId="167" fontId="0" fillId="0" borderId="30" xfId="0" applyNumberFormat="1" applyBorder="1"/>
    <xf numFmtId="9" fontId="0" fillId="0" borderId="0" xfId="4" applyFont="1" applyBorder="1"/>
    <xf numFmtId="9" fontId="4" fillId="0" borderId="0" xfId="4" applyFont="1" applyFill="1" applyBorder="1"/>
    <xf numFmtId="10" fontId="4" fillId="0" borderId="0" xfId="0" applyNumberFormat="1" applyFont="1" applyFill="1" applyBorder="1"/>
    <xf numFmtId="9" fontId="0" fillId="0" borderId="0" xfId="4" applyFont="1" applyFill="1" applyBorder="1"/>
    <xf numFmtId="9" fontId="4" fillId="0" borderId="32" xfId="0" applyNumberFormat="1" applyFont="1" applyFill="1" applyBorder="1"/>
    <xf numFmtId="165" fontId="18" fillId="0" borderId="0" xfId="0" applyNumberFormat="1" applyFont="1" applyBorder="1"/>
    <xf numFmtId="165" fontId="18" fillId="0" borderId="30" xfId="0" applyNumberFormat="1" applyFont="1" applyBorder="1"/>
    <xf numFmtId="165" fontId="20" fillId="0" borderId="0" xfId="0" applyNumberFormat="1" applyFont="1" applyBorder="1"/>
    <xf numFmtId="165" fontId="20" fillId="0" borderId="30" xfId="0" applyNumberFormat="1" applyFont="1" applyBorder="1"/>
    <xf numFmtId="165" fontId="18" fillId="0" borderId="32" xfId="0" applyNumberFormat="1" applyFont="1" applyBorder="1"/>
    <xf numFmtId="165" fontId="18" fillId="0" borderId="33" xfId="0" applyNumberFormat="1" applyFont="1" applyBorder="1"/>
    <xf numFmtId="0" fontId="0" fillId="0" borderId="32" xfId="0" applyFill="1" applyBorder="1"/>
    <xf numFmtId="6" fontId="18" fillId="57" borderId="0" xfId="0" applyNumberFormat="1" applyFont="1" applyFill="1" applyBorder="1" applyProtection="1">
      <protection locked="0"/>
    </xf>
    <xf numFmtId="165" fontId="0" fillId="0" borderId="30" xfId="0" applyNumberFormat="1" applyBorder="1"/>
    <xf numFmtId="165" fontId="0" fillId="0" borderId="32" xfId="0" applyNumberFormat="1" applyBorder="1"/>
    <xf numFmtId="165" fontId="0" fillId="0" borderId="33" xfId="0" applyNumberFormat="1" applyBorder="1"/>
    <xf numFmtId="165" fontId="6" fillId="0" borderId="0" xfId="2" applyNumberFormat="1" applyFont="1" applyBorder="1"/>
    <xf numFmtId="165" fontId="4" fillId="0" borderId="0" xfId="0" applyNumberFormat="1" applyFont="1" applyBorder="1"/>
    <xf numFmtId="165" fontId="6" fillId="0" borderId="0" xfId="0" quotePrefix="1" applyNumberFormat="1" applyFont="1" applyBorder="1" applyAlignment="1">
      <alignment horizontal="center"/>
    </xf>
    <xf numFmtId="165" fontId="5" fillId="0" borderId="0" xfId="0" quotePrefix="1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4" fillId="0" borderId="0" xfId="2" applyNumberFormat="1" applyFont="1" applyBorder="1"/>
    <xf numFmtId="165" fontId="4" fillId="0" borderId="1" xfId="0" applyNumberFormat="1" applyFont="1" applyBorder="1"/>
    <xf numFmtId="165" fontId="0" fillId="0" borderId="30" xfId="2" applyNumberFormat="1" applyFont="1" applyBorder="1"/>
    <xf numFmtId="165" fontId="4" fillId="0" borderId="30" xfId="2" applyNumberFormat="1" applyFont="1" applyBorder="1"/>
    <xf numFmtId="165" fontId="0" fillId="0" borderId="0" xfId="2" applyNumberFormat="1" applyFont="1" applyFill="1" applyBorder="1"/>
    <xf numFmtId="165" fontId="0" fillId="0" borderId="30" xfId="2" applyNumberFormat="1" applyFont="1" applyFill="1" applyBorder="1"/>
    <xf numFmtId="165" fontId="3" fillId="0" borderId="0" xfId="2" applyNumberFormat="1" applyFont="1" applyBorder="1"/>
    <xf numFmtId="165" fontId="0" fillId="57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Protection="1">
      <protection locked="0"/>
    </xf>
    <xf numFmtId="165" fontId="0" fillId="0" borderId="30" xfId="2" applyNumberFormat="1" applyFont="1" applyFill="1" applyBorder="1" applyProtection="1">
      <protection locked="0"/>
    </xf>
    <xf numFmtId="165" fontId="4" fillId="0" borderId="45" xfId="2" applyNumberFormat="1" applyFont="1" applyBorder="1"/>
    <xf numFmtId="165" fontId="4" fillId="0" borderId="46" xfId="2" applyNumberFormat="1" applyFont="1" applyBorder="1"/>
    <xf numFmtId="168" fontId="18" fillId="0" borderId="30" xfId="1" applyNumberFormat="1" applyFont="1" applyBorder="1"/>
    <xf numFmtId="0" fontId="19" fillId="57" borderId="27" xfId="0" applyFont="1" applyFill="1" applyBorder="1"/>
    <xf numFmtId="0" fontId="19" fillId="57" borderId="42" xfId="0" applyFont="1" applyFill="1" applyBorder="1"/>
    <xf numFmtId="0" fontId="19" fillId="57" borderId="26" xfId="0" applyFont="1" applyFill="1" applyBorder="1"/>
    <xf numFmtId="0" fontId="91" fillId="57" borderId="27" xfId="0" applyFont="1" applyFill="1" applyBorder="1"/>
    <xf numFmtId="0" fontId="92" fillId="57" borderId="28" xfId="0" applyFont="1" applyFill="1" applyBorder="1"/>
    <xf numFmtId="0" fontId="92" fillId="57" borderId="29" xfId="0" applyFont="1" applyFill="1" applyBorder="1"/>
    <xf numFmtId="0" fontId="92" fillId="57" borderId="40" xfId="0" applyFont="1" applyFill="1" applyBorder="1"/>
    <xf numFmtId="0" fontId="92" fillId="57" borderId="7" xfId="0" applyFont="1" applyFill="1" applyBorder="1"/>
    <xf numFmtId="0" fontId="93" fillId="57" borderId="7" xfId="0" applyFont="1" applyFill="1" applyBorder="1" applyAlignment="1">
      <alignment horizontal="center"/>
    </xf>
    <xf numFmtId="0" fontId="93" fillId="57" borderId="41" xfId="0" applyFont="1" applyFill="1" applyBorder="1" applyAlignment="1">
      <alignment horizontal="center"/>
    </xf>
    <xf numFmtId="0" fontId="18" fillId="57" borderId="39" xfId="0" applyFont="1" applyFill="1" applyBorder="1"/>
    <xf numFmtId="0" fontId="93" fillId="57" borderId="39" xfId="0" applyFont="1" applyFill="1" applyBorder="1" applyAlignment="1">
      <alignment horizontal="center"/>
    </xf>
    <xf numFmtId="0" fontId="93" fillId="57" borderId="43" xfId="0" applyFont="1" applyFill="1" applyBorder="1" applyAlignment="1">
      <alignment horizontal="center"/>
    </xf>
    <xf numFmtId="0" fontId="87" fillId="57" borderId="28" xfId="0" applyFont="1" applyFill="1" applyBorder="1" applyAlignment="1">
      <alignment horizontal="center"/>
    </xf>
    <xf numFmtId="0" fontId="87" fillId="57" borderId="29" xfId="0" applyFont="1" applyFill="1" applyBorder="1" applyAlignment="1">
      <alignment horizontal="center"/>
    </xf>
    <xf numFmtId="0" fontId="87" fillId="57" borderId="0" xfId="0" applyFont="1" applyFill="1" applyBorder="1" applyAlignment="1">
      <alignment horizontal="center"/>
    </xf>
    <xf numFmtId="0" fontId="87" fillId="57" borderId="30" xfId="0" applyFont="1" applyFill="1" applyBorder="1" applyAlignment="1">
      <alignment horizontal="center"/>
    </xf>
    <xf numFmtId="6" fontId="18" fillId="57" borderId="28" xfId="0" applyNumberFormat="1" applyFont="1" applyFill="1" applyBorder="1"/>
    <xf numFmtId="0" fontId="18" fillId="57" borderId="28" xfId="0" applyFont="1" applyFill="1" applyBorder="1"/>
    <xf numFmtId="0" fontId="93" fillId="57" borderId="28" xfId="0" applyFont="1" applyFill="1" applyBorder="1" applyAlignment="1">
      <alignment horizontal="center"/>
    </xf>
    <xf numFmtId="0" fontId="93" fillId="57" borderId="29" xfId="0" applyFont="1" applyFill="1" applyBorder="1" applyAlignment="1">
      <alignment horizontal="center"/>
    </xf>
    <xf numFmtId="0" fontId="93" fillId="57" borderId="0" xfId="0" applyFont="1" applyFill="1" applyBorder="1" applyAlignment="1">
      <alignment horizontal="center"/>
    </xf>
    <xf numFmtId="0" fontId="93" fillId="57" borderId="30" xfId="0" applyFont="1" applyFill="1" applyBorder="1" applyAlignment="1">
      <alignment horizontal="center"/>
    </xf>
    <xf numFmtId="0" fontId="19" fillId="0" borderId="31" xfId="0" applyFont="1" applyFill="1" applyBorder="1"/>
    <xf numFmtId="0" fontId="0" fillId="0" borderId="34" xfId="0" applyFill="1" applyBorder="1"/>
    <xf numFmtId="0" fontId="5" fillId="0" borderId="35" xfId="0" applyFont="1" applyFill="1" applyBorder="1" applyAlignment="1">
      <alignment horizontal="center"/>
    </xf>
    <xf numFmtId="0" fontId="0" fillId="0" borderId="35" xfId="0" applyFill="1" applyBorder="1"/>
    <xf numFmtId="0" fontId="0" fillId="0" borderId="36" xfId="0" applyFill="1" applyBorder="1"/>
    <xf numFmtId="0" fontId="5" fillId="57" borderId="27" xfId="0" applyFont="1" applyFill="1" applyBorder="1" applyAlignment="1">
      <alignment horizontal="center"/>
    </xf>
    <xf numFmtId="0" fontId="5" fillId="57" borderId="28" xfId="0" applyFont="1" applyFill="1" applyBorder="1" applyAlignment="1">
      <alignment horizontal="center"/>
    </xf>
    <xf numFmtId="8" fontId="5" fillId="57" borderId="28" xfId="0" applyNumberFormat="1" applyFont="1" applyFill="1" applyBorder="1" applyAlignment="1">
      <alignment horizontal="center"/>
    </xf>
    <xf numFmtId="8" fontId="5" fillId="57" borderId="29" xfId="0" applyNumberFormat="1" applyFont="1" applyFill="1" applyBorder="1" applyAlignment="1">
      <alignment horizontal="center"/>
    </xf>
    <xf numFmtId="0" fontId="10" fillId="57" borderId="26" xfId="0" applyFont="1" applyFill="1" applyBorder="1"/>
    <xf numFmtId="8" fontId="4" fillId="57" borderId="0" xfId="0" applyNumberFormat="1" applyFont="1" applyFill="1" applyBorder="1" applyAlignment="1">
      <alignment horizontal="center"/>
    </xf>
    <xf numFmtId="0" fontId="4" fillId="57" borderId="0" xfId="0" applyFont="1" applyFill="1" applyBorder="1" applyAlignment="1">
      <alignment horizontal="center"/>
    </xf>
    <xf numFmtId="8" fontId="4" fillId="57" borderId="30" xfId="0" applyNumberFormat="1" applyFont="1" applyFill="1" applyBorder="1" applyAlignment="1">
      <alignment horizontal="center"/>
    </xf>
    <xf numFmtId="0" fontId="5" fillId="57" borderId="34" xfId="0" applyFont="1" applyFill="1" applyBorder="1" applyAlignment="1">
      <alignment horizontal="center"/>
    </xf>
    <xf numFmtId="0" fontId="4" fillId="57" borderId="35" xfId="0" applyFont="1" applyFill="1" applyBorder="1" applyAlignment="1">
      <alignment horizontal="center"/>
    </xf>
    <xf numFmtId="0" fontId="4" fillId="57" borderId="36" xfId="0" applyFont="1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5" fillId="0" borderId="7" xfId="0" applyFont="1" applyFill="1" applyBorder="1" applyAlignment="1">
      <alignment horizontal="center"/>
    </xf>
    <xf numFmtId="0" fontId="0" fillId="0" borderId="7" xfId="0" applyFill="1" applyBorder="1"/>
    <xf numFmtId="0" fontId="0" fillId="0" borderId="41" xfId="0" applyFill="1" applyBorder="1"/>
    <xf numFmtId="0" fontId="5" fillId="0" borderId="40" xfId="0" applyFont="1" applyFill="1" applyBorder="1"/>
    <xf numFmtId="0" fontId="4" fillId="0" borderId="35" xfId="0" applyFont="1" applyFill="1" applyBorder="1"/>
    <xf numFmtId="0" fontId="4" fillId="0" borderId="37" xfId="0" applyFont="1" applyFill="1" applyBorder="1"/>
    <xf numFmtId="6" fontId="3" fillId="0" borderId="1" xfId="0" applyNumberFormat="1" applyFont="1" applyFill="1" applyBorder="1"/>
    <xf numFmtId="0" fontId="0" fillId="0" borderId="1" xfId="0" applyFill="1" applyBorder="1"/>
    <xf numFmtId="0" fontId="0" fillId="0" borderId="38" xfId="0" applyFill="1" applyBorder="1"/>
    <xf numFmtId="0" fontId="7" fillId="0" borderId="0" xfId="0" applyFont="1" applyFill="1" applyBorder="1"/>
    <xf numFmtId="0" fontId="0" fillId="0" borderId="30" xfId="0" applyFill="1" applyBorder="1"/>
    <xf numFmtId="0" fontId="3" fillId="0" borderId="30" xfId="0" applyFont="1" applyFill="1" applyBorder="1"/>
    <xf numFmtId="0" fontId="4" fillId="0" borderId="40" xfId="0" applyFont="1" applyFill="1" applyBorder="1"/>
    <xf numFmtId="6" fontId="0" fillId="0" borderId="7" xfId="0" applyNumberFormat="1" applyFill="1" applyBorder="1"/>
    <xf numFmtId="0" fontId="7" fillId="0" borderId="7" xfId="0" applyFont="1" applyFill="1" applyBorder="1"/>
    <xf numFmtId="0" fontId="4" fillId="0" borderId="42" xfId="0" applyFont="1" applyFill="1" applyBorder="1"/>
    <xf numFmtId="0" fontId="5" fillId="0" borderId="39" xfId="0" applyFont="1" applyFill="1" applyBorder="1" applyAlignment="1">
      <alignment horizontal="center"/>
    </xf>
    <xf numFmtId="0" fontId="0" fillId="0" borderId="43" xfId="0" applyFill="1" applyBorder="1"/>
    <xf numFmtId="0" fontId="3" fillId="0" borderId="2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0" fillId="0" borderId="31" xfId="0" applyFill="1" applyBorder="1"/>
    <xf numFmtId="1" fontId="0" fillId="0" borderId="32" xfId="2" applyNumberFormat="1" applyFont="1" applyFill="1" applyBorder="1"/>
    <xf numFmtId="1" fontId="0" fillId="0" borderId="33" xfId="2" applyNumberFormat="1" applyFont="1" applyFill="1" applyBorder="1"/>
    <xf numFmtId="0" fontId="3" fillId="0" borderId="48" xfId="0" applyFont="1" applyBorder="1"/>
    <xf numFmtId="165" fontId="3" fillId="0" borderId="49" xfId="0" applyNumberFormat="1" applyFont="1" applyBorder="1"/>
    <xf numFmtId="0" fontId="3" fillId="0" borderId="50" xfId="0" applyFont="1" applyBorder="1"/>
    <xf numFmtId="6" fontId="3" fillId="0" borderId="51" xfId="0" applyNumberFormat="1" applyFont="1" applyBorder="1"/>
    <xf numFmtId="6" fontId="3" fillId="0" borderId="51" xfId="0" applyNumberFormat="1" applyFont="1" applyFill="1" applyBorder="1"/>
    <xf numFmtId="10" fontId="3" fillId="0" borderId="51" xfId="0" applyNumberFormat="1" applyFont="1" applyFill="1" applyBorder="1"/>
    <xf numFmtId="0" fontId="3" fillId="0" borderId="52" xfId="0" applyFont="1" applyBorder="1"/>
    <xf numFmtId="2" fontId="3" fillId="0" borderId="53" xfId="0" applyNumberFormat="1" applyFont="1" applyFill="1" applyBorder="1"/>
    <xf numFmtId="0" fontId="3" fillId="0" borderId="48" xfId="0" applyFont="1" applyFill="1" applyBorder="1"/>
    <xf numFmtId="10" fontId="3" fillId="0" borderId="49" xfId="0" applyNumberFormat="1" applyFont="1" applyFill="1" applyBorder="1"/>
    <xf numFmtId="0" fontId="3" fillId="0" borderId="53" xfId="0" applyFont="1" applyFill="1" applyBorder="1"/>
    <xf numFmtId="0" fontId="5" fillId="0" borderId="0" xfId="0" applyFont="1" applyFill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95" fillId="0" borderId="0" xfId="3" applyFont="1" applyFill="1" applyBorder="1" applyAlignment="1" applyProtection="1"/>
    <xf numFmtId="0" fontId="95" fillId="57" borderId="2" xfId="3" applyFont="1" applyFill="1" applyBorder="1" applyAlignment="1" applyProtection="1">
      <protection locked="0"/>
    </xf>
    <xf numFmtId="0" fontId="96" fillId="0" borderId="0" xfId="0" applyFont="1" applyFill="1" applyBorder="1"/>
    <xf numFmtId="0" fontId="13" fillId="0" borderId="0" xfId="0" applyFont="1" applyFill="1" applyBorder="1"/>
    <xf numFmtId="0" fontId="19" fillId="0" borderId="29" xfId="0" applyFont="1" applyFill="1" applyBorder="1"/>
    <xf numFmtId="0" fontId="19" fillId="0" borderId="42" xfId="0" applyFont="1" applyFill="1" applyBorder="1"/>
    <xf numFmtId="0" fontId="19" fillId="0" borderId="39" xfId="0" applyFont="1" applyFill="1" applyBorder="1"/>
    <xf numFmtId="0" fontId="19" fillId="0" borderId="43" xfId="0" applyFont="1" applyFill="1" applyBorder="1"/>
    <xf numFmtId="0" fontId="19" fillId="0" borderId="40" xfId="0" applyFont="1" applyFill="1" applyBorder="1"/>
    <xf numFmtId="9" fontId="18" fillId="57" borderId="0" xfId="4" applyFont="1" applyFill="1" applyBorder="1" applyProtection="1">
      <protection locked="0"/>
    </xf>
    <xf numFmtId="9" fontId="18" fillId="57" borderId="41" xfId="4" applyFont="1" applyFill="1" applyBorder="1" applyProtection="1">
      <protection locked="0"/>
    </xf>
    <xf numFmtId="169" fontId="18" fillId="57" borderId="30" xfId="2" applyNumberFormat="1" applyFont="1" applyFill="1" applyBorder="1" applyProtection="1">
      <protection locked="0"/>
    </xf>
    <xf numFmtId="169" fontId="18" fillId="57" borderId="30" xfId="2" applyNumberFormat="1" applyFont="1" applyFill="1" applyBorder="1" applyAlignment="1" applyProtection="1">
      <alignment horizontal="right"/>
      <protection locked="0"/>
    </xf>
    <xf numFmtId="169" fontId="18" fillId="57" borderId="41" xfId="2" applyNumberFormat="1" applyFont="1" applyFill="1" applyBorder="1" applyProtection="1">
      <protection locked="0"/>
    </xf>
    <xf numFmtId="169" fontId="18" fillId="0" borderId="30" xfId="0" applyNumberFormat="1" applyFont="1" applyBorder="1"/>
    <xf numFmtId="169" fontId="18" fillId="0" borderId="30" xfId="2" applyNumberFormat="1" applyFont="1" applyBorder="1"/>
    <xf numFmtId="169" fontId="18" fillId="57" borderId="30" xfId="0" applyNumberFormat="1" applyFont="1" applyFill="1" applyBorder="1" applyProtection="1">
      <protection locked="0"/>
    </xf>
    <xf numFmtId="169" fontId="18" fillId="0" borderId="30" xfId="0" applyNumberFormat="1" applyFont="1" applyFill="1" applyBorder="1"/>
    <xf numFmtId="169" fontId="18" fillId="0" borderId="30" xfId="2" applyNumberFormat="1" applyFont="1" applyFill="1" applyBorder="1" applyProtection="1">
      <protection locked="0"/>
    </xf>
    <xf numFmtId="169" fontId="18" fillId="0" borderId="33" xfId="0" applyNumberFormat="1" applyFont="1" applyFill="1" applyBorder="1"/>
    <xf numFmtId="9" fontId="18" fillId="0" borderId="0" xfId="4" applyFont="1" applyFill="1" applyBorder="1"/>
    <xf numFmtId="0" fontId="90" fillId="57" borderId="47" xfId="3" applyFont="1" applyFill="1" applyBorder="1" applyAlignment="1" applyProtection="1"/>
    <xf numFmtId="0" fontId="90" fillId="57" borderId="47" xfId="3" applyFont="1" applyFill="1" applyBorder="1" applyAlignment="1" applyProtection="1">
      <alignment horizontal="left"/>
    </xf>
    <xf numFmtId="0" fontId="18" fillId="0" borderId="4" xfId="0" applyFont="1" applyBorder="1" applyProtection="1">
      <protection locked="0"/>
    </xf>
    <xf numFmtId="0" fontId="18" fillId="0" borderId="5" xfId="0" applyFont="1" applyBorder="1" applyProtection="1">
      <protection locked="0"/>
    </xf>
    <xf numFmtId="0" fontId="18" fillId="0" borderId="6" xfId="0" applyFont="1" applyBorder="1" applyProtection="1">
      <protection locked="0"/>
    </xf>
    <xf numFmtId="0" fontId="94" fillId="57" borderId="4" xfId="3" applyFont="1" applyFill="1" applyBorder="1" applyAlignment="1" applyProtection="1">
      <protection locked="0"/>
    </xf>
    <xf numFmtId="0" fontId="94" fillId="57" borderId="5" xfId="3" applyFont="1" applyFill="1" applyBorder="1" applyAlignment="1" applyProtection="1">
      <protection locked="0"/>
    </xf>
    <xf numFmtId="0" fontId="94" fillId="57" borderId="6" xfId="3" applyFont="1" applyFill="1" applyBorder="1" applyAlignment="1" applyProtection="1">
      <protection locked="0"/>
    </xf>
    <xf numFmtId="0" fontId="94" fillId="57" borderId="27" xfId="3" applyFont="1" applyFill="1" applyBorder="1" applyAlignment="1" applyProtection="1">
      <protection locked="0"/>
    </xf>
    <xf numFmtId="0" fontId="94" fillId="57" borderId="28" xfId="3" applyFont="1" applyFill="1" applyBorder="1" applyAlignment="1" applyProtection="1">
      <protection locked="0"/>
    </xf>
    <xf numFmtId="0" fontId="94" fillId="57" borderId="29" xfId="3" applyFont="1" applyFill="1" applyBorder="1" applyAlignment="1" applyProtection="1">
      <protection locked="0"/>
    </xf>
    <xf numFmtId="0" fontId="6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95" fillId="57" borderId="4" xfId="3" applyFont="1" applyFill="1" applyBorder="1" applyAlignment="1" applyProtection="1">
      <protection locked="0"/>
    </xf>
    <xf numFmtId="0" fontId="95" fillId="57" borderId="5" xfId="3" applyFont="1" applyFill="1" applyBorder="1" applyAlignment="1" applyProtection="1">
      <protection locked="0"/>
    </xf>
    <xf numFmtId="0" fontId="95" fillId="57" borderId="6" xfId="3" applyFont="1" applyFill="1" applyBorder="1" applyAlignme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95" fillId="57" borderId="4" xfId="3" applyFont="1" applyFill="1" applyBorder="1" applyAlignment="1" applyProtection="1"/>
    <xf numFmtId="0" fontId="95" fillId="57" borderId="5" xfId="3" applyFont="1" applyFill="1" applyBorder="1" applyAlignment="1" applyProtection="1"/>
    <xf numFmtId="0" fontId="95" fillId="57" borderId="6" xfId="3" applyFont="1" applyFill="1" applyBorder="1" applyAlignment="1" applyProtection="1"/>
    <xf numFmtId="0" fontId="16" fillId="0" borderId="0" xfId="3" applyFont="1" applyFill="1" applyBorder="1" applyAlignment="1" applyProtection="1"/>
    <xf numFmtId="0" fontId="0" fillId="0" borderId="0" xfId="0" applyAlignment="1">
      <alignment horizontal="center" vertical="center"/>
    </xf>
    <xf numFmtId="0" fontId="3" fillId="57" borderId="26" xfId="0" applyFont="1" applyFill="1" applyBorder="1" applyProtection="1">
      <protection locked="0"/>
    </xf>
    <xf numFmtId="0" fontId="0" fillId="57" borderId="0" xfId="0" applyFill="1" applyBorder="1" applyProtection="1">
      <protection locked="0"/>
    </xf>
    <xf numFmtId="0" fontId="6" fillId="57" borderId="26" xfId="0" applyFont="1" applyFill="1" applyBorder="1" applyProtection="1">
      <protection locked="0"/>
    </xf>
    <xf numFmtId="0" fontId="0" fillId="57" borderId="26" xfId="0" applyFill="1" applyBorder="1" applyProtection="1">
      <protection locked="0"/>
    </xf>
    <xf numFmtId="0" fontId="0" fillId="0" borderId="0" xfId="0" applyAlignment="1">
      <alignment horizontal="center"/>
    </xf>
  </cellXfs>
  <cellStyles count="16786">
    <cellStyle name="20% - Accent1" xfId="23" builtinId="30" customBuiltin="1"/>
    <cellStyle name="20% - Accent1 10" xfId="59" xr:uid="{E4660E1B-22E0-44CC-981E-4A49B92A7D31}"/>
    <cellStyle name="20% - Accent1 11" xfId="60" xr:uid="{2663B078-0069-40E0-A145-CF13EDAE00D8}"/>
    <cellStyle name="20% - Accent1 12" xfId="61" xr:uid="{F897C6E7-9ED9-4CDB-A310-8F1631BFBB89}"/>
    <cellStyle name="20% - Accent1 13" xfId="62" xr:uid="{F64C26E6-A7D2-4CBF-AFE3-B250973B1428}"/>
    <cellStyle name="20% - Accent1 14" xfId="63" xr:uid="{43B5C27E-1E49-485C-9A25-BF78419BB016}"/>
    <cellStyle name="20% - Accent1 2 10" xfId="64" xr:uid="{2F371C5D-8D38-4507-96D6-09C98D77AA6E}"/>
    <cellStyle name="20% - Accent1 2 11" xfId="65" xr:uid="{1F904ECE-4DA5-4A16-A718-112B1700BAD7}"/>
    <cellStyle name="20% - Accent1 2 12" xfId="66" xr:uid="{C9821A07-8369-42DA-A4BF-58B24BECD33A}"/>
    <cellStyle name="20% - Accent1 2 13" xfId="67" xr:uid="{2A0CFC2D-FDBB-414B-A84A-7750CAAA5D77}"/>
    <cellStyle name="20% - Accent1 2 13 10" xfId="68" xr:uid="{74CB576D-BA67-4C16-9DDC-BD85D25DC58B}"/>
    <cellStyle name="20% - Accent1 2 13 11" xfId="69" xr:uid="{59B73F1C-2E16-4D4A-84D2-32931011AD11}"/>
    <cellStyle name="20% - Accent1 2 13 12" xfId="70" xr:uid="{B2E29753-0A14-4D91-AE8C-15F9DDD00D0D}"/>
    <cellStyle name="20% - Accent1 2 13 13" xfId="71" xr:uid="{461EAA86-9BE5-4B3B-A89C-756D05CDB34A}"/>
    <cellStyle name="20% - Accent1 2 13 14" xfId="72" xr:uid="{504890F0-74A3-45D2-9C94-85D1821885B0}"/>
    <cellStyle name="20% - Accent1 2 13 15" xfId="73" xr:uid="{02F9D636-76C4-45E6-9461-34256556BD65}"/>
    <cellStyle name="20% - Accent1 2 13 16" xfId="74" xr:uid="{C7FC6355-F2B8-424A-B015-FC53757ECA24}"/>
    <cellStyle name="20% - Accent1 2 13 17" xfId="75" xr:uid="{CA949624-F1BC-4C49-956F-D523F1BB9D80}"/>
    <cellStyle name="20% - Accent1 2 13 18" xfId="76" xr:uid="{501C4DA0-E799-45CA-824A-3B75C7CE32A5}"/>
    <cellStyle name="20% - Accent1 2 13 19" xfId="77" xr:uid="{B22E5593-AFD8-4DF1-B154-19F002E80EDB}"/>
    <cellStyle name="20% - Accent1 2 13 2" xfId="78" xr:uid="{687BD25E-F822-4568-A1F7-F2DAA29E2DE7}"/>
    <cellStyle name="20% - Accent1 2 13 20" xfId="79" xr:uid="{79D8688C-05EE-4FE6-B009-ADDA07201B68}"/>
    <cellStyle name="20% - Accent1 2 13 21" xfId="80" xr:uid="{DCABFFD7-3A85-449A-988F-96038198BBE4}"/>
    <cellStyle name="20% - Accent1 2 13 22" xfId="81" xr:uid="{37339663-800D-450A-A2E9-BEC955286E4C}"/>
    <cellStyle name="20% - Accent1 2 13 23" xfId="82" xr:uid="{2B65EB28-0F14-499A-957C-B787C6C72472}"/>
    <cellStyle name="20% - Accent1 2 13 24" xfId="83" xr:uid="{588B0673-45EE-443C-AB36-3189E86AABF8}"/>
    <cellStyle name="20% - Accent1 2 13 25" xfId="84" xr:uid="{3352F198-165C-47EA-88ED-8DD7CF6E9E31}"/>
    <cellStyle name="20% - Accent1 2 13 26" xfId="85" xr:uid="{75438581-0F83-48C3-8AE4-5EBAC367BB52}"/>
    <cellStyle name="20% - Accent1 2 13 27" xfId="86" xr:uid="{BACB76A3-3774-456D-81EA-9341A51A348E}"/>
    <cellStyle name="20% - Accent1 2 13 28" xfId="87" xr:uid="{7580BEAB-9831-4F48-9505-AB4F980F21A6}"/>
    <cellStyle name="20% - Accent1 2 13 29" xfId="88" xr:uid="{42D12B25-84AE-4FCE-BF71-B184666F51FC}"/>
    <cellStyle name="20% - Accent1 2 13 3" xfId="89" xr:uid="{2D6ABA83-A4BE-4FE6-93D0-B5CDA353AB80}"/>
    <cellStyle name="20% - Accent1 2 13 30" xfId="90" xr:uid="{7D988BEC-00DF-410B-91B1-60AB63E19EC7}"/>
    <cellStyle name="20% - Accent1 2 13 31" xfId="91" xr:uid="{99943546-1BA9-4E58-8B6C-DED5328EB13D}"/>
    <cellStyle name="20% - Accent1 2 13 32" xfId="92" xr:uid="{917A54AC-3DC4-486D-B060-896A0B919273}"/>
    <cellStyle name="20% - Accent1 2 13 33" xfId="93" xr:uid="{7429E56C-E713-42EF-A400-D466F4D049AB}"/>
    <cellStyle name="20% - Accent1 2 13 34" xfId="94" xr:uid="{E9D6A29B-5DF4-48A6-B4ED-93BD27CB1A3B}"/>
    <cellStyle name="20% - Accent1 2 13 35" xfId="95" xr:uid="{93B875A2-4279-4E3C-8AFB-F59907A81520}"/>
    <cellStyle name="20% - Accent1 2 13 36" xfId="96" xr:uid="{1B037425-512D-435B-A12A-BE6A0C46CAC8}"/>
    <cellStyle name="20% - Accent1 2 13 37" xfId="97" xr:uid="{1FA2C594-60F8-4857-970B-97DEC9E98B3B}"/>
    <cellStyle name="20% - Accent1 2 13 38" xfId="98" xr:uid="{B7A5754D-90BD-427B-A35A-8D025A01943B}"/>
    <cellStyle name="20% - Accent1 2 13 39" xfId="99" xr:uid="{686E1C0E-95BB-4B0A-B005-29058BD853D6}"/>
    <cellStyle name="20% - Accent1 2 13 4" xfId="100" xr:uid="{E5012B11-5874-4D0A-9A98-DBFE1573B8A1}"/>
    <cellStyle name="20% - Accent1 2 13 40" xfId="101" xr:uid="{5E63D97F-4F6B-4221-88A9-351F8EC9E3EF}"/>
    <cellStyle name="20% - Accent1 2 13 41" xfId="102" xr:uid="{0F9F7EBF-BB91-4FEA-9537-BF4575A0D7C9}"/>
    <cellStyle name="20% - Accent1 2 13 42" xfId="103" xr:uid="{1C91989E-177A-4A2F-AE81-799BDA456E29}"/>
    <cellStyle name="20% - Accent1 2 13 43" xfId="104" xr:uid="{1EC78B98-C56F-4DE4-89A3-87452BD7F559}"/>
    <cellStyle name="20% - Accent1 2 13 44" xfId="105" xr:uid="{8898FCE7-5269-4E93-8DA4-6E861F2E2B96}"/>
    <cellStyle name="20% - Accent1 2 13 45" xfId="106" xr:uid="{540981EB-3393-4D83-B09A-6C42915E0A2E}"/>
    <cellStyle name="20% - Accent1 2 13 46" xfId="107" xr:uid="{0025661C-418B-4661-B2B6-A670AE4490B7}"/>
    <cellStyle name="20% - Accent1 2 13 47" xfId="108" xr:uid="{F1389980-57D7-4C7B-972C-B95291EC2ECE}"/>
    <cellStyle name="20% - Accent1 2 13 5" xfId="109" xr:uid="{DBC02F54-C4AB-406F-B873-A7B4714E550E}"/>
    <cellStyle name="20% - Accent1 2 13 6" xfId="110" xr:uid="{B3F54B37-979C-4B71-837E-F04CDBED9149}"/>
    <cellStyle name="20% - Accent1 2 13 7" xfId="111" xr:uid="{8E49A99D-2C1E-4097-9316-67C40E4A423A}"/>
    <cellStyle name="20% - Accent1 2 13 8" xfId="112" xr:uid="{40D6BEC5-6809-4F83-86DE-0D23D8886B64}"/>
    <cellStyle name="20% - Accent1 2 13 9" xfId="113" xr:uid="{C328319F-C0E2-482D-991E-B4F0A4D62197}"/>
    <cellStyle name="20% - Accent1 2 2" xfId="114" xr:uid="{6A8840A4-9B45-49D4-9ACC-4FCBB6E2DB75}"/>
    <cellStyle name="20% - Accent1 2 2 10" xfId="115" xr:uid="{7C0ECF62-B568-469D-8542-5B938B7E0C8D}"/>
    <cellStyle name="20% - Accent1 2 2 2" xfId="116" xr:uid="{CD7EDE40-8839-45CB-8CBB-396674941373}"/>
    <cellStyle name="20% - Accent1 2 2 2 2" xfId="117" xr:uid="{73C473FD-1356-4C11-BB7E-FEC5E006401A}"/>
    <cellStyle name="20% - Accent1 2 2 3" xfId="118" xr:uid="{943F76B4-24C8-4FFA-8A6E-BD4BB1A47948}"/>
    <cellStyle name="20% - Accent1 2 2 4" xfId="119" xr:uid="{DB33B23D-73CD-49B7-9EFF-CD5A6123E2FC}"/>
    <cellStyle name="20% - Accent1 2 2 5" xfId="120" xr:uid="{60AED5C7-5445-4000-B8B4-B5D2190F0C6D}"/>
    <cellStyle name="20% - Accent1 2 2 6" xfId="121" xr:uid="{9F170FA6-F7BE-4F1B-A467-79A3B963A842}"/>
    <cellStyle name="20% - Accent1 2 2 7" xfId="122" xr:uid="{C400AABC-B7C6-4612-87DE-C5E453DFF431}"/>
    <cellStyle name="20% - Accent1 2 2 8" xfId="123" xr:uid="{A3720FF9-E9C6-4AEC-8570-AEBAF80A3669}"/>
    <cellStyle name="20% - Accent1 2 2 9" xfId="124" xr:uid="{F7B688C2-3D6C-44B3-9BCB-4BF428969113}"/>
    <cellStyle name="20% - Accent1 2 3" xfId="125" xr:uid="{2C71D931-368D-40BC-8055-EE683882589A}"/>
    <cellStyle name="20% - Accent1 2 3 2" xfId="126" xr:uid="{BC9B86C1-4D6B-42ED-9DE8-D2623F3637AC}"/>
    <cellStyle name="20% - Accent1 2 4" xfId="127" xr:uid="{B26AD553-999F-45CD-93F8-D920AB47D936}"/>
    <cellStyle name="20% - Accent1 2 4 2" xfId="128" xr:uid="{6ABA48B7-636F-4A32-8DC4-CC1802BC3172}"/>
    <cellStyle name="20% - Accent1 2 5" xfId="129" xr:uid="{984D9353-07EC-40C1-92AE-7356C501D830}"/>
    <cellStyle name="20% - Accent1 2 6" xfId="130" xr:uid="{7169FFDF-66A2-4D45-9760-04BE30E27D1C}"/>
    <cellStyle name="20% - Accent1 2 7" xfId="131" xr:uid="{95E39A9C-EEA4-4484-A366-2428985E9162}"/>
    <cellStyle name="20% - Accent1 2 8" xfId="132" xr:uid="{93F24271-3EC3-4F07-BBD8-0A30156248B2}"/>
    <cellStyle name="20% - Accent1 2 9" xfId="133" xr:uid="{3E299E38-02AC-4885-BA1D-52FB45D21A8B}"/>
    <cellStyle name="20% - Accent1 3" xfId="134" xr:uid="{F81AEF0B-3E87-4D0F-95D4-AFDFEA18B286}"/>
    <cellStyle name="20% - Accent1 3 10" xfId="135" xr:uid="{9253CB34-42D7-4FFE-B6EB-AF364EB045D8}"/>
    <cellStyle name="20% - Accent1 3 2" xfId="136" xr:uid="{1346EA81-3EC5-4A96-8C69-CC12D2A892A7}"/>
    <cellStyle name="20% - Accent1 3 3" xfId="137" xr:uid="{C6048E28-928B-47B7-A6CE-94DCAF56B2EF}"/>
    <cellStyle name="20% - Accent1 3 4" xfId="138" xr:uid="{26B0E9D7-B30A-456E-A1D1-10C528F753F9}"/>
    <cellStyle name="20% - Accent1 3 5" xfId="139" xr:uid="{AFD12222-0033-4981-9528-8C0B1E27F761}"/>
    <cellStyle name="20% - Accent1 3 6" xfId="140" xr:uid="{9135BA1D-2DE7-4CF3-A881-0074AAD9D51E}"/>
    <cellStyle name="20% - Accent1 3 7" xfId="141" xr:uid="{1EEA9A15-9F61-4F3F-82AE-D59C530503F3}"/>
    <cellStyle name="20% - Accent1 3 8" xfId="142" xr:uid="{F07B4118-F595-4219-8A16-6AE430788CD4}"/>
    <cellStyle name="20% - Accent1 3 9" xfId="143" xr:uid="{75E1669D-AB38-4DCA-9F17-D6DA57621B4D}"/>
    <cellStyle name="20% - Accent1 4" xfId="144" xr:uid="{FF24EC17-35B6-4AE2-9DC5-48D40300AB53}"/>
    <cellStyle name="20% - Accent1 4 10" xfId="145" xr:uid="{DB4DE8AB-8345-4D21-A02A-FFD67C97C3E6}"/>
    <cellStyle name="20% - Accent1 4 2" xfId="146" xr:uid="{E2996295-63D3-4684-9F4F-D890F3DC5512}"/>
    <cellStyle name="20% - Accent1 4 3" xfId="147" xr:uid="{821D6F07-5221-4912-AA2C-401009CBABAB}"/>
    <cellStyle name="20% - Accent1 4 4" xfId="148" xr:uid="{B4B9AB2C-E4E3-4735-B1FB-6F8CD4DEBD7B}"/>
    <cellStyle name="20% - Accent1 4 5" xfId="149" xr:uid="{BDE32A70-82AB-400F-BC00-B64C9B2CF96E}"/>
    <cellStyle name="20% - Accent1 4 6" xfId="150" xr:uid="{591D198C-92A9-4CE1-BFF5-5728161D1BB4}"/>
    <cellStyle name="20% - Accent1 4 7" xfId="151" xr:uid="{E2E3746E-3806-4F2E-B71A-A2EFB69FA3B3}"/>
    <cellStyle name="20% - Accent1 4 8" xfId="152" xr:uid="{0F3744C3-20DC-4C6A-BE0B-EE4EF1938286}"/>
    <cellStyle name="20% - Accent1 4 9" xfId="153" xr:uid="{2ED42B34-E9E7-4F5B-AE54-3F8BC82356FE}"/>
    <cellStyle name="20% - Accent1 5" xfId="154" xr:uid="{94B79473-9B0A-486F-BDDA-FB5EE141550D}"/>
    <cellStyle name="20% - Accent1 5 10" xfId="155" xr:uid="{23CEC0B7-9359-4467-A4A9-9C35D5923B12}"/>
    <cellStyle name="20% - Accent1 5 2" xfId="156" xr:uid="{F238FA1B-37E6-41E7-92D4-76A46479F8C9}"/>
    <cellStyle name="20% - Accent1 5 3" xfId="157" xr:uid="{831C9CB4-B16F-4ED2-B0A4-64A754BF6EBC}"/>
    <cellStyle name="20% - Accent1 5 4" xfId="158" xr:uid="{F1999096-B331-4111-90BC-AD1085B1EDD4}"/>
    <cellStyle name="20% - Accent1 5 5" xfId="159" xr:uid="{4EBBB963-3787-4736-999F-756DAF65FEF9}"/>
    <cellStyle name="20% - Accent1 5 6" xfId="160" xr:uid="{0D91CAB1-39BD-4911-80DB-BD842733A95F}"/>
    <cellStyle name="20% - Accent1 5 7" xfId="161" xr:uid="{3033B486-00F4-4C61-907E-B1BDC93D0052}"/>
    <cellStyle name="20% - Accent1 5 8" xfId="162" xr:uid="{C9A8D066-DBF1-48B9-A7B8-64B9AF685C32}"/>
    <cellStyle name="20% - Accent1 5 9" xfId="163" xr:uid="{F6EA859C-3E1F-4F5D-860F-004CC76E27B3}"/>
    <cellStyle name="20% - Accent1 6 2" xfId="164" xr:uid="{68042B50-D6AA-4379-A0F7-78D1596817D0}"/>
    <cellStyle name="20% - Accent1 7 2" xfId="165" xr:uid="{25EF020E-6485-4D36-B456-8D97AC693E17}"/>
    <cellStyle name="20% - Accent1 8" xfId="166" xr:uid="{4DBD4D7E-E1E8-4D2A-AB93-22F1B1BFFB0B}"/>
    <cellStyle name="20% - Accent1 9" xfId="167" xr:uid="{0D8E21CC-1F4C-4220-B06D-62DC659ACCCD}"/>
    <cellStyle name="20% - Accent2" xfId="26" builtinId="34" customBuiltin="1"/>
    <cellStyle name="20% - Accent2 10" xfId="168" xr:uid="{CFDF921A-2D12-45FD-BB9E-B2FF5DEEEA67}"/>
    <cellStyle name="20% - Accent2 11" xfId="169" xr:uid="{EA2950D4-4FD7-495A-B49E-277D3A132159}"/>
    <cellStyle name="20% - Accent2 12" xfId="170" xr:uid="{35C9FC09-76CD-40B6-A4E7-D781587DC5FD}"/>
    <cellStyle name="20% - Accent2 13" xfId="171" xr:uid="{DF3D1779-75AE-4AD4-B333-DF387F4A5499}"/>
    <cellStyle name="20% - Accent2 14" xfId="172" xr:uid="{2F666150-92D8-4E83-9FB0-A8A794A42870}"/>
    <cellStyle name="20% - Accent2 2 10" xfId="173" xr:uid="{F50B500B-FE30-4030-9616-F386C720ABA2}"/>
    <cellStyle name="20% - Accent2 2 11" xfId="174" xr:uid="{15F1E027-DB73-4253-835C-5DCEA97D3267}"/>
    <cellStyle name="20% - Accent2 2 12" xfId="175" xr:uid="{D9E9F3E7-2CF6-4515-9141-2D1E21AB12F4}"/>
    <cellStyle name="20% - Accent2 2 13" xfId="176" xr:uid="{D015F56C-19D0-466A-95C0-003AB9F68D1A}"/>
    <cellStyle name="20% - Accent2 2 13 10" xfId="177" xr:uid="{2773DA9E-2438-4D1B-AFC7-B96C0B71A547}"/>
    <cellStyle name="20% - Accent2 2 13 11" xfId="178" xr:uid="{9379DA40-20B2-45EB-86CE-FB4E3B7D2429}"/>
    <cellStyle name="20% - Accent2 2 13 12" xfId="179" xr:uid="{068DE987-B5AC-4CA1-B47E-0E4244B42229}"/>
    <cellStyle name="20% - Accent2 2 13 13" xfId="180" xr:uid="{5D269396-D8A6-47BA-BDD1-EAF67004B110}"/>
    <cellStyle name="20% - Accent2 2 13 14" xfId="181" xr:uid="{A57CA5F4-1ACA-4A55-AE0A-1D06177848AE}"/>
    <cellStyle name="20% - Accent2 2 13 15" xfId="182" xr:uid="{6C8A0034-2A34-480F-B3D8-D0518A9C5E50}"/>
    <cellStyle name="20% - Accent2 2 13 16" xfId="183" xr:uid="{DAE15809-F2B8-4A25-9489-74C901E4D54F}"/>
    <cellStyle name="20% - Accent2 2 13 17" xfId="184" xr:uid="{1AE7061A-778F-4C8F-BADE-DDAF57D2AF8C}"/>
    <cellStyle name="20% - Accent2 2 13 18" xfId="185" xr:uid="{D755F352-DB15-4FA7-83F6-26E16718F79D}"/>
    <cellStyle name="20% - Accent2 2 13 19" xfId="186" xr:uid="{EB74DE86-5915-4849-865C-491D4D1BEB9B}"/>
    <cellStyle name="20% - Accent2 2 13 2" xfId="187" xr:uid="{0C18E381-30AA-450C-9634-2308373FF76B}"/>
    <cellStyle name="20% - Accent2 2 13 20" xfId="188" xr:uid="{4FCE82A2-883D-4094-B3C1-C9AA65F453EB}"/>
    <cellStyle name="20% - Accent2 2 13 21" xfId="189" xr:uid="{498CBE25-CE84-4864-8319-83B8CF472167}"/>
    <cellStyle name="20% - Accent2 2 13 22" xfId="190" xr:uid="{E643636C-B13C-4D57-8CD1-DCABF396607A}"/>
    <cellStyle name="20% - Accent2 2 13 23" xfId="191" xr:uid="{83C32B4F-AFF2-492F-B297-A5ABB9BDE489}"/>
    <cellStyle name="20% - Accent2 2 13 24" xfId="192" xr:uid="{3E67FAF9-FFA6-4780-B1EF-0AD2FE14DFF3}"/>
    <cellStyle name="20% - Accent2 2 13 25" xfId="193" xr:uid="{58990168-80EC-4D68-887B-DF540539669E}"/>
    <cellStyle name="20% - Accent2 2 13 26" xfId="194" xr:uid="{CF553CE0-9AF0-4805-A609-533FAAEE42D1}"/>
    <cellStyle name="20% - Accent2 2 13 27" xfId="195" xr:uid="{EF1EA356-E205-4035-A95F-3759DEEEA51D}"/>
    <cellStyle name="20% - Accent2 2 13 28" xfId="196" xr:uid="{36F8CB71-3828-498F-AF2D-5775A009E7DE}"/>
    <cellStyle name="20% - Accent2 2 13 29" xfId="197" xr:uid="{42203B71-BA4E-4563-9AD6-E6C2B07D09FE}"/>
    <cellStyle name="20% - Accent2 2 13 3" xfId="198" xr:uid="{576B97C6-7E89-4D03-804B-2CAA37420D77}"/>
    <cellStyle name="20% - Accent2 2 13 30" xfId="199" xr:uid="{5654761D-615B-43F8-B7D7-C5D88DAD3F2A}"/>
    <cellStyle name="20% - Accent2 2 13 31" xfId="200" xr:uid="{8BAE91CD-0BDD-4BF2-984F-59BC08E98A67}"/>
    <cellStyle name="20% - Accent2 2 13 32" xfId="201" xr:uid="{FAE120DC-3C2B-4E5D-88DE-9A7229296194}"/>
    <cellStyle name="20% - Accent2 2 13 33" xfId="202" xr:uid="{A0DB92F4-9FB6-4F8F-ADF3-C1431856DD23}"/>
    <cellStyle name="20% - Accent2 2 13 34" xfId="203" xr:uid="{65F1B2E4-312D-49AB-A8C4-15CF28CD4260}"/>
    <cellStyle name="20% - Accent2 2 13 35" xfId="204" xr:uid="{29CC6900-7D8D-477F-A503-A3ACEA71964C}"/>
    <cellStyle name="20% - Accent2 2 13 36" xfId="205" xr:uid="{897E46FC-2B97-4AF4-A6A9-A5AD2CA52619}"/>
    <cellStyle name="20% - Accent2 2 13 37" xfId="206" xr:uid="{2966FAE0-807C-4533-8477-EB252A33C1A5}"/>
    <cellStyle name="20% - Accent2 2 13 38" xfId="207" xr:uid="{401A7487-C40B-4D55-B600-7B46FD630355}"/>
    <cellStyle name="20% - Accent2 2 13 39" xfId="208" xr:uid="{5AC0F514-D215-46B4-BFA1-BF599B8C2872}"/>
    <cellStyle name="20% - Accent2 2 13 4" xfId="209" xr:uid="{441882A9-2C4B-4044-B1BC-32891775F2AC}"/>
    <cellStyle name="20% - Accent2 2 13 40" xfId="210" xr:uid="{E88246F8-2830-4C7F-B4C9-094CBA324667}"/>
    <cellStyle name="20% - Accent2 2 13 41" xfId="211" xr:uid="{2288C2DB-9DCB-4D0B-858C-3E8085B8E993}"/>
    <cellStyle name="20% - Accent2 2 13 42" xfId="212" xr:uid="{B0FACF19-D247-4F43-B376-3B47DF43628E}"/>
    <cellStyle name="20% - Accent2 2 13 43" xfId="213" xr:uid="{7995515D-A82E-4468-8401-294AACD3A3FE}"/>
    <cellStyle name="20% - Accent2 2 13 44" xfId="214" xr:uid="{C497B384-7D9D-441B-A2E0-A0D90AB098F7}"/>
    <cellStyle name="20% - Accent2 2 13 45" xfId="215" xr:uid="{4DE42B25-FCA3-40FB-B0C2-52FFE174D088}"/>
    <cellStyle name="20% - Accent2 2 13 46" xfId="216" xr:uid="{DA587708-1C2A-4054-84C0-6313DCACD330}"/>
    <cellStyle name="20% - Accent2 2 13 47" xfId="217" xr:uid="{D0ADF49C-A25B-4AFB-87DA-A9381A60B73E}"/>
    <cellStyle name="20% - Accent2 2 13 5" xfId="218" xr:uid="{6ABF2CB3-BE0A-4229-A601-002EE7F5A777}"/>
    <cellStyle name="20% - Accent2 2 13 6" xfId="219" xr:uid="{398C0827-C6EB-4358-A534-DBD81D12057F}"/>
    <cellStyle name="20% - Accent2 2 13 7" xfId="220" xr:uid="{4F25135B-B6AC-41DB-ABD7-5113A4478421}"/>
    <cellStyle name="20% - Accent2 2 13 8" xfId="221" xr:uid="{1693FBF4-3337-4DED-A08C-18016312E61B}"/>
    <cellStyle name="20% - Accent2 2 13 9" xfId="222" xr:uid="{8B98235F-7A24-43D5-B596-7858EEFACB16}"/>
    <cellStyle name="20% - Accent2 2 2" xfId="223" xr:uid="{6ED857D0-E1E6-4C84-9FB6-67319D961DA3}"/>
    <cellStyle name="20% - Accent2 2 2 10" xfId="224" xr:uid="{0076C688-96EB-46F0-901D-F99C1E12363F}"/>
    <cellStyle name="20% - Accent2 2 2 2" xfId="225" xr:uid="{22611F68-B064-492E-A84C-08F3514B9E44}"/>
    <cellStyle name="20% - Accent2 2 2 2 2" xfId="226" xr:uid="{6E1076E6-AB9B-46DE-B800-2B10B1F404E0}"/>
    <cellStyle name="20% - Accent2 2 2 3" xfId="227" xr:uid="{2F8472DD-775D-4A95-9376-F027E8DB5B06}"/>
    <cellStyle name="20% - Accent2 2 2 4" xfId="228" xr:uid="{7701D9D5-517D-4B0D-A082-DB712CF22F41}"/>
    <cellStyle name="20% - Accent2 2 2 5" xfId="229" xr:uid="{3951F6D8-D27D-488A-AC61-B83A26F96815}"/>
    <cellStyle name="20% - Accent2 2 2 6" xfId="230" xr:uid="{7261CE83-60EE-40AB-89CE-3F815D871467}"/>
    <cellStyle name="20% - Accent2 2 2 7" xfId="231" xr:uid="{FB353443-1AB3-443B-B4C6-BC465A0D3A85}"/>
    <cellStyle name="20% - Accent2 2 2 8" xfId="232" xr:uid="{49ABDE34-1B92-4C75-9A1F-6C07523D1E07}"/>
    <cellStyle name="20% - Accent2 2 2 9" xfId="233" xr:uid="{50233332-492A-4E05-A5F3-104D36A08260}"/>
    <cellStyle name="20% - Accent2 2 3" xfId="234" xr:uid="{8C431D33-3179-4E58-BD1A-D09242167EE0}"/>
    <cellStyle name="20% - Accent2 2 3 2" xfId="235" xr:uid="{1ECA2BE5-7FAF-43EB-9768-8E83D65BAA6A}"/>
    <cellStyle name="20% - Accent2 2 4" xfId="236" xr:uid="{AAD0F493-76F0-4412-ABD8-47414DF4154D}"/>
    <cellStyle name="20% - Accent2 2 4 2" xfId="237" xr:uid="{B352FB12-7D3B-4ED8-8BF7-B36B05293007}"/>
    <cellStyle name="20% - Accent2 2 5" xfId="238" xr:uid="{6ABEF621-7C94-4CB7-80F6-8490AE5383F1}"/>
    <cellStyle name="20% - Accent2 2 6" xfId="239" xr:uid="{65B73337-BDBE-4EED-AB73-0C8F8BC9C7F9}"/>
    <cellStyle name="20% - Accent2 2 7" xfId="240" xr:uid="{EEB1C746-8E6C-4681-A84F-E2618CF7360D}"/>
    <cellStyle name="20% - Accent2 2 8" xfId="241" xr:uid="{ACAF5353-1AED-41CD-8205-F69EC0CAD517}"/>
    <cellStyle name="20% - Accent2 2 9" xfId="242" xr:uid="{2F1FDA3B-D2F5-4D44-BB37-4DC7CD5DB420}"/>
    <cellStyle name="20% - Accent2 3" xfId="243" xr:uid="{8A16C8BF-D0D5-4136-B833-F99393592805}"/>
    <cellStyle name="20% - Accent2 3 10" xfId="244" xr:uid="{0089DF2A-45D7-455C-8EEA-59D0D8897153}"/>
    <cellStyle name="20% - Accent2 3 2" xfId="245" xr:uid="{B673E8BE-F7DB-43C5-80C3-05C17F97BE1D}"/>
    <cellStyle name="20% - Accent2 3 3" xfId="246" xr:uid="{5BFFBF87-B574-4F5F-BCBD-2F5D1271F66B}"/>
    <cellStyle name="20% - Accent2 3 4" xfId="247" xr:uid="{984C07F7-59B8-4D26-93FD-220CD05A4B33}"/>
    <cellStyle name="20% - Accent2 3 5" xfId="248" xr:uid="{BBFDED26-AB2A-4FFD-A2D4-B1393C332F23}"/>
    <cellStyle name="20% - Accent2 3 6" xfId="249" xr:uid="{CBE365C5-90B7-48D8-AC5F-CBDF8BE3F989}"/>
    <cellStyle name="20% - Accent2 3 7" xfId="250" xr:uid="{B686A898-4F75-4669-BBFF-2BE7AFD2FDB4}"/>
    <cellStyle name="20% - Accent2 3 8" xfId="251" xr:uid="{63C1EA56-023C-4CF3-9D9D-74DC012266FD}"/>
    <cellStyle name="20% - Accent2 3 9" xfId="252" xr:uid="{E184EC3A-1E52-4120-95D5-E16E450C387C}"/>
    <cellStyle name="20% - Accent2 4" xfId="253" xr:uid="{0FC0B678-579F-4993-8C1D-685EBB394917}"/>
    <cellStyle name="20% - Accent2 4 10" xfId="254" xr:uid="{8A68DE77-3602-4BDB-BAE8-9B8DC1C0F5EF}"/>
    <cellStyle name="20% - Accent2 4 2" xfId="255" xr:uid="{A615E2C0-399B-4C1C-ACAB-117FEC869515}"/>
    <cellStyle name="20% - Accent2 4 3" xfId="256" xr:uid="{6E5F3F02-812A-41E1-9BF1-B976A5800DE7}"/>
    <cellStyle name="20% - Accent2 4 4" xfId="257" xr:uid="{6098D7E8-06E7-4108-9F53-2E4A05A663CD}"/>
    <cellStyle name="20% - Accent2 4 5" xfId="258" xr:uid="{AECED223-BE4D-4CA3-8B5A-C5137631628E}"/>
    <cellStyle name="20% - Accent2 4 6" xfId="259" xr:uid="{03343A05-A9AB-4BE9-A9A1-82E644A416DC}"/>
    <cellStyle name="20% - Accent2 4 7" xfId="260" xr:uid="{D25B383E-7947-4C53-936B-F5D004A0CA0A}"/>
    <cellStyle name="20% - Accent2 4 8" xfId="261" xr:uid="{677CC708-D141-403C-9829-7C498181C97A}"/>
    <cellStyle name="20% - Accent2 4 9" xfId="262" xr:uid="{BA7C9353-1533-4150-A875-EEE6A8997AC1}"/>
    <cellStyle name="20% - Accent2 5" xfId="263" xr:uid="{2526D621-39B3-4090-A84F-616A5EB16A64}"/>
    <cellStyle name="20% - Accent2 5 10" xfId="264" xr:uid="{7C7470A2-BFEB-429A-A02E-DE2819EB360E}"/>
    <cellStyle name="20% - Accent2 5 2" xfId="265" xr:uid="{32686BB5-2573-4118-975F-93366007D000}"/>
    <cellStyle name="20% - Accent2 5 3" xfId="266" xr:uid="{D2A7BA31-BAAD-4A6A-A872-43B8BA38A464}"/>
    <cellStyle name="20% - Accent2 5 4" xfId="267" xr:uid="{FC0A838A-1D77-4804-8715-1EC9F04CFA89}"/>
    <cellStyle name="20% - Accent2 5 5" xfId="268" xr:uid="{65C50112-F118-4051-9AC5-CF5F1DF671A3}"/>
    <cellStyle name="20% - Accent2 5 6" xfId="269" xr:uid="{0E7A90F1-5135-4F0E-B923-1FEA26F8E420}"/>
    <cellStyle name="20% - Accent2 5 7" xfId="270" xr:uid="{0EBB144A-A3C6-4EF9-9E74-77074AC8C57B}"/>
    <cellStyle name="20% - Accent2 5 8" xfId="271" xr:uid="{30E36692-FE76-40FE-83D5-BECE273B4954}"/>
    <cellStyle name="20% - Accent2 5 9" xfId="272" xr:uid="{E12CF996-D34C-41F3-99A6-C31DD9DFF2A9}"/>
    <cellStyle name="20% - Accent2 6 2" xfId="273" xr:uid="{6757FDDD-7FE6-4039-A198-01AADE2062D5}"/>
    <cellStyle name="20% - Accent2 7 2" xfId="274" xr:uid="{349269C4-76C2-4FDC-B805-7A18A694235C}"/>
    <cellStyle name="20% - Accent2 8" xfId="275" xr:uid="{7F976EFC-5F3E-40E3-8D21-4A288F4E6A2E}"/>
    <cellStyle name="20% - Accent2 9" xfId="276" xr:uid="{5276E4AA-CAA6-48C3-AE2F-850550CB55DF}"/>
    <cellStyle name="20% - Accent3" xfId="30" builtinId="38" customBuiltin="1"/>
    <cellStyle name="20% - Accent3 10" xfId="277" xr:uid="{23291D11-98A7-420E-951A-617F3DACDE68}"/>
    <cellStyle name="20% - Accent3 11" xfId="278" xr:uid="{9107CA03-DAAF-4D38-8B57-B19364DE14A7}"/>
    <cellStyle name="20% - Accent3 12" xfId="279" xr:uid="{DC639823-5A55-4C6C-8413-CCCABB050E68}"/>
    <cellStyle name="20% - Accent3 13" xfId="280" xr:uid="{330E6D2E-DA57-4DF2-BC4E-B733154972DB}"/>
    <cellStyle name="20% - Accent3 14" xfId="281" xr:uid="{2B41A272-EEB2-4E74-992A-1FEF2EAD4F71}"/>
    <cellStyle name="20% - Accent3 2 10" xfId="282" xr:uid="{FD65F85E-C31D-4860-8180-80B7F758349D}"/>
    <cellStyle name="20% - Accent3 2 11" xfId="283" xr:uid="{C3895CE3-02C5-4117-B30B-E253EFFABE4E}"/>
    <cellStyle name="20% - Accent3 2 12" xfId="284" xr:uid="{18A69EE7-E088-4ED5-AAF2-23E482792A37}"/>
    <cellStyle name="20% - Accent3 2 13" xfId="285" xr:uid="{FE99E48E-FA2A-41A5-A8CB-70DB8A92C9CB}"/>
    <cellStyle name="20% - Accent3 2 13 10" xfId="286" xr:uid="{1D47EB5B-4F8B-4453-AE4F-FBE090300746}"/>
    <cellStyle name="20% - Accent3 2 13 11" xfId="287" xr:uid="{8F7BBACA-18EA-4FEC-9710-702B4D399345}"/>
    <cellStyle name="20% - Accent3 2 13 12" xfId="288" xr:uid="{83733AC1-F753-4DE6-BD0B-118FACACD2FC}"/>
    <cellStyle name="20% - Accent3 2 13 13" xfId="289" xr:uid="{3994194F-02D4-442F-A26C-947CC626A9E7}"/>
    <cellStyle name="20% - Accent3 2 13 14" xfId="290" xr:uid="{D7CDEEE8-CA97-464B-A044-FEB1B5DDA6FD}"/>
    <cellStyle name="20% - Accent3 2 13 15" xfId="291" xr:uid="{DB64C80F-4270-4996-B146-5C961842F5B8}"/>
    <cellStyle name="20% - Accent3 2 13 16" xfId="292" xr:uid="{95D65054-73BD-4CDB-8828-81E7C40575C1}"/>
    <cellStyle name="20% - Accent3 2 13 17" xfId="293" xr:uid="{84B3E315-BE11-4412-9EA9-D1322D996575}"/>
    <cellStyle name="20% - Accent3 2 13 18" xfId="294" xr:uid="{79E09422-B9E6-4AA0-837F-719584FB8380}"/>
    <cellStyle name="20% - Accent3 2 13 19" xfId="295" xr:uid="{6D30807C-7E30-459F-A67C-B4E4203E067B}"/>
    <cellStyle name="20% - Accent3 2 13 2" xfId="296" xr:uid="{0B7BDFE9-2775-4631-BFBB-F44E96392848}"/>
    <cellStyle name="20% - Accent3 2 13 20" xfId="297" xr:uid="{9C7A387E-9670-4715-A220-C9D6C1F5BD94}"/>
    <cellStyle name="20% - Accent3 2 13 21" xfId="298" xr:uid="{41108450-07BD-49CD-9E57-0F765EFFC537}"/>
    <cellStyle name="20% - Accent3 2 13 22" xfId="299" xr:uid="{E9A749CC-2350-4A8B-9FA6-B28BA7F1D278}"/>
    <cellStyle name="20% - Accent3 2 13 23" xfId="300" xr:uid="{44FB1C0D-A422-4D36-B62D-95D2EEDA60B0}"/>
    <cellStyle name="20% - Accent3 2 13 24" xfId="301" xr:uid="{7123A059-EFAF-45F8-93AB-62414DE2FE69}"/>
    <cellStyle name="20% - Accent3 2 13 25" xfId="302" xr:uid="{4C193D69-4EB2-4F68-82C6-B40812177076}"/>
    <cellStyle name="20% - Accent3 2 13 26" xfId="303" xr:uid="{46BD03D3-1F99-4BFA-BDE2-2731A7748D2B}"/>
    <cellStyle name="20% - Accent3 2 13 27" xfId="304" xr:uid="{24CDAF6F-EB1E-4634-8C0E-2C60D66BD02A}"/>
    <cellStyle name="20% - Accent3 2 13 28" xfId="305" xr:uid="{E66A313F-FC3D-4164-AE39-DC3B3D935726}"/>
    <cellStyle name="20% - Accent3 2 13 29" xfId="306" xr:uid="{EEBBA756-DF18-4F43-BCC2-8B2BB96CA178}"/>
    <cellStyle name="20% - Accent3 2 13 3" xfId="307" xr:uid="{1EC45374-128E-4321-BB79-3B7AD9A99202}"/>
    <cellStyle name="20% - Accent3 2 13 30" xfId="308" xr:uid="{A119FC01-A27A-4AAF-9BC9-9BCBE3FB0701}"/>
    <cellStyle name="20% - Accent3 2 13 31" xfId="309" xr:uid="{30E21E2E-888F-4453-A426-34E495AA2741}"/>
    <cellStyle name="20% - Accent3 2 13 32" xfId="310" xr:uid="{F5B13879-AB2B-454E-BE7B-6C3B8C46A96E}"/>
    <cellStyle name="20% - Accent3 2 13 33" xfId="311" xr:uid="{7A9B8610-4AA7-4326-B380-11ABEDB3B819}"/>
    <cellStyle name="20% - Accent3 2 13 34" xfId="312" xr:uid="{C592B8C0-CF47-4348-A32A-B157581DC410}"/>
    <cellStyle name="20% - Accent3 2 13 35" xfId="313" xr:uid="{D3D7C4B2-F57C-4E0C-9F4D-84D657BAF080}"/>
    <cellStyle name="20% - Accent3 2 13 36" xfId="314" xr:uid="{572664D5-4B7F-4413-9232-7E39F185F455}"/>
    <cellStyle name="20% - Accent3 2 13 37" xfId="315" xr:uid="{B3F38EE4-29E3-477E-9795-5DF37C43ED1F}"/>
    <cellStyle name="20% - Accent3 2 13 38" xfId="316" xr:uid="{DE41C255-4B04-44FE-867C-340461A3EE1C}"/>
    <cellStyle name="20% - Accent3 2 13 39" xfId="317" xr:uid="{204CF9F2-C086-4B10-A293-CBD2A57CD25F}"/>
    <cellStyle name="20% - Accent3 2 13 4" xfId="318" xr:uid="{3BCB4B91-D361-4B16-903B-F523FCE58850}"/>
    <cellStyle name="20% - Accent3 2 13 40" xfId="319" xr:uid="{F46531D9-7161-4E56-A901-071503FC6839}"/>
    <cellStyle name="20% - Accent3 2 13 41" xfId="320" xr:uid="{83FB8971-2746-4276-BFB6-E49C53D68BB9}"/>
    <cellStyle name="20% - Accent3 2 13 42" xfId="321" xr:uid="{6391C667-E66E-4B02-B507-9DBEB7A205FE}"/>
    <cellStyle name="20% - Accent3 2 13 43" xfId="322" xr:uid="{CB7C0CF9-C1ED-43CB-96C4-BB7DDF418FFA}"/>
    <cellStyle name="20% - Accent3 2 13 44" xfId="323" xr:uid="{9A7D410B-E5E1-4CB3-9F31-6F10115A943F}"/>
    <cellStyle name="20% - Accent3 2 13 45" xfId="324" xr:uid="{9A2F52C3-19EE-41DC-A12B-9B08D42C4CC5}"/>
    <cellStyle name="20% - Accent3 2 13 46" xfId="325" xr:uid="{F459DFD9-5862-496F-A618-54DD631B1427}"/>
    <cellStyle name="20% - Accent3 2 13 47" xfId="326" xr:uid="{7DA8852F-43D0-4791-916C-FD910CEA12A4}"/>
    <cellStyle name="20% - Accent3 2 13 5" xfId="327" xr:uid="{D99D5935-7E34-48E2-A8AC-7DB32467ECDD}"/>
    <cellStyle name="20% - Accent3 2 13 6" xfId="328" xr:uid="{4B9B4D9D-43BF-4C04-B851-F3795E5C8489}"/>
    <cellStyle name="20% - Accent3 2 13 7" xfId="329" xr:uid="{36920422-F597-4566-A077-BC6EEBBD7412}"/>
    <cellStyle name="20% - Accent3 2 13 8" xfId="330" xr:uid="{649FF891-F832-4299-A4CC-A2AAD2E2188E}"/>
    <cellStyle name="20% - Accent3 2 13 9" xfId="331" xr:uid="{CEDB3610-5707-4339-9098-35129358471B}"/>
    <cellStyle name="20% - Accent3 2 2" xfId="332" xr:uid="{92BC1E80-F7C4-4B6A-8370-4635370AFF41}"/>
    <cellStyle name="20% - Accent3 2 2 10" xfId="333" xr:uid="{65FD7738-ED7B-4445-8EE5-CF8731F951AB}"/>
    <cellStyle name="20% - Accent3 2 2 2" xfId="334" xr:uid="{419C4489-F3E9-42D6-9C1B-EDF7C9982CFA}"/>
    <cellStyle name="20% - Accent3 2 2 2 2" xfId="335" xr:uid="{0E065FD1-F1BD-43B0-BB55-1DA6EB9FE31B}"/>
    <cellStyle name="20% - Accent3 2 2 3" xfId="336" xr:uid="{7E2CB9EE-0595-4F86-9388-7347191E5AAE}"/>
    <cellStyle name="20% - Accent3 2 2 4" xfId="337" xr:uid="{72C21A13-B01E-4FE7-9722-D586BAE64789}"/>
    <cellStyle name="20% - Accent3 2 2 5" xfId="338" xr:uid="{8B92CEE4-B525-4263-9E1D-E0CD5D990D78}"/>
    <cellStyle name="20% - Accent3 2 2 6" xfId="339" xr:uid="{0B72F48C-B227-4950-95D9-BD64E181EA65}"/>
    <cellStyle name="20% - Accent3 2 2 7" xfId="340" xr:uid="{C6746044-5FDA-439F-9748-8BF05453C3F4}"/>
    <cellStyle name="20% - Accent3 2 2 8" xfId="341" xr:uid="{8890E66A-0E1B-4D7A-8539-8A4AF3CAF823}"/>
    <cellStyle name="20% - Accent3 2 2 9" xfId="342" xr:uid="{F4FEF31E-785A-41F2-B16E-6C1DB10A9AC3}"/>
    <cellStyle name="20% - Accent3 2 3" xfId="343" xr:uid="{213DCAC6-E514-44A7-BFB7-04ECC52F1944}"/>
    <cellStyle name="20% - Accent3 2 3 2" xfId="344" xr:uid="{E2AE0AB0-319B-4EBF-BC21-AAE007D7E8B4}"/>
    <cellStyle name="20% - Accent3 2 4" xfId="345" xr:uid="{C654C7B5-AE2E-4285-95D9-028550AE5702}"/>
    <cellStyle name="20% - Accent3 2 4 2" xfId="346" xr:uid="{850C559E-CC2F-4206-9C3D-FC905038F361}"/>
    <cellStyle name="20% - Accent3 2 5" xfId="347" xr:uid="{0788C1CF-140F-43AC-917B-F3CB232855CC}"/>
    <cellStyle name="20% - Accent3 2 6" xfId="348" xr:uid="{2820EB2F-EDC9-40F7-AEA6-7A59A18B77F5}"/>
    <cellStyle name="20% - Accent3 2 7" xfId="349" xr:uid="{BE945724-21B9-4D02-B272-64F5009B4484}"/>
    <cellStyle name="20% - Accent3 2 8" xfId="350" xr:uid="{A49715FE-CD6B-4AC3-B366-110D61EA399F}"/>
    <cellStyle name="20% - Accent3 2 9" xfId="351" xr:uid="{7F821134-C32E-437E-A9F5-E71EAB1BF3E6}"/>
    <cellStyle name="20% - Accent3 3" xfId="352" xr:uid="{2FEBA52E-7BBB-46EE-B2AF-BCF968B9BF50}"/>
    <cellStyle name="20% - Accent3 3 10" xfId="353" xr:uid="{42CEA079-DEA7-4FC9-A73E-E27A287D63BA}"/>
    <cellStyle name="20% - Accent3 3 2" xfId="354" xr:uid="{87D404F2-72D9-404A-8D1D-64C70447BB46}"/>
    <cellStyle name="20% - Accent3 3 3" xfId="355" xr:uid="{C9D0E236-E865-4374-85EC-29D7A31BD2D0}"/>
    <cellStyle name="20% - Accent3 3 4" xfId="356" xr:uid="{87C60E03-852D-4DDF-B3C9-5D435E3BB0CB}"/>
    <cellStyle name="20% - Accent3 3 5" xfId="357" xr:uid="{8595D555-9C04-4E13-BDAC-B3A996C0D90F}"/>
    <cellStyle name="20% - Accent3 3 6" xfId="358" xr:uid="{E3F2BB02-0799-4EBF-8CE2-5497E67BDF68}"/>
    <cellStyle name="20% - Accent3 3 7" xfId="359" xr:uid="{4604549D-116F-48F2-A561-79CC22AE01A6}"/>
    <cellStyle name="20% - Accent3 3 8" xfId="360" xr:uid="{3DEE7F3F-DF2E-42E8-9A6F-6FA6AAFBFDBD}"/>
    <cellStyle name="20% - Accent3 3 9" xfId="361" xr:uid="{83A562AD-EC06-4A50-A64E-5362709B4C6C}"/>
    <cellStyle name="20% - Accent3 4" xfId="362" xr:uid="{0CC7B12A-6032-4649-B7EB-0F9A2F4B9A31}"/>
    <cellStyle name="20% - Accent3 4 10" xfId="363" xr:uid="{3AF4DAD3-A409-483B-A286-96DF25B1C343}"/>
    <cellStyle name="20% - Accent3 4 2" xfId="364" xr:uid="{1BD09981-414E-41DE-BE75-58F2614B7798}"/>
    <cellStyle name="20% - Accent3 4 3" xfId="365" xr:uid="{9EDA5908-EFB4-43E0-8D2F-1F78A0B5CBCB}"/>
    <cellStyle name="20% - Accent3 4 4" xfId="366" xr:uid="{47475FD5-52ED-4503-A70F-DB31C8C6A073}"/>
    <cellStyle name="20% - Accent3 4 5" xfId="367" xr:uid="{1F6AC8DC-597E-45BD-AB43-9D6DDC0ABA17}"/>
    <cellStyle name="20% - Accent3 4 6" xfId="368" xr:uid="{85A5B7B5-0498-4960-A53B-54330313108D}"/>
    <cellStyle name="20% - Accent3 4 7" xfId="369" xr:uid="{5019DEBB-7084-454D-801C-5BE7C83D424A}"/>
    <cellStyle name="20% - Accent3 4 8" xfId="370" xr:uid="{DA8F2565-8148-466A-903F-3CEEF9D49CFA}"/>
    <cellStyle name="20% - Accent3 4 9" xfId="371" xr:uid="{7E264804-118E-4FC3-883E-30564884A5C1}"/>
    <cellStyle name="20% - Accent3 5" xfId="372" xr:uid="{910EA869-8E7D-42D5-87B2-EC5DF24218A7}"/>
    <cellStyle name="20% - Accent3 5 10" xfId="373" xr:uid="{194B4D58-1E62-4F81-B99E-4BB731D622A1}"/>
    <cellStyle name="20% - Accent3 5 2" xfId="374" xr:uid="{CE269D1F-BB4D-4EF4-AECE-1040D31DF285}"/>
    <cellStyle name="20% - Accent3 5 3" xfId="375" xr:uid="{643BFF8E-3394-4F47-9BED-92E9F95571E8}"/>
    <cellStyle name="20% - Accent3 5 4" xfId="376" xr:uid="{A41125EE-21F4-4591-A5C6-EFC4634F3DB3}"/>
    <cellStyle name="20% - Accent3 5 5" xfId="377" xr:uid="{EABBB031-2E04-4A9B-A323-E044C5ABA47D}"/>
    <cellStyle name="20% - Accent3 5 6" xfId="378" xr:uid="{2F48BF20-B250-41C7-B4A9-734267CF3F29}"/>
    <cellStyle name="20% - Accent3 5 7" xfId="379" xr:uid="{21BAD66D-2239-453E-A930-1CCAF696A461}"/>
    <cellStyle name="20% - Accent3 5 8" xfId="380" xr:uid="{C2246E5B-0EAF-4EE7-86E0-F77E0B32013B}"/>
    <cellStyle name="20% - Accent3 5 9" xfId="381" xr:uid="{74F94A81-A265-45DA-8496-1AD5E68A4B54}"/>
    <cellStyle name="20% - Accent3 6 2" xfId="382" xr:uid="{858F1224-5C6B-41CC-8693-5C722B4BF505}"/>
    <cellStyle name="20% - Accent3 7 2" xfId="383" xr:uid="{EA9BA226-A1E5-484A-941F-9190B3518CEA}"/>
    <cellStyle name="20% - Accent3 8" xfId="384" xr:uid="{257F6C6D-D119-41AC-B404-8C79E9D09B72}"/>
    <cellStyle name="20% - Accent3 9" xfId="385" xr:uid="{B95FA0F6-5401-4589-A45A-B22882899CE7}"/>
    <cellStyle name="20% - Accent4" xfId="34" builtinId="42" customBuiltin="1"/>
    <cellStyle name="20% - Accent4 10" xfId="386" xr:uid="{2CCC47B2-3A18-4EF8-9A5F-428FB49814AA}"/>
    <cellStyle name="20% - Accent4 11" xfId="387" xr:uid="{C9D9695E-56BE-4493-85B2-3AD0304E0ADD}"/>
    <cellStyle name="20% - Accent4 12" xfId="388" xr:uid="{8F7EB65C-EAAB-47C1-A67B-A2AD238437AC}"/>
    <cellStyle name="20% - Accent4 13" xfId="389" xr:uid="{F36B139C-EF03-486A-BC3F-BE7A3820E0A8}"/>
    <cellStyle name="20% - Accent4 14" xfId="390" xr:uid="{B52393F0-4746-4086-9D5C-659F3FA3A8FF}"/>
    <cellStyle name="20% - Accent4 2 10" xfId="391" xr:uid="{CF04C30B-F2C1-4727-BB71-B99B40F5FF61}"/>
    <cellStyle name="20% - Accent4 2 11" xfId="392" xr:uid="{67FBE929-E751-4190-886A-8B00A6E95557}"/>
    <cellStyle name="20% - Accent4 2 12" xfId="393" xr:uid="{0A5BE217-0B0B-4F86-BF64-5997D1A3524E}"/>
    <cellStyle name="20% - Accent4 2 13" xfId="394" xr:uid="{891B750D-D782-47B6-8753-5A321BDF0C10}"/>
    <cellStyle name="20% - Accent4 2 13 10" xfId="395" xr:uid="{1A669AE4-6B9D-4B5A-AB0F-6420E5D649E8}"/>
    <cellStyle name="20% - Accent4 2 13 11" xfId="396" xr:uid="{035A8BAA-09F4-4EB7-9DBC-F7AFF175DA6C}"/>
    <cellStyle name="20% - Accent4 2 13 12" xfId="397" xr:uid="{A534697E-435F-4F2A-9E53-6F62F7EA9B28}"/>
    <cellStyle name="20% - Accent4 2 13 13" xfId="398" xr:uid="{BC48AC35-E999-48A9-9BE8-AF8FA867BD28}"/>
    <cellStyle name="20% - Accent4 2 13 14" xfId="399" xr:uid="{9DEB1FF6-F817-4ECC-BD08-51D46D0B55B8}"/>
    <cellStyle name="20% - Accent4 2 13 15" xfId="400" xr:uid="{01F0C3F9-096A-407A-90D9-A06E91FBF1D7}"/>
    <cellStyle name="20% - Accent4 2 13 16" xfId="401" xr:uid="{B98CCDB0-977D-40E0-AA43-23781DA52239}"/>
    <cellStyle name="20% - Accent4 2 13 17" xfId="402" xr:uid="{4737119B-EDB0-4042-8422-7D5FA587CE99}"/>
    <cellStyle name="20% - Accent4 2 13 18" xfId="403" xr:uid="{5C8FB424-D513-4672-980D-33FC35599F84}"/>
    <cellStyle name="20% - Accent4 2 13 19" xfId="404" xr:uid="{CFD95E8C-22E5-4F54-AD56-A8C5C8D88ABA}"/>
    <cellStyle name="20% - Accent4 2 13 2" xfId="405" xr:uid="{3069A408-1788-4806-AAA7-824C9AD55D81}"/>
    <cellStyle name="20% - Accent4 2 13 20" xfId="406" xr:uid="{3F3BA253-D072-4B1D-85A4-A00CF6BE7126}"/>
    <cellStyle name="20% - Accent4 2 13 21" xfId="407" xr:uid="{9F788D59-0F96-43D8-9A32-BE69429C8A52}"/>
    <cellStyle name="20% - Accent4 2 13 22" xfId="408" xr:uid="{40BF5597-FE45-4078-8BE1-58446CDD2FCF}"/>
    <cellStyle name="20% - Accent4 2 13 23" xfId="409" xr:uid="{4EDE89F3-6132-4BB8-8908-7283F3E3F8A4}"/>
    <cellStyle name="20% - Accent4 2 13 24" xfId="410" xr:uid="{06429655-3371-4471-8188-56E2EA0601E0}"/>
    <cellStyle name="20% - Accent4 2 13 25" xfId="411" xr:uid="{82CCFF58-7E16-46EA-AF9D-44A2F90DAA01}"/>
    <cellStyle name="20% - Accent4 2 13 26" xfId="412" xr:uid="{550DC1F6-81B2-4B35-BC5F-D032B18BC9D7}"/>
    <cellStyle name="20% - Accent4 2 13 27" xfId="413" xr:uid="{A8357F4D-5AFE-4279-A1F5-7CD6A0BC721C}"/>
    <cellStyle name="20% - Accent4 2 13 28" xfId="414" xr:uid="{9701A37B-9294-4B83-B2CC-D79964BC9B5B}"/>
    <cellStyle name="20% - Accent4 2 13 29" xfId="415" xr:uid="{B5A8B117-14E9-4B2C-9748-58B134B63C5E}"/>
    <cellStyle name="20% - Accent4 2 13 3" xfId="416" xr:uid="{E94A0374-71FD-4C94-8B14-5EE59945DD17}"/>
    <cellStyle name="20% - Accent4 2 13 30" xfId="417" xr:uid="{35719187-06C4-4490-B66F-1EF462B8200E}"/>
    <cellStyle name="20% - Accent4 2 13 31" xfId="418" xr:uid="{F216D2D3-6BD2-467D-A842-F5AF7956FBCF}"/>
    <cellStyle name="20% - Accent4 2 13 32" xfId="419" xr:uid="{DCE3C579-DCED-48FA-8AFB-AC55A040936E}"/>
    <cellStyle name="20% - Accent4 2 13 33" xfId="420" xr:uid="{BA252AA4-9FFF-4272-8D3C-4E77A9A1072B}"/>
    <cellStyle name="20% - Accent4 2 13 34" xfId="421" xr:uid="{2C8B17C6-CD3A-4AC8-956F-88A008B83C56}"/>
    <cellStyle name="20% - Accent4 2 13 35" xfId="422" xr:uid="{A68E95A2-1E70-41EB-80A3-F3254E606532}"/>
    <cellStyle name="20% - Accent4 2 13 36" xfId="423" xr:uid="{DCBECA8B-AAA1-4B19-95A3-04A828BAE4B3}"/>
    <cellStyle name="20% - Accent4 2 13 37" xfId="424" xr:uid="{0D8CE6DE-3FD0-423D-8F53-E578DA6B02C5}"/>
    <cellStyle name="20% - Accent4 2 13 38" xfId="425" xr:uid="{164CF1AC-0736-4D93-9022-27A0D27AC255}"/>
    <cellStyle name="20% - Accent4 2 13 39" xfId="426" xr:uid="{BCF0F1A8-4F12-41F3-942A-413FAACB5BB4}"/>
    <cellStyle name="20% - Accent4 2 13 4" xfId="427" xr:uid="{BB27CEE8-7CCD-4DDA-B4C7-B635B70F039F}"/>
    <cellStyle name="20% - Accent4 2 13 40" xfId="428" xr:uid="{E097675E-D11F-484F-9202-F3103EF5D559}"/>
    <cellStyle name="20% - Accent4 2 13 41" xfId="429" xr:uid="{0A9C00F5-9FD7-421C-BC34-D5BE256E4C7E}"/>
    <cellStyle name="20% - Accent4 2 13 42" xfId="430" xr:uid="{F4C8F47F-D8AB-45DA-823D-2EC012D5C6F5}"/>
    <cellStyle name="20% - Accent4 2 13 43" xfId="431" xr:uid="{7C09412D-9312-46C1-87BA-0ED4E8E53B8B}"/>
    <cellStyle name="20% - Accent4 2 13 44" xfId="432" xr:uid="{E0876929-4514-4CB7-A998-05D63071CE78}"/>
    <cellStyle name="20% - Accent4 2 13 45" xfId="433" xr:uid="{CC303C5D-C490-43E7-9514-B96271A01480}"/>
    <cellStyle name="20% - Accent4 2 13 46" xfId="434" xr:uid="{D142146F-CCC8-4FA5-8523-B38BF4CFC636}"/>
    <cellStyle name="20% - Accent4 2 13 47" xfId="435" xr:uid="{D39C9C38-8EA8-46C3-BF30-0C3B4D9B9BCB}"/>
    <cellStyle name="20% - Accent4 2 13 5" xfId="436" xr:uid="{FCE6CDDA-ED61-4BE7-AEE3-F10E46650D1C}"/>
    <cellStyle name="20% - Accent4 2 13 6" xfId="437" xr:uid="{96892871-8397-49C7-8F2F-280FE59F183C}"/>
    <cellStyle name="20% - Accent4 2 13 7" xfId="438" xr:uid="{465F689B-AE7F-4E97-AF2D-2D06F38F14BF}"/>
    <cellStyle name="20% - Accent4 2 13 8" xfId="439" xr:uid="{8ED3E0AD-7433-4A5A-B838-66F3CC3F6507}"/>
    <cellStyle name="20% - Accent4 2 13 9" xfId="440" xr:uid="{8FAC36C6-7CAB-49B6-86AE-E4CCF4898736}"/>
    <cellStyle name="20% - Accent4 2 2" xfId="441" xr:uid="{455B7EDD-901B-429E-8903-018C4237A047}"/>
    <cellStyle name="20% - Accent4 2 2 10" xfId="442" xr:uid="{F56A756F-35A6-4C64-8A86-D5B52C5AA786}"/>
    <cellStyle name="20% - Accent4 2 2 2" xfId="443" xr:uid="{3BA42CBB-66D6-4D06-827C-AB86C063114F}"/>
    <cellStyle name="20% - Accent4 2 2 2 2" xfId="444" xr:uid="{5CDE07C3-B7E9-4FA4-87B9-850428B29D57}"/>
    <cellStyle name="20% - Accent4 2 2 3" xfId="445" xr:uid="{5065E056-0D20-4503-97EC-35C8A5E3346D}"/>
    <cellStyle name="20% - Accent4 2 2 4" xfId="446" xr:uid="{F82833D0-E3C8-4239-AA7F-5961B26B8ECE}"/>
    <cellStyle name="20% - Accent4 2 2 5" xfId="447" xr:uid="{1769ADC8-1ABA-4A71-95C5-7AE9366F4D47}"/>
    <cellStyle name="20% - Accent4 2 2 6" xfId="448" xr:uid="{136F2281-2A98-45F7-878B-58798F417753}"/>
    <cellStyle name="20% - Accent4 2 2 7" xfId="449" xr:uid="{9261CCC3-37FF-4EB7-B923-1E7B988878BD}"/>
    <cellStyle name="20% - Accent4 2 2 8" xfId="450" xr:uid="{B538A1BD-839A-452A-B305-D4AC639FB3C8}"/>
    <cellStyle name="20% - Accent4 2 2 9" xfId="451" xr:uid="{C8369A45-5396-4A4A-8244-75D7D72D9957}"/>
    <cellStyle name="20% - Accent4 2 3" xfId="452" xr:uid="{EE1D2A0F-62BF-4085-A927-1F3B5CC88F7C}"/>
    <cellStyle name="20% - Accent4 2 3 2" xfId="453" xr:uid="{48B3E6F5-C3D0-4040-99D5-20D677334993}"/>
    <cellStyle name="20% - Accent4 2 4" xfId="454" xr:uid="{165E97DA-A930-473B-BF9D-5A6E54CAF49D}"/>
    <cellStyle name="20% - Accent4 2 4 2" xfId="455" xr:uid="{D3096540-CF3C-40EB-AEF9-5DCA3131B0DE}"/>
    <cellStyle name="20% - Accent4 2 5" xfId="456" xr:uid="{27971BEF-692E-4BB4-9F69-B5E69488F8D4}"/>
    <cellStyle name="20% - Accent4 2 6" xfId="457" xr:uid="{1ED2B04B-F205-46EF-A3EF-1C9EDDA5E919}"/>
    <cellStyle name="20% - Accent4 2 7" xfId="458" xr:uid="{96680285-0750-460D-A47A-C853E67848DC}"/>
    <cellStyle name="20% - Accent4 2 8" xfId="459" xr:uid="{149C1CE1-25E6-45D1-9F35-99EF67C2CDE7}"/>
    <cellStyle name="20% - Accent4 2 9" xfId="460" xr:uid="{5AC2022E-676A-40EB-B8DD-5942712567C7}"/>
    <cellStyle name="20% - Accent4 3" xfId="461" xr:uid="{F3DDEFAB-F5D5-4D78-B8EB-F87FFB1F5A96}"/>
    <cellStyle name="20% - Accent4 3 10" xfId="462" xr:uid="{27E98B32-9699-44EB-971D-E5956D0E7421}"/>
    <cellStyle name="20% - Accent4 3 2" xfId="463" xr:uid="{85EAEEE1-2990-4EF8-A41D-496A784C4371}"/>
    <cellStyle name="20% - Accent4 3 3" xfId="464" xr:uid="{E31A8715-9922-4F96-850D-90AF7D439A1C}"/>
    <cellStyle name="20% - Accent4 3 4" xfId="465" xr:uid="{03F988C8-D6D0-4CC0-B651-23A7EB58B810}"/>
    <cellStyle name="20% - Accent4 3 5" xfId="466" xr:uid="{63E85A2D-3DD6-47F6-8B9B-837558DEDD3F}"/>
    <cellStyle name="20% - Accent4 3 6" xfId="467" xr:uid="{CF4248D9-9748-42E8-8F10-3D7F4A561BBC}"/>
    <cellStyle name="20% - Accent4 3 7" xfId="468" xr:uid="{24909D1C-C687-4306-81D3-3063203EA123}"/>
    <cellStyle name="20% - Accent4 3 8" xfId="469" xr:uid="{F90BA12B-F7D3-44C7-9C14-90F15C19B68B}"/>
    <cellStyle name="20% - Accent4 3 9" xfId="470" xr:uid="{37E62851-63B0-4D68-83C1-3780CCAE81D2}"/>
    <cellStyle name="20% - Accent4 4" xfId="471" xr:uid="{9BF449B5-B058-4071-8B4D-2CD9CDC6D174}"/>
    <cellStyle name="20% - Accent4 4 10" xfId="472" xr:uid="{51B5A1DF-C63F-438C-9E04-2A9BB17E42E5}"/>
    <cellStyle name="20% - Accent4 4 2" xfId="473" xr:uid="{0C45661E-1B60-42DD-8BBB-088509808B47}"/>
    <cellStyle name="20% - Accent4 4 3" xfId="474" xr:uid="{4A30ED93-9E1A-4AED-9B80-94051694E150}"/>
    <cellStyle name="20% - Accent4 4 4" xfId="475" xr:uid="{CBD87198-70E4-4A12-A652-9B5ACE4FBE13}"/>
    <cellStyle name="20% - Accent4 4 5" xfId="476" xr:uid="{D776479A-6D1B-47FA-8071-85CF6CD2B09B}"/>
    <cellStyle name="20% - Accent4 4 6" xfId="477" xr:uid="{CD432B58-34AD-44C3-BFC1-52343C9DB724}"/>
    <cellStyle name="20% - Accent4 4 7" xfId="478" xr:uid="{C4CEB9C4-3A69-4641-8B15-E20A65FE196A}"/>
    <cellStyle name="20% - Accent4 4 8" xfId="479" xr:uid="{22700A66-4303-4B9E-AEA2-10371B5F40EE}"/>
    <cellStyle name="20% - Accent4 4 9" xfId="480" xr:uid="{D35DE4BB-9749-4CF9-A044-D6E3980E20A1}"/>
    <cellStyle name="20% - Accent4 5" xfId="481" xr:uid="{A3FA2129-43DC-4A71-B86C-37F209D13BF6}"/>
    <cellStyle name="20% - Accent4 5 10" xfId="482" xr:uid="{EEFC53EA-22CE-466D-844A-690B912FC1A3}"/>
    <cellStyle name="20% - Accent4 5 2" xfId="483" xr:uid="{5E0EAEAB-7A0A-408E-82EB-AE925655059D}"/>
    <cellStyle name="20% - Accent4 5 3" xfId="484" xr:uid="{A9E8885F-FECE-48AE-A350-B4BB06309F9B}"/>
    <cellStyle name="20% - Accent4 5 4" xfId="485" xr:uid="{BEF3A44E-ABF7-42B7-B6CC-3C1B11D01FEB}"/>
    <cellStyle name="20% - Accent4 5 5" xfId="486" xr:uid="{6690A18C-A4E2-416C-AC17-894A9F7303E8}"/>
    <cellStyle name="20% - Accent4 5 6" xfId="487" xr:uid="{BBFAA1F3-FD52-4A2A-A066-F29763BA5914}"/>
    <cellStyle name="20% - Accent4 5 7" xfId="488" xr:uid="{ED20BA48-7329-4A8D-8FAB-63EEC5188F6A}"/>
    <cellStyle name="20% - Accent4 5 8" xfId="489" xr:uid="{C14EEE8A-1468-403C-8D0F-A912A1F385D0}"/>
    <cellStyle name="20% - Accent4 5 9" xfId="490" xr:uid="{1A0010B1-BFA7-47B3-AA0E-6F36ABC2C1D5}"/>
    <cellStyle name="20% - Accent4 6 2" xfId="491" xr:uid="{EFCB9B1A-3BCF-4472-A534-8F7C50AD4C03}"/>
    <cellStyle name="20% - Accent4 7 2" xfId="492" xr:uid="{087110B1-97D2-463A-A4F4-1D6C2F544AAE}"/>
    <cellStyle name="20% - Accent4 8" xfId="493" xr:uid="{442A5546-264C-44D9-ABF5-6D0B9130BD6C}"/>
    <cellStyle name="20% - Accent4 9" xfId="494" xr:uid="{FE9B403C-2AC2-46C4-821D-4938C18C70DA}"/>
    <cellStyle name="20% - Accent5" xfId="38" builtinId="46" customBuiltin="1"/>
    <cellStyle name="20% - Accent5 10" xfId="495" xr:uid="{815D3A29-3B26-4DF0-86AB-530EEC218E1F}"/>
    <cellStyle name="20% - Accent5 11" xfId="496" xr:uid="{168CFC6E-412F-4778-8FBC-044135AB0A70}"/>
    <cellStyle name="20% - Accent5 12" xfId="497" xr:uid="{F99E59D4-ECBB-4BCE-ABAE-49B02DAD8498}"/>
    <cellStyle name="20% - Accent5 13" xfId="498" xr:uid="{F84402F8-2CE2-4933-A70F-F69E9DD5A841}"/>
    <cellStyle name="20% - Accent5 14" xfId="499" xr:uid="{02BF6EC8-D984-40C0-A52E-266E493FB840}"/>
    <cellStyle name="20% - Accent5 2 10" xfId="500" xr:uid="{75B6DD4B-01A0-4AB7-8C84-1FF0A6749F29}"/>
    <cellStyle name="20% - Accent5 2 11" xfId="501" xr:uid="{1B07ED20-D354-49A7-83CE-07832E2358B0}"/>
    <cellStyle name="20% - Accent5 2 12" xfId="502" xr:uid="{4D2C23D7-9D01-4EB8-98F7-C97BD1FC9089}"/>
    <cellStyle name="20% - Accent5 2 13" xfId="503" xr:uid="{F061BB0B-CF1D-4B8C-968A-55FBB213CDDA}"/>
    <cellStyle name="20% - Accent5 2 13 10" xfId="504" xr:uid="{4DF93FC3-1DDC-42DA-8643-0312735A33FD}"/>
    <cellStyle name="20% - Accent5 2 13 11" xfId="505" xr:uid="{68B419D1-268B-4A55-8AFD-FFE6917403CA}"/>
    <cellStyle name="20% - Accent5 2 13 12" xfId="506" xr:uid="{C3174F8A-AA09-4699-BB3F-AE5BBE5B0BF2}"/>
    <cellStyle name="20% - Accent5 2 13 13" xfId="507" xr:uid="{0C2138D9-403D-4AFB-B8B6-DBF9186D63E5}"/>
    <cellStyle name="20% - Accent5 2 13 14" xfId="508" xr:uid="{C7622830-7036-4676-B7D4-3EF30B32658F}"/>
    <cellStyle name="20% - Accent5 2 13 15" xfId="509" xr:uid="{3A22D579-A141-41B2-B229-8F0A61225F66}"/>
    <cellStyle name="20% - Accent5 2 13 16" xfId="510" xr:uid="{D31EC4EF-6704-4A61-A595-05994E274383}"/>
    <cellStyle name="20% - Accent5 2 13 17" xfId="511" xr:uid="{E086C26E-C242-4707-A68F-D260A3C2880D}"/>
    <cellStyle name="20% - Accent5 2 13 18" xfId="512" xr:uid="{755B0703-9C0A-46CA-9945-3A1FA25A03C3}"/>
    <cellStyle name="20% - Accent5 2 13 19" xfId="513" xr:uid="{602BCAB9-3C0A-46A3-9A78-218D86BE4D4D}"/>
    <cellStyle name="20% - Accent5 2 13 2" xfId="514" xr:uid="{D6CD7A1D-5578-4966-9BDD-28B73DE44D14}"/>
    <cellStyle name="20% - Accent5 2 13 20" xfId="515" xr:uid="{1803163D-6BC2-4698-824E-77AD9BB42A91}"/>
    <cellStyle name="20% - Accent5 2 13 21" xfId="516" xr:uid="{40327C4C-F6BB-473F-99AC-CFB5EC30825C}"/>
    <cellStyle name="20% - Accent5 2 13 22" xfId="517" xr:uid="{F29EA9DC-F761-4454-8008-280985DAE5F5}"/>
    <cellStyle name="20% - Accent5 2 13 23" xfId="518" xr:uid="{CACCD9B7-B034-489A-B152-1DD706CEADCF}"/>
    <cellStyle name="20% - Accent5 2 13 24" xfId="519" xr:uid="{4D8C4D4F-8C3D-4EFC-8A75-ECF5A0AD6F81}"/>
    <cellStyle name="20% - Accent5 2 13 25" xfId="520" xr:uid="{0046AD1C-1675-44A4-B865-35AD0B55EAC1}"/>
    <cellStyle name="20% - Accent5 2 13 26" xfId="521" xr:uid="{C7F072B7-C14C-4CE4-9859-90C71938A898}"/>
    <cellStyle name="20% - Accent5 2 13 27" xfId="522" xr:uid="{E5FC7DB6-6974-4684-838D-F125FABF7F43}"/>
    <cellStyle name="20% - Accent5 2 13 28" xfId="523" xr:uid="{73FB1E5E-CA7F-4BC7-917B-640545DE1573}"/>
    <cellStyle name="20% - Accent5 2 13 29" xfId="524" xr:uid="{D6141B15-EE66-4858-B7DF-B85BB7AE84FD}"/>
    <cellStyle name="20% - Accent5 2 13 3" xfId="525" xr:uid="{A196A621-5D19-4C91-9AA9-177DA57B7E4A}"/>
    <cellStyle name="20% - Accent5 2 13 30" xfId="526" xr:uid="{4584F080-74C0-43D3-811B-D95B903024CB}"/>
    <cellStyle name="20% - Accent5 2 13 31" xfId="527" xr:uid="{F9BAFD20-34AD-495A-A06B-36F6C422A42E}"/>
    <cellStyle name="20% - Accent5 2 13 32" xfId="528" xr:uid="{77896F93-C7CF-45A1-8439-5EAD0F21DAC3}"/>
    <cellStyle name="20% - Accent5 2 13 33" xfId="529" xr:uid="{2353981A-E6C2-4B89-8A01-E47F0542ADF3}"/>
    <cellStyle name="20% - Accent5 2 13 34" xfId="530" xr:uid="{FCEA5444-6E5F-430B-A118-4352ADA1F24D}"/>
    <cellStyle name="20% - Accent5 2 13 35" xfId="531" xr:uid="{83467A33-48CD-444C-9BCE-C1A42F0B3C59}"/>
    <cellStyle name="20% - Accent5 2 13 36" xfId="532" xr:uid="{B50E911A-F89E-4572-A3D2-70DF5C6E8CD2}"/>
    <cellStyle name="20% - Accent5 2 13 37" xfId="533" xr:uid="{A417A39E-4B88-40B5-B1B3-54267C00254E}"/>
    <cellStyle name="20% - Accent5 2 13 38" xfId="534" xr:uid="{7952D6FE-09AD-432D-87A2-6E7A24B7B70A}"/>
    <cellStyle name="20% - Accent5 2 13 39" xfId="535" xr:uid="{4E2AD0CD-AA43-43B0-8C18-056C66AF5362}"/>
    <cellStyle name="20% - Accent5 2 13 4" xfId="536" xr:uid="{2CCAE53B-57AE-4C43-B327-4C37706FF005}"/>
    <cellStyle name="20% - Accent5 2 13 40" xfId="537" xr:uid="{810AC347-14DB-4C28-968C-8FF6EEEB992B}"/>
    <cellStyle name="20% - Accent5 2 13 41" xfId="538" xr:uid="{84D59384-6FEA-4D8D-A06C-D636C136E379}"/>
    <cellStyle name="20% - Accent5 2 13 42" xfId="539" xr:uid="{BAF014D6-016F-4585-AA3C-F11AC8D905EF}"/>
    <cellStyle name="20% - Accent5 2 13 43" xfId="540" xr:uid="{24F7A452-B0A5-4450-83A1-1C2F7341188C}"/>
    <cellStyle name="20% - Accent5 2 13 44" xfId="541" xr:uid="{F353A113-562B-45CD-878E-785F3FAC157D}"/>
    <cellStyle name="20% - Accent5 2 13 45" xfId="542" xr:uid="{15B21E89-EE57-47DA-9357-3D474A2D6C60}"/>
    <cellStyle name="20% - Accent5 2 13 46" xfId="543" xr:uid="{014DBDB7-1220-498A-99C9-839AE6CF7106}"/>
    <cellStyle name="20% - Accent5 2 13 47" xfId="544" xr:uid="{45281DF2-47A4-45B0-BC90-8B335B9BE3C0}"/>
    <cellStyle name="20% - Accent5 2 13 5" xfId="545" xr:uid="{D2158A2D-B334-4156-9F82-2D7E286FCBCB}"/>
    <cellStyle name="20% - Accent5 2 13 6" xfId="546" xr:uid="{43BD0409-5A0C-4865-A1EA-7DDD3BDD90DF}"/>
    <cellStyle name="20% - Accent5 2 13 7" xfId="547" xr:uid="{969D879F-F6BD-48E5-BB7C-9EDDCF535465}"/>
    <cellStyle name="20% - Accent5 2 13 8" xfId="548" xr:uid="{77C57291-2D03-4A63-9A2F-99EEDC8DBAAA}"/>
    <cellStyle name="20% - Accent5 2 13 9" xfId="549" xr:uid="{7AA1EDE5-A68D-406C-83CC-6A9A233B3B99}"/>
    <cellStyle name="20% - Accent5 2 2" xfId="550" xr:uid="{3A3D85A4-091E-49D2-9DC5-0BA56285DE69}"/>
    <cellStyle name="20% - Accent5 2 2 10" xfId="551" xr:uid="{C9135BEF-4894-4BAB-94EB-520AB9D0233F}"/>
    <cellStyle name="20% - Accent5 2 2 2" xfId="552" xr:uid="{05039929-A764-421B-BFC3-AE9AF7FE80C7}"/>
    <cellStyle name="20% - Accent5 2 2 2 2" xfId="553" xr:uid="{4797C469-6BF4-4951-A84D-EB2B1CF8C043}"/>
    <cellStyle name="20% - Accent5 2 2 3" xfId="554" xr:uid="{CD7AC842-DA55-48EF-8CFA-7A9B4F6724F0}"/>
    <cellStyle name="20% - Accent5 2 2 4" xfId="555" xr:uid="{A812110F-6D0D-417C-9C6E-1816777FFBA1}"/>
    <cellStyle name="20% - Accent5 2 2 5" xfId="556" xr:uid="{337358C6-A388-40E7-A4D6-5348C6614AD9}"/>
    <cellStyle name="20% - Accent5 2 2 6" xfId="557" xr:uid="{171BB36F-9E8F-44F1-A3C8-22B0EB3588E4}"/>
    <cellStyle name="20% - Accent5 2 2 7" xfId="558" xr:uid="{480B54EB-B897-4E89-8D60-501522523CDE}"/>
    <cellStyle name="20% - Accent5 2 2 8" xfId="559" xr:uid="{9562EC88-D443-4594-897A-13AC5791A87F}"/>
    <cellStyle name="20% - Accent5 2 2 9" xfId="560" xr:uid="{795ABF83-8821-4BD5-87B9-D3B3549AA651}"/>
    <cellStyle name="20% - Accent5 2 3" xfId="561" xr:uid="{1224D032-8576-4A84-9222-8738142B394A}"/>
    <cellStyle name="20% - Accent5 2 3 2" xfId="562" xr:uid="{22FE37E0-D36C-40A0-BD76-9740ADE66143}"/>
    <cellStyle name="20% - Accent5 2 4" xfId="563" xr:uid="{99375911-994E-4E12-A1D2-D90683931200}"/>
    <cellStyle name="20% - Accent5 2 4 2" xfId="564" xr:uid="{79E14BEE-716E-4444-B5DA-A94381A257B7}"/>
    <cellStyle name="20% - Accent5 2 5" xfId="565" xr:uid="{8DDEE845-863F-424B-981C-ADD158730243}"/>
    <cellStyle name="20% - Accent5 2 6" xfId="566" xr:uid="{1E4FD157-0BF1-496B-9A2D-747756CF7D99}"/>
    <cellStyle name="20% - Accent5 2 7" xfId="567" xr:uid="{BE1B0AE7-6532-4B22-9254-F47B142BE4A7}"/>
    <cellStyle name="20% - Accent5 2 8" xfId="568" xr:uid="{4FAF6C11-C2DE-470A-9B28-C8A0D7CB5666}"/>
    <cellStyle name="20% - Accent5 2 9" xfId="569" xr:uid="{6C84C126-A8B4-4349-85A4-10B8E76AE1DA}"/>
    <cellStyle name="20% - Accent5 3" xfId="570" xr:uid="{F5941E70-F690-4883-BD42-F0C6B05E6548}"/>
    <cellStyle name="20% - Accent5 3 10" xfId="571" xr:uid="{15087D6A-AE41-48CC-9D88-1981A5F7C6F9}"/>
    <cellStyle name="20% - Accent5 3 2" xfId="572" xr:uid="{1E43EB8A-A846-4C9C-950F-63C2F1A519D0}"/>
    <cellStyle name="20% - Accent5 3 3" xfId="573" xr:uid="{787D95E2-3463-4E54-A446-26A2F496FBC8}"/>
    <cellStyle name="20% - Accent5 3 4" xfId="574" xr:uid="{AC329A15-C6B0-4C30-8B1C-00809107EE34}"/>
    <cellStyle name="20% - Accent5 3 5" xfId="575" xr:uid="{BA1F7458-6A78-4731-9774-F8E617222375}"/>
    <cellStyle name="20% - Accent5 3 6" xfId="576" xr:uid="{FC4E7B57-CE32-4B6C-9B6B-D9DA97250597}"/>
    <cellStyle name="20% - Accent5 3 7" xfId="577" xr:uid="{40E7A682-DED7-47EB-AC1E-CC75DBA03832}"/>
    <cellStyle name="20% - Accent5 3 8" xfId="578" xr:uid="{2EC7E530-DCF6-4D2F-8313-2A8CE2AA3E27}"/>
    <cellStyle name="20% - Accent5 3 9" xfId="579" xr:uid="{8A6A6F36-6F9D-4325-A9B0-F79E75D8A615}"/>
    <cellStyle name="20% - Accent5 4" xfId="580" xr:uid="{8AFC11DC-22EF-4EDD-875E-0BCEAC45C2F1}"/>
    <cellStyle name="20% - Accent5 4 10" xfId="581" xr:uid="{A715920A-C714-4726-8A3E-7EC528BC9921}"/>
    <cellStyle name="20% - Accent5 4 2" xfId="582" xr:uid="{FC9E96C3-F60D-43C8-9F2F-ECB78BCC7991}"/>
    <cellStyle name="20% - Accent5 4 3" xfId="583" xr:uid="{5C9D2082-174C-4B5A-BBF5-267E61931FE0}"/>
    <cellStyle name="20% - Accent5 4 4" xfId="584" xr:uid="{62836B0E-7BEB-42C2-BE9E-2E4517BFA4DD}"/>
    <cellStyle name="20% - Accent5 4 5" xfId="585" xr:uid="{D3811D93-2340-4342-9662-0875669ED2FD}"/>
    <cellStyle name="20% - Accent5 4 6" xfId="586" xr:uid="{EA95EA14-E890-4639-BCD9-02B68B049291}"/>
    <cellStyle name="20% - Accent5 4 7" xfId="587" xr:uid="{11203F52-57CF-4183-A5BC-A32C481304E4}"/>
    <cellStyle name="20% - Accent5 4 8" xfId="588" xr:uid="{37875DBA-D800-4DD5-9A0F-3DB471AAE283}"/>
    <cellStyle name="20% - Accent5 4 9" xfId="589" xr:uid="{23B39330-0668-402B-8397-79655DA3B120}"/>
    <cellStyle name="20% - Accent5 5" xfId="590" xr:uid="{C50CDA81-3CC0-414A-88A8-63F04C4C6FC3}"/>
    <cellStyle name="20% - Accent5 5 10" xfId="591" xr:uid="{5C106C9E-07EB-4099-B40E-871EAD135304}"/>
    <cellStyle name="20% - Accent5 5 2" xfId="592" xr:uid="{C08F5BE8-1EEB-4452-BB10-CF4B98D5861A}"/>
    <cellStyle name="20% - Accent5 5 3" xfId="593" xr:uid="{A1070607-8D80-419A-8D72-94B4E4CD2D08}"/>
    <cellStyle name="20% - Accent5 5 4" xfId="594" xr:uid="{9C5DFB10-00DA-4590-9167-488791AA15D8}"/>
    <cellStyle name="20% - Accent5 5 5" xfId="595" xr:uid="{C9053E16-1EB1-493D-9AEE-023671E9F9EE}"/>
    <cellStyle name="20% - Accent5 5 6" xfId="596" xr:uid="{7F594FB0-3FAA-43A1-BB19-C3910B149154}"/>
    <cellStyle name="20% - Accent5 5 7" xfId="597" xr:uid="{8651435F-7171-4282-95BA-3DCFE1DDD8F3}"/>
    <cellStyle name="20% - Accent5 5 8" xfId="598" xr:uid="{D68CC0D2-7A8F-44A3-9B58-E002764474EF}"/>
    <cellStyle name="20% - Accent5 5 9" xfId="599" xr:uid="{8E8B5E8B-9876-47CD-8F48-506116AC1973}"/>
    <cellStyle name="20% - Accent5 6 2" xfId="600" xr:uid="{CC646BD2-E62E-4C9F-B0F8-7B8004F22429}"/>
    <cellStyle name="20% - Accent5 7 2" xfId="601" xr:uid="{DBC46A26-2188-4413-9827-BE11D651306C}"/>
    <cellStyle name="20% - Accent5 8" xfId="602" xr:uid="{416AE7CC-3A98-4407-970A-08A19AC7863F}"/>
    <cellStyle name="20% - Accent5 9" xfId="603" xr:uid="{82A840F9-9EC5-439E-B09D-D1793763669E}"/>
    <cellStyle name="20% - Accent6" xfId="42" builtinId="50" customBuiltin="1"/>
    <cellStyle name="20% - Accent6 10" xfId="604" xr:uid="{2C2742E7-2E38-4B8F-A9DD-6C70158E78C6}"/>
    <cellStyle name="20% - Accent6 11" xfId="605" xr:uid="{A26B3033-F646-4347-BDD2-E2913D599044}"/>
    <cellStyle name="20% - Accent6 12" xfId="606" xr:uid="{2F2728B6-4718-46D7-8520-FE54E00F9C24}"/>
    <cellStyle name="20% - Accent6 13" xfId="607" xr:uid="{1E470C0E-E68D-4A9A-96A0-BD6F019F805B}"/>
    <cellStyle name="20% - Accent6 14" xfId="608" xr:uid="{94CEB0FF-E08C-4C5D-86E5-164C2D7FA149}"/>
    <cellStyle name="20% - Accent6 2 10" xfId="609" xr:uid="{2BD42347-BFA6-4023-8BBC-357B848EB2F7}"/>
    <cellStyle name="20% - Accent6 2 11" xfId="610" xr:uid="{07682F69-9923-4427-AE62-4B7C2381987B}"/>
    <cellStyle name="20% - Accent6 2 12" xfId="611" xr:uid="{EE537130-1841-493F-AA09-BC6709FA6B29}"/>
    <cellStyle name="20% - Accent6 2 13" xfId="612" xr:uid="{D4ECC0AF-AF20-47A3-98AF-7CAE59DB31E1}"/>
    <cellStyle name="20% - Accent6 2 13 10" xfId="613" xr:uid="{405EFE84-B0FE-4000-B376-D7A95B737BB2}"/>
    <cellStyle name="20% - Accent6 2 13 11" xfId="614" xr:uid="{22F7050A-7DA9-49C8-A0FD-AA346FE92583}"/>
    <cellStyle name="20% - Accent6 2 13 12" xfId="615" xr:uid="{2D50E298-3899-4217-83D8-4D1566377634}"/>
    <cellStyle name="20% - Accent6 2 13 13" xfId="616" xr:uid="{6E221E68-D57B-4440-B973-0552B1FEBB92}"/>
    <cellStyle name="20% - Accent6 2 13 14" xfId="617" xr:uid="{F3E790F2-8E6B-4B88-9289-A000EDDB76E8}"/>
    <cellStyle name="20% - Accent6 2 13 15" xfId="618" xr:uid="{4296B72F-250F-4ABB-AA8B-408ED4F88CDD}"/>
    <cellStyle name="20% - Accent6 2 13 16" xfId="619" xr:uid="{B91B4149-4D74-4799-8B4B-E1257C0F78CD}"/>
    <cellStyle name="20% - Accent6 2 13 17" xfId="620" xr:uid="{965B24C4-EE61-4007-8D53-CD7003BEB751}"/>
    <cellStyle name="20% - Accent6 2 13 18" xfId="621" xr:uid="{CF53B491-427F-4E4D-8EFD-BA3BD5A8D82A}"/>
    <cellStyle name="20% - Accent6 2 13 19" xfId="622" xr:uid="{2AF3C681-178D-4915-B98F-BBFC1A37D9CE}"/>
    <cellStyle name="20% - Accent6 2 13 2" xfId="623" xr:uid="{A5B77CA5-F803-4B07-800C-86C9A5D0414B}"/>
    <cellStyle name="20% - Accent6 2 13 20" xfId="624" xr:uid="{F0B97D08-F230-4E27-83E4-3A8C2DBA4827}"/>
    <cellStyle name="20% - Accent6 2 13 21" xfId="625" xr:uid="{577B943A-E2D3-46C4-A47A-D7B0488E6C21}"/>
    <cellStyle name="20% - Accent6 2 13 22" xfId="626" xr:uid="{A1995890-0D06-45C8-927F-47BC2ED7EE55}"/>
    <cellStyle name="20% - Accent6 2 13 23" xfId="627" xr:uid="{F30F0223-C6F0-4B21-AAA2-AF4386EFE4A7}"/>
    <cellStyle name="20% - Accent6 2 13 24" xfId="628" xr:uid="{9AED1B9E-538F-47F6-B1F5-40D362A8CF89}"/>
    <cellStyle name="20% - Accent6 2 13 25" xfId="629" xr:uid="{B085B5C0-2C71-4489-B701-41FFAAFDC4E3}"/>
    <cellStyle name="20% - Accent6 2 13 26" xfId="630" xr:uid="{169DD175-7D13-4B76-A853-B5F6C21E3415}"/>
    <cellStyle name="20% - Accent6 2 13 27" xfId="631" xr:uid="{EDDE0793-565B-4627-9968-7A0E6E33B374}"/>
    <cellStyle name="20% - Accent6 2 13 28" xfId="632" xr:uid="{D24A4625-296A-4E26-8508-63D649A790AF}"/>
    <cellStyle name="20% - Accent6 2 13 29" xfId="633" xr:uid="{E466F8F8-88EE-4AFC-BC7C-074F48E8F8F5}"/>
    <cellStyle name="20% - Accent6 2 13 3" xfId="634" xr:uid="{291F7D6C-9E71-4754-9C1C-0A4FC478AAAD}"/>
    <cellStyle name="20% - Accent6 2 13 30" xfId="635" xr:uid="{938B1231-4BEE-4BF1-9557-974677E8B6F3}"/>
    <cellStyle name="20% - Accent6 2 13 31" xfId="636" xr:uid="{F4C00AFA-3C7C-4C09-B390-FFD46FBCACE3}"/>
    <cellStyle name="20% - Accent6 2 13 32" xfId="637" xr:uid="{FD6E8DE6-608B-4CF2-BFF4-87934A2886CA}"/>
    <cellStyle name="20% - Accent6 2 13 33" xfId="638" xr:uid="{D19727DA-FCF9-4B98-B61D-ED720C233A23}"/>
    <cellStyle name="20% - Accent6 2 13 34" xfId="639" xr:uid="{8D485A6D-BF11-4A45-90E4-D988BD597DE9}"/>
    <cellStyle name="20% - Accent6 2 13 35" xfId="640" xr:uid="{E3881A3B-E184-44B5-8AC9-5CC76C8D0177}"/>
    <cellStyle name="20% - Accent6 2 13 36" xfId="641" xr:uid="{7FF8BF61-7EB6-4520-9410-2D3104FE3746}"/>
    <cellStyle name="20% - Accent6 2 13 37" xfId="642" xr:uid="{3696635C-8EDA-4FE5-9860-2D9E2A708B1E}"/>
    <cellStyle name="20% - Accent6 2 13 38" xfId="643" xr:uid="{F5447563-1D98-4BDC-8D67-722B00426DBA}"/>
    <cellStyle name="20% - Accent6 2 13 39" xfId="644" xr:uid="{73275897-F8EF-4FFB-AFA7-2E4F1DF31B8D}"/>
    <cellStyle name="20% - Accent6 2 13 4" xfId="645" xr:uid="{98038305-3465-447F-A580-449FD41BAD30}"/>
    <cellStyle name="20% - Accent6 2 13 40" xfId="646" xr:uid="{C6085179-458D-49E6-9CB0-FC550B58E248}"/>
    <cellStyle name="20% - Accent6 2 13 41" xfId="647" xr:uid="{D9B138D0-CF1C-4460-8E06-18D3F0BA7D58}"/>
    <cellStyle name="20% - Accent6 2 13 42" xfId="648" xr:uid="{D577796A-590E-49D3-976A-8165B56EE1C1}"/>
    <cellStyle name="20% - Accent6 2 13 43" xfId="649" xr:uid="{73D12F30-7E5D-4C7C-B739-F13E7747CA67}"/>
    <cellStyle name="20% - Accent6 2 13 44" xfId="650" xr:uid="{869069AD-D342-4F61-A43D-61E4A414D5F9}"/>
    <cellStyle name="20% - Accent6 2 13 45" xfId="651" xr:uid="{C85B64F0-C493-4A2B-8D07-235B4679AB43}"/>
    <cellStyle name="20% - Accent6 2 13 46" xfId="652" xr:uid="{C39F7B1D-638F-4172-8D44-8898E24E0D4E}"/>
    <cellStyle name="20% - Accent6 2 13 47" xfId="653" xr:uid="{7924FE8B-AA0F-47F9-813A-F696A173B05D}"/>
    <cellStyle name="20% - Accent6 2 13 5" xfId="654" xr:uid="{C1B69B75-5B98-47FC-87B2-2A8BE1E5DFBB}"/>
    <cellStyle name="20% - Accent6 2 13 6" xfId="655" xr:uid="{409F8EDA-033D-4747-8E8F-2AC22A861974}"/>
    <cellStyle name="20% - Accent6 2 13 7" xfId="656" xr:uid="{A511D060-E853-4F9E-8160-A658C4ADD9BC}"/>
    <cellStyle name="20% - Accent6 2 13 8" xfId="657" xr:uid="{3F8ACC64-5E0A-4857-92D3-4E0A1925F5CF}"/>
    <cellStyle name="20% - Accent6 2 13 9" xfId="658" xr:uid="{45960C6C-8D3E-437D-9C52-BD8B4A30D1CA}"/>
    <cellStyle name="20% - Accent6 2 2" xfId="659" xr:uid="{C47CBA18-0D22-4A0C-A18B-8B0353061986}"/>
    <cellStyle name="20% - Accent6 2 2 10" xfId="660" xr:uid="{A0287442-328C-43B5-8C80-D85B597AB6F6}"/>
    <cellStyle name="20% - Accent6 2 2 2" xfId="661" xr:uid="{A16BF0BB-DD1D-4756-B78F-44C3F76938E2}"/>
    <cellStyle name="20% - Accent6 2 2 2 2" xfId="662" xr:uid="{724612B4-EB17-455B-8F52-07F97E1CB2C0}"/>
    <cellStyle name="20% - Accent6 2 2 3" xfId="663" xr:uid="{13C582E8-92FC-4687-810C-3C9DAE34F147}"/>
    <cellStyle name="20% - Accent6 2 2 4" xfId="664" xr:uid="{FEA3805D-8ED7-46C6-85EA-AEEE18C71C7D}"/>
    <cellStyle name="20% - Accent6 2 2 5" xfId="665" xr:uid="{888E3E0D-DA2C-4D7E-9341-85BE437421A9}"/>
    <cellStyle name="20% - Accent6 2 2 6" xfId="666" xr:uid="{E4E50EF8-4F18-4140-88C9-FBE8DDC86168}"/>
    <cellStyle name="20% - Accent6 2 2 7" xfId="667" xr:uid="{1D29199B-19CF-4E08-9B31-AA09D8E855B6}"/>
    <cellStyle name="20% - Accent6 2 2 8" xfId="668" xr:uid="{3B3BAB8F-2E2A-477A-B880-612DF1357242}"/>
    <cellStyle name="20% - Accent6 2 2 9" xfId="669" xr:uid="{582E627A-2EFD-4CC0-BE36-33F5FD9DD1FE}"/>
    <cellStyle name="20% - Accent6 2 3" xfId="670" xr:uid="{6F3A7A99-6273-493A-90E7-F28E690DCDC2}"/>
    <cellStyle name="20% - Accent6 2 3 2" xfId="671" xr:uid="{3C4B01CE-2843-4D1C-B6C2-D077B00586DE}"/>
    <cellStyle name="20% - Accent6 2 4" xfId="672" xr:uid="{7033D16E-D78F-4B4B-95F6-BFBEC0ACAE1B}"/>
    <cellStyle name="20% - Accent6 2 4 2" xfId="673" xr:uid="{8A3ACF36-FA63-45AF-8A8F-0478E76199EE}"/>
    <cellStyle name="20% - Accent6 2 5" xfId="674" xr:uid="{C716AC85-B451-4286-A21F-FF4FEAED52FF}"/>
    <cellStyle name="20% - Accent6 2 6" xfId="675" xr:uid="{6228369D-C6DA-435A-B90C-12471E4F0994}"/>
    <cellStyle name="20% - Accent6 2 7" xfId="676" xr:uid="{49DD61EB-EDB6-4C91-A1F6-46F48306F6FA}"/>
    <cellStyle name="20% - Accent6 2 8" xfId="677" xr:uid="{2E91F2DD-9D7C-4CF0-8BD3-564306E1972E}"/>
    <cellStyle name="20% - Accent6 2 9" xfId="678" xr:uid="{9364E2FF-D5A2-40A4-8413-6B485FE0C32E}"/>
    <cellStyle name="20% - Accent6 3" xfId="679" xr:uid="{482D7E47-9031-4D0E-8F35-409B0AE49919}"/>
    <cellStyle name="20% - Accent6 3 10" xfId="680" xr:uid="{1E968D33-8621-43E5-BEED-E918F8C9EC15}"/>
    <cellStyle name="20% - Accent6 3 2" xfId="681" xr:uid="{D84F3740-E74E-42E1-91DB-EAAED7A3035C}"/>
    <cellStyle name="20% - Accent6 3 3" xfId="682" xr:uid="{0FB3E8A6-20F0-4EEA-84F5-601D2A26893D}"/>
    <cellStyle name="20% - Accent6 3 4" xfId="683" xr:uid="{076B62FC-AAD3-4D0E-B033-CFFDCC3C6FFF}"/>
    <cellStyle name="20% - Accent6 3 5" xfId="684" xr:uid="{929D5459-6F9C-419F-939F-DB158EC8CA8E}"/>
    <cellStyle name="20% - Accent6 3 6" xfId="685" xr:uid="{13E50CA3-F3E8-4E83-8C64-5AE0881D5A23}"/>
    <cellStyle name="20% - Accent6 3 7" xfId="686" xr:uid="{7939F7D9-0639-43B3-895C-A546CAF616DF}"/>
    <cellStyle name="20% - Accent6 3 8" xfId="687" xr:uid="{ACE4A0AC-B4A3-466E-BA54-0B6232357806}"/>
    <cellStyle name="20% - Accent6 3 9" xfId="688" xr:uid="{1487E23A-9323-444F-8EB2-B70F87905A8A}"/>
    <cellStyle name="20% - Accent6 4" xfId="689" xr:uid="{81E1D56A-1C6B-47DC-9710-14FC153475CA}"/>
    <cellStyle name="20% - Accent6 4 10" xfId="690" xr:uid="{090252FE-69EF-4803-BD2C-E1DBAF5D785E}"/>
    <cellStyle name="20% - Accent6 4 2" xfId="691" xr:uid="{4F22A619-56F4-40BE-A45C-122B72C11B89}"/>
    <cellStyle name="20% - Accent6 4 3" xfId="692" xr:uid="{81A45DB5-6B5E-485D-ADCE-C3B39825F9B0}"/>
    <cellStyle name="20% - Accent6 4 4" xfId="693" xr:uid="{3DEA5314-6518-4B4C-B4DB-1A22A25BBBA4}"/>
    <cellStyle name="20% - Accent6 4 5" xfId="694" xr:uid="{43BA1C10-E9FA-4341-B737-4224154CB1F8}"/>
    <cellStyle name="20% - Accent6 4 6" xfId="695" xr:uid="{71909281-7AE0-459D-8F69-44407FE4A4AB}"/>
    <cellStyle name="20% - Accent6 4 7" xfId="696" xr:uid="{3E3B09D1-3FBF-48B6-ABC6-5ADE2DD4BA92}"/>
    <cellStyle name="20% - Accent6 4 8" xfId="697" xr:uid="{FA08CA38-F7E0-4136-82B6-4614714C08ED}"/>
    <cellStyle name="20% - Accent6 4 9" xfId="698" xr:uid="{B8CEC6E9-E537-4F09-B4A8-5E36AC3B36CC}"/>
    <cellStyle name="20% - Accent6 5" xfId="699" xr:uid="{DE02D86D-B2CB-49A4-A53D-411BA09079AF}"/>
    <cellStyle name="20% - Accent6 5 10" xfId="700" xr:uid="{EF870AFB-7AC9-44D9-AE45-A4555CA1B661}"/>
    <cellStyle name="20% - Accent6 5 2" xfId="701" xr:uid="{9A5675C2-206C-4577-8761-0144032BEF78}"/>
    <cellStyle name="20% - Accent6 5 3" xfId="702" xr:uid="{168C8F9F-21EF-43D2-83A9-55D20B80005D}"/>
    <cellStyle name="20% - Accent6 5 4" xfId="703" xr:uid="{B671ED52-4CA8-4CDE-8C48-33136B13BF1A}"/>
    <cellStyle name="20% - Accent6 5 5" xfId="704" xr:uid="{BF075D74-86DE-4F7B-8697-31ECB2864ED8}"/>
    <cellStyle name="20% - Accent6 5 6" xfId="705" xr:uid="{D78E6828-3D16-4E59-8709-3D58A025B57C}"/>
    <cellStyle name="20% - Accent6 5 7" xfId="706" xr:uid="{7944C5CD-BA7F-44A6-BAA8-09A71CCACB89}"/>
    <cellStyle name="20% - Accent6 5 8" xfId="707" xr:uid="{B3501046-C6E2-4A37-BB7D-D82AE4C91B67}"/>
    <cellStyle name="20% - Accent6 5 9" xfId="708" xr:uid="{81EAA139-D19F-4562-BB7D-3D0D084D8844}"/>
    <cellStyle name="20% - Accent6 6 2" xfId="709" xr:uid="{9A1FDCE4-8629-42B9-B9EA-7633B8FED540}"/>
    <cellStyle name="20% - Accent6 7 2" xfId="710" xr:uid="{80925521-6B36-41A2-8B5B-1FC4247E7683}"/>
    <cellStyle name="20% - Accent6 8" xfId="711" xr:uid="{7E826B2E-BB34-42C9-921A-D0FC9ABF8FA3}"/>
    <cellStyle name="20% - Accent6 9" xfId="712" xr:uid="{8673EA99-346A-4079-81E6-A833FE76327F}"/>
    <cellStyle name="40% - Accent1" xfId="24" builtinId="31" customBuiltin="1"/>
    <cellStyle name="40% - Accent1 10" xfId="713" xr:uid="{00CFEDAA-8961-4961-A562-AB800923E1BC}"/>
    <cellStyle name="40% - Accent1 11" xfId="714" xr:uid="{A3B10A38-BD2F-47E7-A069-A80D67904876}"/>
    <cellStyle name="40% - Accent1 12" xfId="715" xr:uid="{C1D35E29-6447-48F4-9F08-79BC03A7F720}"/>
    <cellStyle name="40% - Accent1 13" xfId="716" xr:uid="{1F56911F-DDAB-4B2F-ACF8-85FF1C09221D}"/>
    <cellStyle name="40% - Accent1 14" xfId="717" xr:uid="{72C181C3-750C-4191-ACB1-B1076230C2EF}"/>
    <cellStyle name="40% - Accent1 2 10" xfId="718" xr:uid="{88AF3F72-2040-44E7-BD0B-035A634B3E43}"/>
    <cellStyle name="40% - Accent1 2 11" xfId="719" xr:uid="{90FFB506-7378-4AE2-9653-C84FDEF62B45}"/>
    <cellStyle name="40% - Accent1 2 12" xfId="720" xr:uid="{43F741FA-61EC-48C9-A2C1-F4374DAAF48E}"/>
    <cellStyle name="40% - Accent1 2 13" xfId="721" xr:uid="{ECC1C0D6-8883-43C9-A0B4-5FA07CDD528C}"/>
    <cellStyle name="40% - Accent1 2 13 10" xfId="722" xr:uid="{BCE00183-E2D1-459B-9003-C6A1FD1C0387}"/>
    <cellStyle name="40% - Accent1 2 13 11" xfId="723" xr:uid="{4DAF27BA-8BE5-42F6-A98B-1D7EC6479C74}"/>
    <cellStyle name="40% - Accent1 2 13 12" xfId="724" xr:uid="{DD76672E-27E0-44CE-A15A-612D51C046AA}"/>
    <cellStyle name="40% - Accent1 2 13 13" xfId="725" xr:uid="{73794C2A-1450-4317-A8DE-CEAF506E4937}"/>
    <cellStyle name="40% - Accent1 2 13 14" xfId="726" xr:uid="{34E2CBB2-989C-425E-B35D-0B8F295038D4}"/>
    <cellStyle name="40% - Accent1 2 13 15" xfId="727" xr:uid="{9CA33FFD-CE07-482D-925F-E631CB3F87C6}"/>
    <cellStyle name="40% - Accent1 2 13 16" xfId="728" xr:uid="{923E1FD0-9EA7-4C0E-B4BE-10DFA3A02D82}"/>
    <cellStyle name="40% - Accent1 2 13 17" xfId="729" xr:uid="{9EE6AAFF-2A20-43FD-A3B6-8D24B68F85B6}"/>
    <cellStyle name="40% - Accent1 2 13 18" xfId="730" xr:uid="{ECBB6D65-63D9-4492-A797-FE6B95CBBCA0}"/>
    <cellStyle name="40% - Accent1 2 13 19" xfId="731" xr:uid="{4B841778-6B55-407C-8E6C-8D8257FACFED}"/>
    <cellStyle name="40% - Accent1 2 13 2" xfId="732" xr:uid="{5F8624CF-42A7-418F-9529-E18A4012C112}"/>
    <cellStyle name="40% - Accent1 2 13 20" xfId="733" xr:uid="{DBD4BCAE-D0D9-4754-BBE1-780BC204B8F8}"/>
    <cellStyle name="40% - Accent1 2 13 21" xfId="734" xr:uid="{FC1C9B75-F0CE-4AE4-ADAE-0D9B828329F5}"/>
    <cellStyle name="40% - Accent1 2 13 22" xfId="735" xr:uid="{75616604-FB97-417F-9ED5-D8BF13ECD5CE}"/>
    <cellStyle name="40% - Accent1 2 13 23" xfId="736" xr:uid="{BE502370-CF8C-4FEC-869C-CC345D17EF6B}"/>
    <cellStyle name="40% - Accent1 2 13 24" xfId="737" xr:uid="{454033B1-367F-472A-B0D0-AB72C3092569}"/>
    <cellStyle name="40% - Accent1 2 13 25" xfId="738" xr:uid="{FE3771E9-E20E-41C7-8B60-2C6D1A8AAB5A}"/>
    <cellStyle name="40% - Accent1 2 13 26" xfId="739" xr:uid="{CA671340-1C08-4DCA-9BCB-5A475057527B}"/>
    <cellStyle name="40% - Accent1 2 13 27" xfId="740" xr:uid="{8FA7A909-7CF1-466B-BCA5-A9566595EAE9}"/>
    <cellStyle name="40% - Accent1 2 13 28" xfId="741" xr:uid="{3B6E9214-0B4C-412C-9C10-52B537EDB31A}"/>
    <cellStyle name="40% - Accent1 2 13 29" xfId="742" xr:uid="{5C1A5D3A-E92F-4901-8E21-FA20399473F1}"/>
    <cellStyle name="40% - Accent1 2 13 3" xfId="743" xr:uid="{D0FDC7C1-BDBA-4976-90B2-F270C53B92FB}"/>
    <cellStyle name="40% - Accent1 2 13 30" xfId="744" xr:uid="{5BBA81F6-326F-4FE8-A8CB-81DBB7DF6B12}"/>
    <cellStyle name="40% - Accent1 2 13 31" xfId="745" xr:uid="{77E2EF51-DE72-4F9A-B5D5-D2DCAEAD8FE3}"/>
    <cellStyle name="40% - Accent1 2 13 32" xfId="746" xr:uid="{D356E000-8417-4F3B-A2E3-DC2019F3705E}"/>
    <cellStyle name="40% - Accent1 2 13 33" xfId="747" xr:uid="{563908C4-3AFA-4B6C-AE96-9FB258AE70CB}"/>
    <cellStyle name="40% - Accent1 2 13 34" xfId="748" xr:uid="{78E1BB1E-1F4A-4CBA-9894-E8CCC421ED42}"/>
    <cellStyle name="40% - Accent1 2 13 35" xfId="749" xr:uid="{ED5ABFBB-5ADD-4B79-A97F-EAA77C995631}"/>
    <cellStyle name="40% - Accent1 2 13 36" xfId="750" xr:uid="{994D961E-C980-42B5-9EFF-6CE43F8B2BF9}"/>
    <cellStyle name="40% - Accent1 2 13 37" xfId="751" xr:uid="{CAB03513-4DEC-476F-97C3-A4B5AE9ABA02}"/>
    <cellStyle name="40% - Accent1 2 13 38" xfId="752" xr:uid="{437E99FB-2EED-4AC1-BE77-EF7A8C7836FB}"/>
    <cellStyle name="40% - Accent1 2 13 39" xfId="753" xr:uid="{628057D0-F2B6-408F-8549-1DF6A24167F8}"/>
    <cellStyle name="40% - Accent1 2 13 4" xfId="754" xr:uid="{55D05E5E-A00C-4928-A5F4-7EF8C3D83D66}"/>
    <cellStyle name="40% - Accent1 2 13 40" xfId="755" xr:uid="{9C50FF4B-403E-4711-9FA9-224CE7FBA856}"/>
    <cellStyle name="40% - Accent1 2 13 41" xfId="756" xr:uid="{FC8FE28A-03C4-4517-87FE-6551278650E8}"/>
    <cellStyle name="40% - Accent1 2 13 42" xfId="757" xr:uid="{F3121EE6-52D4-46F1-A24B-A32020EB5F8F}"/>
    <cellStyle name="40% - Accent1 2 13 43" xfId="758" xr:uid="{5FA7C5F2-7203-45E3-96B1-415D169391D0}"/>
    <cellStyle name="40% - Accent1 2 13 44" xfId="759" xr:uid="{319B92B5-CF4D-4481-A308-ABDCEC1C1B8C}"/>
    <cellStyle name="40% - Accent1 2 13 45" xfId="760" xr:uid="{2B18D88D-70D2-4743-A81A-7A4E90215EC8}"/>
    <cellStyle name="40% - Accent1 2 13 46" xfId="761" xr:uid="{40C4B489-165B-4CB3-B5DE-55D844571599}"/>
    <cellStyle name="40% - Accent1 2 13 47" xfId="762" xr:uid="{DEBA8C28-5ACE-4C69-869F-588BCA2E5932}"/>
    <cellStyle name="40% - Accent1 2 13 5" xfId="763" xr:uid="{17B0DCAF-4936-402F-961E-737A340A4E54}"/>
    <cellStyle name="40% - Accent1 2 13 6" xfId="764" xr:uid="{7B7B0050-9075-49C6-BB21-93899E0D0B92}"/>
    <cellStyle name="40% - Accent1 2 13 7" xfId="765" xr:uid="{55F26145-5E66-4AEA-8FB4-1E2DD3FF8D42}"/>
    <cellStyle name="40% - Accent1 2 13 8" xfId="766" xr:uid="{6A1B58DE-F3C1-48BD-A690-E4E5743D680E}"/>
    <cellStyle name="40% - Accent1 2 13 9" xfId="767" xr:uid="{0E54B855-4102-4B69-9346-F9747AD13885}"/>
    <cellStyle name="40% - Accent1 2 2" xfId="768" xr:uid="{67A6CA1D-E9B9-4587-A5DF-3934725E7699}"/>
    <cellStyle name="40% - Accent1 2 2 10" xfId="769" xr:uid="{D142E336-1EF4-4288-BA8A-95266CFB6333}"/>
    <cellStyle name="40% - Accent1 2 2 2" xfId="770" xr:uid="{E9947169-A7DA-4CB9-BE47-7200B30BEF71}"/>
    <cellStyle name="40% - Accent1 2 2 2 2" xfId="771" xr:uid="{C859004C-1CFD-4FE4-B872-E0332A2DEC75}"/>
    <cellStyle name="40% - Accent1 2 2 3" xfId="772" xr:uid="{FB0AC5DF-9E45-465F-B7E4-01D39B76260D}"/>
    <cellStyle name="40% - Accent1 2 2 4" xfId="773" xr:uid="{35716481-FBEB-4B62-AD38-7333381C86CA}"/>
    <cellStyle name="40% - Accent1 2 2 5" xfId="774" xr:uid="{CC08EAC1-02A3-4DF6-A499-38A21A1C4AAE}"/>
    <cellStyle name="40% - Accent1 2 2 6" xfId="775" xr:uid="{DD605E63-EF6F-486C-819C-D6B2FB68F4E2}"/>
    <cellStyle name="40% - Accent1 2 2 7" xfId="776" xr:uid="{1AC69F71-559A-4D29-9BB4-4495FABD17CE}"/>
    <cellStyle name="40% - Accent1 2 2 8" xfId="777" xr:uid="{7CEBE650-ED8F-47E7-A9B8-95815DB87EE4}"/>
    <cellStyle name="40% - Accent1 2 2 9" xfId="778" xr:uid="{A133CF3E-139F-4452-B8A4-76DA87E7252D}"/>
    <cellStyle name="40% - Accent1 2 3" xfId="779" xr:uid="{5D87D3F1-ED59-46CC-BFE9-0E3F62DCD873}"/>
    <cellStyle name="40% - Accent1 2 3 2" xfId="780" xr:uid="{233BA7E0-7DF6-46B4-A375-D430BB673753}"/>
    <cellStyle name="40% - Accent1 2 4" xfId="781" xr:uid="{51E68728-43DE-4F39-BA2E-511F243BDDBF}"/>
    <cellStyle name="40% - Accent1 2 4 2" xfId="782" xr:uid="{0C337EC4-F5D0-461B-87E7-9435291A4E34}"/>
    <cellStyle name="40% - Accent1 2 5" xfId="783" xr:uid="{8899DCAF-FC32-40B6-B186-4D7054F5F0FC}"/>
    <cellStyle name="40% - Accent1 2 6" xfId="784" xr:uid="{82B88D38-498A-45A3-8F31-F5689919EF32}"/>
    <cellStyle name="40% - Accent1 2 7" xfId="785" xr:uid="{190AEF00-CF20-4C94-88F7-FBF742E10322}"/>
    <cellStyle name="40% - Accent1 2 8" xfId="786" xr:uid="{06645B5F-6845-4178-B3E9-4443E466D6B3}"/>
    <cellStyle name="40% - Accent1 2 9" xfId="787" xr:uid="{CCE003B4-6E24-407B-BFFF-341DAF621265}"/>
    <cellStyle name="40% - Accent1 3" xfId="788" xr:uid="{49001E44-4419-4F96-98BE-5B390EE622C7}"/>
    <cellStyle name="40% - Accent1 3 10" xfId="789" xr:uid="{DB1BE13D-4BC2-4512-AC7D-1FDD7D929D97}"/>
    <cellStyle name="40% - Accent1 3 2" xfId="790" xr:uid="{5563923A-8606-4DB1-8082-16F85554DD1B}"/>
    <cellStyle name="40% - Accent1 3 3" xfId="791" xr:uid="{AFE9112F-8E3A-466F-9A40-13C21F18FF9A}"/>
    <cellStyle name="40% - Accent1 3 4" xfId="792" xr:uid="{6C417F3D-9031-4F09-90D1-0BEABEA5742D}"/>
    <cellStyle name="40% - Accent1 3 5" xfId="793" xr:uid="{D110F2AF-CCD2-4B37-AFC5-E8DEE735B36D}"/>
    <cellStyle name="40% - Accent1 3 6" xfId="794" xr:uid="{AD2E1C86-9480-4FD6-96EB-409371B18536}"/>
    <cellStyle name="40% - Accent1 3 7" xfId="795" xr:uid="{E76B62D5-13B1-4280-8FFB-CA81533179C9}"/>
    <cellStyle name="40% - Accent1 3 8" xfId="796" xr:uid="{EC6BFBBA-6916-4CF0-B8C5-F835B2C181FE}"/>
    <cellStyle name="40% - Accent1 3 9" xfId="797" xr:uid="{52CB9F2A-AB09-43F7-848C-74B6E8BFE6F8}"/>
    <cellStyle name="40% - Accent1 4" xfId="798" xr:uid="{A8A7D54D-155A-4387-8B90-61C24DC13222}"/>
    <cellStyle name="40% - Accent1 4 10" xfId="799" xr:uid="{8B5787F9-D5C9-46E8-B7A3-EE951C76457B}"/>
    <cellStyle name="40% - Accent1 4 2" xfId="800" xr:uid="{5E0B44D2-D9B8-45FB-B95A-E2150542F793}"/>
    <cellStyle name="40% - Accent1 4 3" xfId="801" xr:uid="{2FC7823A-1A27-43F5-88E2-F1784360B1C6}"/>
    <cellStyle name="40% - Accent1 4 4" xfId="802" xr:uid="{ACE8D9FE-0743-4AA4-AE5F-03A5F14E4FC2}"/>
    <cellStyle name="40% - Accent1 4 5" xfId="803" xr:uid="{6FC3E365-F333-47E0-A5C7-D6AA92FEB355}"/>
    <cellStyle name="40% - Accent1 4 6" xfId="804" xr:uid="{0DED10CE-FA48-4A6F-9CC9-4C5A77073E00}"/>
    <cellStyle name="40% - Accent1 4 7" xfId="805" xr:uid="{97B2F152-1250-4839-BEE6-82C93652B331}"/>
    <cellStyle name="40% - Accent1 4 8" xfId="806" xr:uid="{61B69E30-C85D-48E9-99AF-89551DB172C7}"/>
    <cellStyle name="40% - Accent1 4 9" xfId="807" xr:uid="{2D62026E-75C1-4154-B5B9-2330B24C333E}"/>
    <cellStyle name="40% - Accent1 5" xfId="808" xr:uid="{47055212-6A18-49DC-9A3A-00A1556263B4}"/>
    <cellStyle name="40% - Accent1 5 10" xfId="809" xr:uid="{6056044D-A855-4863-9EA5-495D44CBEEE6}"/>
    <cellStyle name="40% - Accent1 5 2" xfId="810" xr:uid="{69F6B150-782D-4BBC-95DB-BF72C92A0DB4}"/>
    <cellStyle name="40% - Accent1 5 3" xfId="811" xr:uid="{477063C6-F0B9-4422-9BB7-5C40FA61974A}"/>
    <cellStyle name="40% - Accent1 5 4" xfId="812" xr:uid="{10C0EC5F-7813-4A28-9B47-0118E7D0E7AD}"/>
    <cellStyle name="40% - Accent1 5 5" xfId="813" xr:uid="{36FDEE78-2596-458B-943C-77950041FDAF}"/>
    <cellStyle name="40% - Accent1 5 6" xfId="814" xr:uid="{24120D10-EE37-4F3F-A25A-ABCFBC7A74AE}"/>
    <cellStyle name="40% - Accent1 5 7" xfId="815" xr:uid="{28B0B60B-B35A-4D59-B716-1101AAC1FD13}"/>
    <cellStyle name="40% - Accent1 5 8" xfId="816" xr:uid="{974601C9-B7CE-4AA5-A95B-D26B3F528F61}"/>
    <cellStyle name="40% - Accent1 5 9" xfId="817" xr:uid="{67A06364-2665-44E5-A77B-BC65507A15A4}"/>
    <cellStyle name="40% - Accent1 6 2" xfId="818" xr:uid="{065805B6-7333-48E7-B4D3-3D906FA1D0B7}"/>
    <cellStyle name="40% - Accent1 7 2" xfId="819" xr:uid="{39062C38-74C8-4406-87D9-71585A92B9C4}"/>
    <cellStyle name="40% - Accent1 8" xfId="820" xr:uid="{C8B46455-ECA0-46C3-A199-EC20AE73D252}"/>
    <cellStyle name="40% - Accent1 9" xfId="821" xr:uid="{D6CAD24B-487D-47A3-A89D-B69073387893}"/>
    <cellStyle name="40% - Accent2" xfId="27" builtinId="35" customBuiltin="1"/>
    <cellStyle name="40% - Accent2 10" xfId="822" xr:uid="{D1AA7A46-66F8-4539-9B4F-E83244A2086C}"/>
    <cellStyle name="40% - Accent2 11" xfId="823" xr:uid="{91FD57A5-FD9F-490C-A8C9-42CDB266363D}"/>
    <cellStyle name="40% - Accent2 12" xfId="824" xr:uid="{738A6EBE-28C1-4286-96AB-A0F8E741CBE4}"/>
    <cellStyle name="40% - Accent2 13" xfId="825" xr:uid="{4104FD6E-F265-44D0-80C6-C96E9ED987F9}"/>
    <cellStyle name="40% - Accent2 14" xfId="826" xr:uid="{CFFDD827-4BBA-45E4-B59B-D4522A1B5A7A}"/>
    <cellStyle name="40% - Accent2 2 10" xfId="827" xr:uid="{897787D8-0105-42A6-93D0-47102CCF20E3}"/>
    <cellStyle name="40% - Accent2 2 11" xfId="828" xr:uid="{434C261E-89B5-48F8-A61A-FC2F2872C92E}"/>
    <cellStyle name="40% - Accent2 2 12" xfId="829" xr:uid="{7584B59A-1D17-43D6-9FCF-821AF65636D0}"/>
    <cellStyle name="40% - Accent2 2 13" xfId="830" xr:uid="{969AADD1-677A-40AE-93E9-0FAC390BB563}"/>
    <cellStyle name="40% - Accent2 2 13 10" xfId="831" xr:uid="{3C24E27E-3E7F-4DB0-A881-F9EB3A52AFDD}"/>
    <cellStyle name="40% - Accent2 2 13 11" xfId="832" xr:uid="{7EEA0954-610F-4DD6-B25A-8420F51762B0}"/>
    <cellStyle name="40% - Accent2 2 13 12" xfId="833" xr:uid="{9CE596EA-6F45-4E8D-9965-8A11EA55470D}"/>
    <cellStyle name="40% - Accent2 2 13 13" xfId="834" xr:uid="{6DFF854A-3284-4C80-AA83-D40DDABDE692}"/>
    <cellStyle name="40% - Accent2 2 13 14" xfId="835" xr:uid="{F8F29382-AC67-4639-99DA-83473F0B2DC0}"/>
    <cellStyle name="40% - Accent2 2 13 15" xfId="836" xr:uid="{BED8A4CB-1600-4AC8-93FC-11CA634F6E3B}"/>
    <cellStyle name="40% - Accent2 2 13 16" xfId="837" xr:uid="{C6F52853-0992-4728-A1C3-64353BA84E18}"/>
    <cellStyle name="40% - Accent2 2 13 17" xfId="838" xr:uid="{921B25B5-8B4C-477A-AE01-D37AEB7A486C}"/>
    <cellStyle name="40% - Accent2 2 13 18" xfId="839" xr:uid="{E95B718D-8194-46CE-AC45-659D35F7165F}"/>
    <cellStyle name="40% - Accent2 2 13 19" xfId="840" xr:uid="{F3F1EE33-8928-45BA-A8DB-60A499B62259}"/>
    <cellStyle name="40% - Accent2 2 13 2" xfId="841" xr:uid="{3942BDD7-D970-4EF4-9CB3-EA9C8F70C864}"/>
    <cellStyle name="40% - Accent2 2 13 20" xfId="842" xr:uid="{5CA053C8-81E9-46D8-B1C5-4B9236828B51}"/>
    <cellStyle name="40% - Accent2 2 13 21" xfId="843" xr:uid="{F14C79B6-CC20-4133-BFED-E3E82927551A}"/>
    <cellStyle name="40% - Accent2 2 13 22" xfId="844" xr:uid="{26645D3B-30E3-4E70-BA63-A4C1AB17B854}"/>
    <cellStyle name="40% - Accent2 2 13 23" xfId="845" xr:uid="{2E6FB58E-3976-4728-8D5D-50DA4407382C}"/>
    <cellStyle name="40% - Accent2 2 13 24" xfId="846" xr:uid="{71A2B6CE-B8DD-432C-B854-6C361C84A73E}"/>
    <cellStyle name="40% - Accent2 2 13 25" xfId="847" xr:uid="{31A7806D-3C5E-4CE2-8A87-603FF6BD81EB}"/>
    <cellStyle name="40% - Accent2 2 13 26" xfId="848" xr:uid="{4D410B3E-09B9-49F2-B9C3-7AEF7CC39DAB}"/>
    <cellStyle name="40% - Accent2 2 13 27" xfId="849" xr:uid="{11BB3C70-2DAE-4A71-9AEC-8BE1463F8219}"/>
    <cellStyle name="40% - Accent2 2 13 28" xfId="850" xr:uid="{E03C1803-9194-4358-8C05-E7C5AF26C187}"/>
    <cellStyle name="40% - Accent2 2 13 29" xfId="851" xr:uid="{912486C8-59F3-4008-B21A-9E1FBEF560EB}"/>
    <cellStyle name="40% - Accent2 2 13 3" xfId="852" xr:uid="{CFC0F231-3A09-4AAF-A48A-0514F909E8BF}"/>
    <cellStyle name="40% - Accent2 2 13 30" xfId="853" xr:uid="{B17A1D43-A1DA-4F35-B77B-CE38FF361D59}"/>
    <cellStyle name="40% - Accent2 2 13 31" xfId="854" xr:uid="{CE57D1D5-423C-4D54-BB2B-B621C26B16C2}"/>
    <cellStyle name="40% - Accent2 2 13 32" xfId="855" xr:uid="{903A0AAC-11EB-4D5F-BD6B-325C0B7C8859}"/>
    <cellStyle name="40% - Accent2 2 13 33" xfId="856" xr:uid="{D26F3312-D699-44EB-8BB1-6C5489A692F2}"/>
    <cellStyle name="40% - Accent2 2 13 34" xfId="857" xr:uid="{89F82D2C-DCFE-449E-AF1C-63C1C5CECCD2}"/>
    <cellStyle name="40% - Accent2 2 13 35" xfId="858" xr:uid="{97967E86-7DEE-4810-AAE1-A0294F253B7E}"/>
    <cellStyle name="40% - Accent2 2 13 36" xfId="859" xr:uid="{8E97FE2B-00C7-4410-9535-38D0641FFB74}"/>
    <cellStyle name="40% - Accent2 2 13 37" xfId="860" xr:uid="{A178E779-8A9F-40F2-AAA3-D7AA13EA498D}"/>
    <cellStyle name="40% - Accent2 2 13 38" xfId="861" xr:uid="{E84C368D-270B-42CE-B4D6-57C32176214E}"/>
    <cellStyle name="40% - Accent2 2 13 39" xfId="862" xr:uid="{3138BBB7-B057-4B56-B31C-66C3E886CAE3}"/>
    <cellStyle name="40% - Accent2 2 13 4" xfId="863" xr:uid="{9C6F2A8E-0884-45FB-A90F-202AC09C1D23}"/>
    <cellStyle name="40% - Accent2 2 13 40" xfId="864" xr:uid="{02B1F73B-FF00-4C0A-9D5D-48F8B1354FD2}"/>
    <cellStyle name="40% - Accent2 2 13 41" xfId="865" xr:uid="{23152065-A449-4DD9-83F4-A26C52EA7F4B}"/>
    <cellStyle name="40% - Accent2 2 13 42" xfId="866" xr:uid="{13A063B6-0336-4EEF-82BE-AFD689726C35}"/>
    <cellStyle name="40% - Accent2 2 13 43" xfId="867" xr:uid="{EE478018-035B-452E-9299-9389473738F7}"/>
    <cellStyle name="40% - Accent2 2 13 44" xfId="868" xr:uid="{D894D056-30AB-4995-83CD-CC6133DB6FAA}"/>
    <cellStyle name="40% - Accent2 2 13 45" xfId="869" xr:uid="{BBB2EFDB-6C67-4E94-A791-71B9F9BAE6E8}"/>
    <cellStyle name="40% - Accent2 2 13 46" xfId="870" xr:uid="{6A741C48-1521-461F-A928-97520FC75379}"/>
    <cellStyle name="40% - Accent2 2 13 47" xfId="871" xr:uid="{D5D3A520-100C-4316-B390-0F386D4342BE}"/>
    <cellStyle name="40% - Accent2 2 13 5" xfId="872" xr:uid="{8D9D264E-5750-4FFA-8BA6-C3E69A8FD265}"/>
    <cellStyle name="40% - Accent2 2 13 6" xfId="873" xr:uid="{680A6783-A843-4EF9-88AA-F1BF222A2851}"/>
    <cellStyle name="40% - Accent2 2 13 7" xfId="874" xr:uid="{655730D9-E225-4F1C-8DC2-AB053D330F0C}"/>
    <cellStyle name="40% - Accent2 2 13 8" xfId="875" xr:uid="{40098AE2-D253-4025-B36F-C6DB0FF03FED}"/>
    <cellStyle name="40% - Accent2 2 13 9" xfId="876" xr:uid="{78050E31-C55F-492D-9132-A6CD4597F180}"/>
    <cellStyle name="40% - Accent2 2 2" xfId="877" xr:uid="{C73C8920-C58A-412D-AB90-A851D5BDAA72}"/>
    <cellStyle name="40% - Accent2 2 2 10" xfId="878" xr:uid="{7117A95B-EA01-4462-8DEE-861A6D650A41}"/>
    <cellStyle name="40% - Accent2 2 2 2" xfId="879" xr:uid="{33E5D868-9149-4AFB-B110-C7900E73E3E1}"/>
    <cellStyle name="40% - Accent2 2 2 2 2" xfId="880" xr:uid="{B22C13F9-E4A2-4585-B975-987BBA0F3879}"/>
    <cellStyle name="40% - Accent2 2 2 3" xfId="881" xr:uid="{5DC063EA-56E7-46FB-B4AD-E575575785A0}"/>
    <cellStyle name="40% - Accent2 2 2 4" xfId="882" xr:uid="{B356D77E-C8D8-43E3-B587-6BEE1C72DFEB}"/>
    <cellStyle name="40% - Accent2 2 2 5" xfId="883" xr:uid="{65D6EFDA-CEE7-4E28-A0AB-01D771E2022B}"/>
    <cellStyle name="40% - Accent2 2 2 6" xfId="884" xr:uid="{9CAE7E86-0929-441E-AF79-CC6DEAEE6210}"/>
    <cellStyle name="40% - Accent2 2 2 7" xfId="885" xr:uid="{124586D7-226C-428F-8CF8-9AD4E130F6CD}"/>
    <cellStyle name="40% - Accent2 2 2 8" xfId="886" xr:uid="{F01CFCD2-D35F-41A2-B37D-BD68F65A703F}"/>
    <cellStyle name="40% - Accent2 2 2 9" xfId="887" xr:uid="{075937B4-337D-4884-AA3E-810ACBF3F4D0}"/>
    <cellStyle name="40% - Accent2 2 3" xfId="888" xr:uid="{B91BD337-D5AE-4541-8C66-CEE7F1DF4810}"/>
    <cellStyle name="40% - Accent2 2 3 2" xfId="889" xr:uid="{18F5D3B7-A9AC-4664-94BE-76635E9DC71C}"/>
    <cellStyle name="40% - Accent2 2 4" xfId="890" xr:uid="{2F24B6D5-2901-4C5D-A537-E97980DA67DA}"/>
    <cellStyle name="40% - Accent2 2 4 2" xfId="891" xr:uid="{883B6F18-8BE2-4CE9-A70D-E9997829C299}"/>
    <cellStyle name="40% - Accent2 2 5" xfId="892" xr:uid="{8DB4C0D1-C0E7-4410-B91A-45EA03C012C4}"/>
    <cellStyle name="40% - Accent2 2 6" xfId="893" xr:uid="{1D8111DD-05A9-4EFC-AE6C-3A06B95F04AE}"/>
    <cellStyle name="40% - Accent2 2 7" xfId="894" xr:uid="{9252E30B-6D82-4953-B53B-F203AE2BE516}"/>
    <cellStyle name="40% - Accent2 2 8" xfId="895" xr:uid="{7FD31B3B-004E-4C19-B158-70F1EA3BC627}"/>
    <cellStyle name="40% - Accent2 2 9" xfId="896" xr:uid="{4A154A80-1493-435D-9C40-39B535FF5DA8}"/>
    <cellStyle name="40% - Accent2 3" xfId="897" xr:uid="{3C06A098-65E0-4D8F-8F66-1D2D5E83D13C}"/>
    <cellStyle name="40% - Accent2 3 10" xfId="898" xr:uid="{736A7E5D-3A02-4786-B198-F472F1D883BD}"/>
    <cellStyle name="40% - Accent2 3 2" xfId="899" xr:uid="{B57EDACB-2767-469B-A1EE-8CC3E5433768}"/>
    <cellStyle name="40% - Accent2 3 3" xfId="900" xr:uid="{C7619CBF-EFBF-4A52-BF4C-39D0EBB5F95E}"/>
    <cellStyle name="40% - Accent2 3 4" xfId="901" xr:uid="{69517795-CCFC-4926-BB52-ACDFABEFA99A}"/>
    <cellStyle name="40% - Accent2 3 5" xfId="902" xr:uid="{C771CE7D-4C1A-47B9-B7F3-578FC4267100}"/>
    <cellStyle name="40% - Accent2 3 6" xfId="903" xr:uid="{45962A99-F1DB-43D9-A2F2-4FF2B9A73901}"/>
    <cellStyle name="40% - Accent2 3 7" xfId="904" xr:uid="{44E23616-6E83-42A6-9F57-2FA30D3CE6C5}"/>
    <cellStyle name="40% - Accent2 3 8" xfId="905" xr:uid="{98EE3C6B-5955-41D7-8505-34D8E47B60BC}"/>
    <cellStyle name="40% - Accent2 3 9" xfId="906" xr:uid="{144B5DDD-F7F7-4F32-8FAA-8F729F8E0AD6}"/>
    <cellStyle name="40% - Accent2 4" xfId="907" xr:uid="{F6238D96-9F13-4220-9D56-C3F7E994E151}"/>
    <cellStyle name="40% - Accent2 4 10" xfId="908" xr:uid="{395FA65E-497E-469E-BB64-26332DDEC2FD}"/>
    <cellStyle name="40% - Accent2 4 2" xfId="909" xr:uid="{AA792B6B-6DF6-4204-B169-CBD2BF9BB97C}"/>
    <cellStyle name="40% - Accent2 4 3" xfId="910" xr:uid="{BCF5267B-2D3A-42D7-A7AA-1C5AEDEA88B8}"/>
    <cellStyle name="40% - Accent2 4 4" xfId="911" xr:uid="{C6BD44D9-9938-45A6-A30C-3EE15DF9A917}"/>
    <cellStyle name="40% - Accent2 4 5" xfId="912" xr:uid="{FF141A33-4653-4AA2-92E0-80BBE3ABC139}"/>
    <cellStyle name="40% - Accent2 4 6" xfId="913" xr:uid="{1365DA5B-6AB9-4983-B6B1-47561B54B103}"/>
    <cellStyle name="40% - Accent2 4 7" xfId="914" xr:uid="{ADCE44F6-2F61-484F-BCED-A3F80EB54BD5}"/>
    <cellStyle name="40% - Accent2 4 8" xfId="915" xr:uid="{61A17844-A226-4E1E-8E99-3E5F9D29AE48}"/>
    <cellStyle name="40% - Accent2 4 9" xfId="916" xr:uid="{541B8BE8-B56E-4F6B-AA6F-9FEDDC916B0C}"/>
    <cellStyle name="40% - Accent2 5" xfId="917" xr:uid="{8C7F4709-3CA6-4883-8B57-8EB583FE2021}"/>
    <cellStyle name="40% - Accent2 5 10" xfId="918" xr:uid="{B8D417E5-CF58-4591-84AB-DBFD7AF53986}"/>
    <cellStyle name="40% - Accent2 5 2" xfId="919" xr:uid="{C81AC315-3AC3-4BEF-845F-AD598D234619}"/>
    <cellStyle name="40% - Accent2 5 3" xfId="920" xr:uid="{87274353-7087-45E0-A289-A6021829F1AC}"/>
    <cellStyle name="40% - Accent2 5 4" xfId="921" xr:uid="{45A553CE-AAD1-414E-93E8-73F4B03833A5}"/>
    <cellStyle name="40% - Accent2 5 5" xfId="922" xr:uid="{9C7759D2-63EA-4E0E-A534-52F83E970924}"/>
    <cellStyle name="40% - Accent2 5 6" xfId="923" xr:uid="{66D28CC7-4FAC-47EB-81C4-B2466F074010}"/>
    <cellStyle name="40% - Accent2 5 7" xfId="924" xr:uid="{59BA0F31-89AD-4A30-AB2B-227095C6597A}"/>
    <cellStyle name="40% - Accent2 5 8" xfId="925" xr:uid="{624D0031-563A-4304-A04F-D80F605B8E61}"/>
    <cellStyle name="40% - Accent2 5 9" xfId="926" xr:uid="{25C52C22-09C9-4A22-ABD1-27C3FF3A0EE5}"/>
    <cellStyle name="40% - Accent2 6 2" xfId="927" xr:uid="{E1D45EED-EC85-497A-B6A7-B3622E121066}"/>
    <cellStyle name="40% - Accent2 7 2" xfId="928" xr:uid="{C4B34D3A-26DC-44DE-A353-D2CC9D69FC8B}"/>
    <cellStyle name="40% - Accent2 8" xfId="929" xr:uid="{E7748AAD-896A-43A3-ABD0-45705C7A5825}"/>
    <cellStyle name="40% - Accent2 9" xfId="930" xr:uid="{A8C0B1BE-2926-4DE7-9B38-9EC20ECC4AFF}"/>
    <cellStyle name="40% - Accent3" xfId="31" builtinId="39" customBuiltin="1"/>
    <cellStyle name="40% - Accent3 10" xfId="931" xr:uid="{E00DA09D-603F-4B7D-9A10-DA9F5F4436D8}"/>
    <cellStyle name="40% - Accent3 11" xfId="932" xr:uid="{B5394621-638A-4A5D-B98D-31038F49F93F}"/>
    <cellStyle name="40% - Accent3 12" xfId="933" xr:uid="{B35D8EB3-3B87-4060-B9A5-CB578AAA01F8}"/>
    <cellStyle name="40% - Accent3 13" xfId="934" xr:uid="{3181EBA4-45CD-4C15-AAF0-7BB732C4E22F}"/>
    <cellStyle name="40% - Accent3 14" xfId="935" xr:uid="{00D8DDEB-5723-49A2-A9CD-2ED2C1E71095}"/>
    <cellStyle name="40% - Accent3 2 10" xfId="936" xr:uid="{839C23A5-08C8-4BDC-9DBC-DE9E9C63D78E}"/>
    <cellStyle name="40% - Accent3 2 11" xfId="937" xr:uid="{B83D6305-7C56-4C2D-8095-48DEC69CC596}"/>
    <cellStyle name="40% - Accent3 2 12" xfId="938" xr:uid="{513123F0-065C-4ED1-AF26-AB72B9C4EF95}"/>
    <cellStyle name="40% - Accent3 2 13" xfId="939" xr:uid="{08BC4A30-72AF-4CC4-A1CF-84B0477FA2BB}"/>
    <cellStyle name="40% - Accent3 2 13 10" xfId="940" xr:uid="{7FC5932B-90CF-425E-A7E3-FE0499A1F6F2}"/>
    <cellStyle name="40% - Accent3 2 13 11" xfId="941" xr:uid="{A18FA189-A610-4B8B-8F84-726F41673069}"/>
    <cellStyle name="40% - Accent3 2 13 12" xfId="942" xr:uid="{4B7ABDC3-7A2D-451E-A882-AB80192766C2}"/>
    <cellStyle name="40% - Accent3 2 13 13" xfId="943" xr:uid="{E4862FCB-F578-4049-B64A-19E79578AF33}"/>
    <cellStyle name="40% - Accent3 2 13 14" xfId="944" xr:uid="{9D9FCBCA-8896-470D-B70C-4E7162F077CA}"/>
    <cellStyle name="40% - Accent3 2 13 15" xfId="945" xr:uid="{6CD30E66-ED9C-4E54-9E4F-04EDF68930F1}"/>
    <cellStyle name="40% - Accent3 2 13 16" xfId="946" xr:uid="{18E1205B-B576-48B7-92B6-63AAD60590A4}"/>
    <cellStyle name="40% - Accent3 2 13 17" xfId="947" xr:uid="{32F4C657-77BD-4A15-9E0A-EE565B6DC67C}"/>
    <cellStyle name="40% - Accent3 2 13 18" xfId="948" xr:uid="{810F82DD-F37E-47B9-857A-021D0A437162}"/>
    <cellStyle name="40% - Accent3 2 13 19" xfId="949" xr:uid="{671D6F7A-E271-49C6-ACEF-E0FBBA8D25CA}"/>
    <cellStyle name="40% - Accent3 2 13 2" xfId="950" xr:uid="{35D30997-C4E3-445C-875C-0C09AF1F503E}"/>
    <cellStyle name="40% - Accent3 2 13 20" xfId="951" xr:uid="{956D7DC2-95CA-4E34-A272-55F0D9E2AA19}"/>
    <cellStyle name="40% - Accent3 2 13 21" xfId="952" xr:uid="{8028B758-0DF3-48EC-822A-DF55E150B54B}"/>
    <cellStyle name="40% - Accent3 2 13 22" xfId="953" xr:uid="{7A42E92A-C597-4363-AB04-7BD11934DFCB}"/>
    <cellStyle name="40% - Accent3 2 13 23" xfId="954" xr:uid="{A1843CC9-A7A8-426C-94A6-E327C5796302}"/>
    <cellStyle name="40% - Accent3 2 13 24" xfId="955" xr:uid="{B7E6E3A9-0630-40FD-90DA-E2DD45A2AE32}"/>
    <cellStyle name="40% - Accent3 2 13 25" xfId="956" xr:uid="{1015898B-1589-4270-94DF-4041A2CC5DB4}"/>
    <cellStyle name="40% - Accent3 2 13 26" xfId="957" xr:uid="{E57E76CF-E599-4B20-B4D0-D3B9BC769257}"/>
    <cellStyle name="40% - Accent3 2 13 27" xfId="958" xr:uid="{E824D174-CD29-4032-95EB-1C03BFB53179}"/>
    <cellStyle name="40% - Accent3 2 13 28" xfId="959" xr:uid="{53153774-CA5A-40E9-863D-ABE834283A07}"/>
    <cellStyle name="40% - Accent3 2 13 29" xfId="960" xr:uid="{2A56D32F-2C3B-4E0D-B42E-0B96811E48AF}"/>
    <cellStyle name="40% - Accent3 2 13 3" xfId="961" xr:uid="{26E215B2-E5CC-45F2-8D7A-E3CA4FA8E329}"/>
    <cellStyle name="40% - Accent3 2 13 30" xfId="962" xr:uid="{0E3BF3EA-3F07-4EC1-A5B2-85A0A6A959B1}"/>
    <cellStyle name="40% - Accent3 2 13 31" xfId="963" xr:uid="{00A10B45-5CBB-4ADA-98AD-09E76706E5CB}"/>
    <cellStyle name="40% - Accent3 2 13 32" xfId="964" xr:uid="{28937A4C-4460-4A87-B7C1-1AD9B34A51A8}"/>
    <cellStyle name="40% - Accent3 2 13 33" xfId="965" xr:uid="{392EF31E-58DD-4E07-A363-FA186C427755}"/>
    <cellStyle name="40% - Accent3 2 13 34" xfId="966" xr:uid="{7AABECB1-CA18-49A3-ACF3-A0084ACA2E4D}"/>
    <cellStyle name="40% - Accent3 2 13 35" xfId="967" xr:uid="{0477327C-63E7-4B4A-A3DC-E7BD8D1E8132}"/>
    <cellStyle name="40% - Accent3 2 13 36" xfId="968" xr:uid="{997561CA-6202-4AEF-9878-369393C11DE6}"/>
    <cellStyle name="40% - Accent3 2 13 37" xfId="969" xr:uid="{7EFC5B77-0A5C-44D0-8559-F6F863DADABB}"/>
    <cellStyle name="40% - Accent3 2 13 38" xfId="970" xr:uid="{DDB39EA5-AD06-46C4-AC99-E691A68A818A}"/>
    <cellStyle name="40% - Accent3 2 13 39" xfId="971" xr:uid="{D3FDAB2B-6117-4B54-A909-CA1632E85B36}"/>
    <cellStyle name="40% - Accent3 2 13 4" xfId="972" xr:uid="{9E0B89B5-1D25-423E-9B0C-9D78E8372974}"/>
    <cellStyle name="40% - Accent3 2 13 40" xfId="973" xr:uid="{A5D2BCA3-ACA3-4508-9FB1-572BCC22B57C}"/>
    <cellStyle name="40% - Accent3 2 13 41" xfId="974" xr:uid="{182538B5-C685-4DE2-96D7-1A0D79A58AAD}"/>
    <cellStyle name="40% - Accent3 2 13 42" xfId="975" xr:uid="{CF8DAE1E-B58F-4EC5-A9C9-6CE05601CB5E}"/>
    <cellStyle name="40% - Accent3 2 13 43" xfId="976" xr:uid="{6392F4D2-93E5-49CA-A327-A8AECB53F3D2}"/>
    <cellStyle name="40% - Accent3 2 13 44" xfId="977" xr:uid="{01D4AA9D-B11B-48C3-A7A0-6A6646F2A6B4}"/>
    <cellStyle name="40% - Accent3 2 13 45" xfId="978" xr:uid="{E7F3D57F-7640-42A5-BF5E-043215E3F300}"/>
    <cellStyle name="40% - Accent3 2 13 46" xfId="979" xr:uid="{B711A8BC-7E7E-4F8D-AE0E-76ED486278A4}"/>
    <cellStyle name="40% - Accent3 2 13 47" xfId="980" xr:uid="{BCD53228-9FD7-4EE3-8CCA-4085BE923510}"/>
    <cellStyle name="40% - Accent3 2 13 5" xfId="981" xr:uid="{D53C57D7-B0BF-4345-838A-B41911CEE3CD}"/>
    <cellStyle name="40% - Accent3 2 13 6" xfId="982" xr:uid="{D33E1166-D775-4483-908D-20FE9332A01C}"/>
    <cellStyle name="40% - Accent3 2 13 7" xfId="983" xr:uid="{1D9C6E41-987A-4AE5-A354-F85EC4ED6F21}"/>
    <cellStyle name="40% - Accent3 2 13 8" xfId="984" xr:uid="{76F2971F-539D-4B7E-B149-436E9B3F94D0}"/>
    <cellStyle name="40% - Accent3 2 13 9" xfId="985" xr:uid="{AD44E0E7-2892-4EAD-B6E4-9C9DC44B45E5}"/>
    <cellStyle name="40% - Accent3 2 2" xfId="986" xr:uid="{F98F49FB-4905-4036-BEB9-58FD5CA45E62}"/>
    <cellStyle name="40% - Accent3 2 2 10" xfId="987" xr:uid="{6516710B-530A-403B-9FEC-CE086F8CE8E1}"/>
    <cellStyle name="40% - Accent3 2 2 2" xfId="988" xr:uid="{FBF410E0-DEBA-44D3-8830-EF8D7D51CEE7}"/>
    <cellStyle name="40% - Accent3 2 2 2 2" xfId="989" xr:uid="{9C6D378A-E442-4B26-9999-E12EC211D9A1}"/>
    <cellStyle name="40% - Accent3 2 2 3" xfId="990" xr:uid="{68FB971D-569C-49A3-8DAD-751E3FB83761}"/>
    <cellStyle name="40% - Accent3 2 2 4" xfId="991" xr:uid="{FE654B0C-B920-4828-8EA6-DA673102F961}"/>
    <cellStyle name="40% - Accent3 2 2 5" xfId="992" xr:uid="{BAEAB57F-ECF8-4A11-89D1-858815702410}"/>
    <cellStyle name="40% - Accent3 2 2 6" xfId="993" xr:uid="{5BCC7CAF-5C31-4CD0-B6DA-6D2D7EA92DD4}"/>
    <cellStyle name="40% - Accent3 2 2 7" xfId="994" xr:uid="{1571E7DF-B437-4353-82D4-20D71F74B9E9}"/>
    <cellStyle name="40% - Accent3 2 2 8" xfId="995" xr:uid="{0360A2C9-0987-41FF-907F-D99975543792}"/>
    <cellStyle name="40% - Accent3 2 2 9" xfId="996" xr:uid="{EA2E4C1C-217D-4350-A49E-DB9D65751E96}"/>
    <cellStyle name="40% - Accent3 2 3" xfId="997" xr:uid="{C01148E2-252C-406F-85B5-F51491FE489E}"/>
    <cellStyle name="40% - Accent3 2 3 2" xfId="998" xr:uid="{1AB48029-B0A5-4754-82ED-4BDDDBFBD9A8}"/>
    <cellStyle name="40% - Accent3 2 4" xfId="999" xr:uid="{8C2AFD9A-E6F7-4274-ACE0-32EE8A39E114}"/>
    <cellStyle name="40% - Accent3 2 4 2" xfId="1000" xr:uid="{771593D9-E6F3-40BC-847E-E9E7FF69A36F}"/>
    <cellStyle name="40% - Accent3 2 5" xfId="1001" xr:uid="{8F914D8F-56BA-40B0-A0B6-04F9EE6E19EA}"/>
    <cellStyle name="40% - Accent3 2 6" xfId="1002" xr:uid="{F20E431D-A53B-4492-A6D2-0FC39540B665}"/>
    <cellStyle name="40% - Accent3 2 7" xfId="1003" xr:uid="{70CE971D-37CC-44CB-AD48-98B0CCA83070}"/>
    <cellStyle name="40% - Accent3 2 8" xfId="1004" xr:uid="{788D5F73-4052-4A70-B174-9E4B21B4F934}"/>
    <cellStyle name="40% - Accent3 2 9" xfId="1005" xr:uid="{C7DDB9A3-28BA-4D71-8E39-ACF1348E3F5F}"/>
    <cellStyle name="40% - Accent3 3" xfId="1006" xr:uid="{52CC7F03-670C-4D4E-97AC-BAD819C170B7}"/>
    <cellStyle name="40% - Accent3 3 10" xfId="1007" xr:uid="{5442B78E-C0B3-4F67-B4F5-BF2CE1410E3A}"/>
    <cellStyle name="40% - Accent3 3 2" xfId="1008" xr:uid="{E5657421-89C5-4169-8990-89C4AB9B3959}"/>
    <cellStyle name="40% - Accent3 3 3" xfId="1009" xr:uid="{89E8F209-5244-4705-AA3D-36744B3A1D59}"/>
    <cellStyle name="40% - Accent3 3 4" xfId="1010" xr:uid="{90B17813-EBCE-4BBE-B8C5-67830B13C82F}"/>
    <cellStyle name="40% - Accent3 3 5" xfId="1011" xr:uid="{7C5C3409-9189-4CDD-994D-60B177634852}"/>
    <cellStyle name="40% - Accent3 3 6" xfId="1012" xr:uid="{20213C14-0413-4431-B377-68E1ED46EBFF}"/>
    <cellStyle name="40% - Accent3 3 7" xfId="1013" xr:uid="{59950B8B-338F-44E4-B708-2DE5305789DC}"/>
    <cellStyle name="40% - Accent3 3 8" xfId="1014" xr:uid="{4C74277F-8E32-460C-9490-F948F3BCAB80}"/>
    <cellStyle name="40% - Accent3 3 9" xfId="1015" xr:uid="{3C1991AA-0B7D-4C1D-BD1C-B5B6391090BF}"/>
    <cellStyle name="40% - Accent3 4" xfId="1016" xr:uid="{0D620AB7-7326-40EC-A621-EE7B1154B0B6}"/>
    <cellStyle name="40% - Accent3 4 10" xfId="1017" xr:uid="{781F1098-DE46-4EBA-BE9A-6CF3740836E9}"/>
    <cellStyle name="40% - Accent3 4 2" xfId="1018" xr:uid="{9BF6B642-F4AE-4A7A-8BA6-F440F84BA178}"/>
    <cellStyle name="40% - Accent3 4 3" xfId="1019" xr:uid="{C1992C22-D8BD-41AC-8E36-F5354F8CA012}"/>
    <cellStyle name="40% - Accent3 4 4" xfId="1020" xr:uid="{03E5D95B-AF30-44E6-99F0-8334E81D6589}"/>
    <cellStyle name="40% - Accent3 4 5" xfId="1021" xr:uid="{900CF42C-2505-452D-8157-19C2CBA83085}"/>
    <cellStyle name="40% - Accent3 4 6" xfId="1022" xr:uid="{466A5A6D-8786-48F4-AF92-8DB0434A3523}"/>
    <cellStyle name="40% - Accent3 4 7" xfId="1023" xr:uid="{25C47399-69E0-4CBD-B518-491DB349AAAA}"/>
    <cellStyle name="40% - Accent3 4 8" xfId="1024" xr:uid="{47BFF914-DAEA-4BA0-8FF5-563A4E6FFDCF}"/>
    <cellStyle name="40% - Accent3 4 9" xfId="1025" xr:uid="{7B528893-C7E8-4792-925E-001C449B1D68}"/>
    <cellStyle name="40% - Accent3 5" xfId="1026" xr:uid="{761DF287-095D-4ED7-8667-D443AC24FB7D}"/>
    <cellStyle name="40% - Accent3 5 10" xfId="1027" xr:uid="{6BBE113D-8813-4BB0-B4F7-432E520B2C85}"/>
    <cellStyle name="40% - Accent3 5 2" xfId="1028" xr:uid="{EF807F82-EE4A-43B7-9439-2110C09DD7FA}"/>
    <cellStyle name="40% - Accent3 5 3" xfId="1029" xr:uid="{D8C3EF64-3CB9-493C-8611-54C14FB08838}"/>
    <cellStyle name="40% - Accent3 5 4" xfId="1030" xr:uid="{1390C39F-A17A-4EAC-92AF-1C08D8DBEC3F}"/>
    <cellStyle name="40% - Accent3 5 5" xfId="1031" xr:uid="{7208098B-58D0-4D40-82CA-05B750BC1F37}"/>
    <cellStyle name="40% - Accent3 5 6" xfId="1032" xr:uid="{7E20D35F-9A5A-4209-AA57-69CF6C3BCEC1}"/>
    <cellStyle name="40% - Accent3 5 7" xfId="1033" xr:uid="{9E8408FE-A4B2-40A7-B132-BD57D35C4A4D}"/>
    <cellStyle name="40% - Accent3 5 8" xfId="1034" xr:uid="{F7BE1310-036E-406F-82ED-377A0514081E}"/>
    <cellStyle name="40% - Accent3 5 9" xfId="1035" xr:uid="{0EC4CFAE-93B4-4E97-8738-DC5B1110018F}"/>
    <cellStyle name="40% - Accent3 6 2" xfId="1036" xr:uid="{EEAE3D61-F032-4E2A-9237-70D4DBE4FFDA}"/>
    <cellStyle name="40% - Accent3 7 2" xfId="1037" xr:uid="{75F0AFF6-65F7-4FBA-9DB4-2E494FFC4F5A}"/>
    <cellStyle name="40% - Accent3 8" xfId="1038" xr:uid="{7788C528-DE57-4111-9A15-F839C9619CBE}"/>
    <cellStyle name="40% - Accent3 9" xfId="1039" xr:uid="{2C9EC170-E2E6-4207-A96B-3A8806314CC3}"/>
    <cellStyle name="40% - Accent4" xfId="35" builtinId="43" customBuiltin="1"/>
    <cellStyle name="40% - Accent4 10" xfId="1040" xr:uid="{8DEC46E1-8E9E-4C30-B6AD-9C2B9CBF3C4C}"/>
    <cellStyle name="40% - Accent4 11" xfId="1041" xr:uid="{A78D5D30-A98F-4AE2-A303-683FD4D29FE3}"/>
    <cellStyle name="40% - Accent4 12" xfId="1042" xr:uid="{62309BF0-F16E-47A7-8377-A550C003DD9C}"/>
    <cellStyle name="40% - Accent4 13" xfId="1043" xr:uid="{C14B983A-AC1A-4A6D-AE16-24A2F4653690}"/>
    <cellStyle name="40% - Accent4 14" xfId="1044" xr:uid="{04217682-007F-4343-8D7D-4D51BB4D6339}"/>
    <cellStyle name="40% - Accent4 2 10" xfId="1045" xr:uid="{D6246C62-C1B4-4D3A-BF6A-DEF5F8FC0C10}"/>
    <cellStyle name="40% - Accent4 2 11" xfId="1046" xr:uid="{1104733B-9792-4742-B950-396A6221D6FE}"/>
    <cellStyle name="40% - Accent4 2 12" xfId="1047" xr:uid="{DEE92EAE-2344-4960-BB60-79E65E1816CA}"/>
    <cellStyle name="40% - Accent4 2 13" xfId="1048" xr:uid="{A2C1950F-3DE9-4E52-B075-BE8B4227DD92}"/>
    <cellStyle name="40% - Accent4 2 13 10" xfId="1049" xr:uid="{E9D07B4C-70DA-4DCA-9568-F7CE92E94343}"/>
    <cellStyle name="40% - Accent4 2 13 11" xfId="1050" xr:uid="{C49BE4B1-4BF4-47BA-8D65-D03944D80CCA}"/>
    <cellStyle name="40% - Accent4 2 13 12" xfId="1051" xr:uid="{1CEF1EA8-8CE6-4F2A-BC55-7852876AA915}"/>
    <cellStyle name="40% - Accent4 2 13 13" xfId="1052" xr:uid="{A6A269F0-25F7-4017-8C60-F02FBB47E656}"/>
    <cellStyle name="40% - Accent4 2 13 14" xfId="1053" xr:uid="{5237E9FA-D5F0-4E2A-B9F4-2FDD5D792D21}"/>
    <cellStyle name="40% - Accent4 2 13 15" xfId="1054" xr:uid="{17F7A462-0E0B-4853-9015-7AB9789D5AA6}"/>
    <cellStyle name="40% - Accent4 2 13 16" xfId="1055" xr:uid="{B7509217-94F1-472F-AC35-193702E57323}"/>
    <cellStyle name="40% - Accent4 2 13 17" xfId="1056" xr:uid="{F1E481B1-5326-42EC-9045-A67E39200E32}"/>
    <cellStyle name="40% - Accent4 2 13 18" xfId="1057" xr:uid="{A21A8437-24E1-4FC7-904A-BFA91EE0F1C0}"/>
    <cellStyle name="40% - Accent4 2 13 19" xfId="1058" xr:uid="{4E56FBA8-D948-47F1-9E62-D07A4206F267}"/>
    <cellStyle name="40% - Accent4 2 13 2" xfId="1059" xr:uid="{95771816-D4C4-4079-A699-B24A5EA020B1}"/>
    <cellStyle name="40% - Accent4 2 13 20" xfId="1060" xr:uid="{37EC8C21-FF5E-4A6E-BFB6-130DE7DF1EED}"/>
    <cellStyle name="40% - Accent4 2 13 21" xfId="1061" xr:uid="{B28A24A7-C6EC-471F-B4D5-4FEE6C9B78FC}"/>
    <cellStyle name="40% - Accent4 2 13 22" xfId="1062" xr:uid="{0256DFE6-ABD4-487B-AADD-B50A6D10FF18}"/>
    <cellStyle name="40% - Accent4 2 13 23" xfId="1063" xr:uid="{06297141-1FF8-4041-8EC3-5106EC694FA0}"/>
    <cellStyle name="40% - Accent4 2 13 24" xfId="1064" xr:uid="{7CF34194-D3EB-4AB9-A3E6-51283355F669}"/>
    <cellStyle name="40% - Accent4 2 13 25" xfId="1065" xr:uid="{B4EA7142-CF31-416C-8B0A-CA156BFADD83}"/>
    <cellStyle name="40% - Accent4 2 13 26" xfId="1066" xr:uid="{FA8F4275-700A-471F-B754-78306E5C6AD4}"/>
    <cellStyle name="40% - Accent4 2 13 27" xfId="1067" xr:uid="{AB27DDEC-EC46-4B0E-967B-AB8DDF91CA72}"/>
    <cellStyle name="40% - Accent4 2 13 28" xfId="1068" xr:uid="{538C38F5-8FE9-4E85-8E68-CD4B66B95E16}"/>
    <cellStyle name="40% - Accent4 2 13 29" xfId="1069" xr:uid="{1B1260FC-BE9B-40E9-A39D-3EB3237D8764}"/>
    <cellStyle name="40% - Accent4 2 13 3" xfId="1070" xr:uid="{EF799356-1F84-43FE-899C-0CF6CE02FD18}"/>
    <cellStyle name="40% - Accent4 2 13 30" xfId="1071" xr:uid="{B6224C5A-D7AE-4819-9D82-6FD166515BAA}"/>
    <cellStyle name="40% - Accent4 2 13 31" xfId="1072" xr:uid="{49FCF8BE-69B2-4E91-BE3B-906CBBFE6491}"/>
    <cellStyle name="40% - Accent4 2 13 32" xfId="1073" xr:uid="{4FA1EB16-919E-4C73-BA43-5F84F54E982F}"/>
    <cellStyle name="40% - Accent4 2 13 33" xfId="1074" xr:uid="{0215E99C-E81D-4A35-895D-FDEE1DDCD167}"/>
    <cellStyle name="40% - Accent4 2 13 34" xfId="1075" xr:uid="{A91B271A-4B83-4B52-9273-F2E99FE5C46D}"/>
    <cellStyle name="40% - Accent4 2 13 35" xfId="1076" xr:uid="{CD7E5FA6-6C6D-4934-B8BC-F7083E2B4716}"/>
    <cellStyle name="40% - Accent4 2 13 36" xfId="1077" xr:uid="{BFCF99D8-FD5D-4AAB-85BE-5B5D87677C31}"/>
    <cellStyle name="40% - Accent4 2 13 37" xfId="1078" xr:uid="{2F846236-4F36-4DCA-89B6-DBB5D5A25942}"/>
    <cellStyle name="40% - Accent4 2 13 38" xfId="1079" xr:uid="{68628672-F0EE-4948-9B3C-6D83099E8794}"/>
    <cellStyle name="40% - Accent4 2 13 39" xfId="1080" xr:uid="{F95A5C3A-A743-4A2A-AC68-116D7071A215}"/>
    <cellStyle name="40% - Accent4 2 13 4" xfId="1081" xr:uid="{E22AD5D1-5E72-4E9B-BFED-4B0B16A3AE0A}"/>
    <cellStyle name="40% - Accent4 2 13 40" xfId="1082" xr:uid="{889A3C47-C774-49F8-A595-92035DDAB9A5}"/>
    <cellStyle name="40% - Accent4 2 13 41" xfId="1083" xr:uid="{D3CCA9DD-0997-41C4-963D-77E18414A819}"/>
    <cellStyle name="40% - Accent4 2 13 42" xfId="1084" xr:uid="{07EE4F71-3CF1-49CE-BF76-11BAAED8B0EB}"/>
    <cellStyle name="40% - Accent4 2 13 43" xfId="1085" xr:uid="{009F73D3-1DD7-4147-87AA-EC07967578AE}"/>
    <cellStyle name="40% - Accent4 2 13 44" xfId="1086" xr:uid="{85A83C74-1C24-458E-B1AE-25E9A87C8148}"/>
    <cellStyle name="40% - Accent4 2 13 45" xfId="1087" xr:uid="{9FFCEDC3-4A44-490E-9495-0730CA00BDFE}"/>
    <cellStyle name="40% - Accent4 2 13 46" xfId="1088" xr:uid="{83A9F115-FDF2-48B2-8A53-4153374225E9}"/>
    <cellStyle name="40% - Accent4 2 13 47" xfId="1089" xr:uid="{A8D86E7C-6412-4317-8DCA-00B982B80A35}"/>
    <cellStyle name="40% - Accent4 2 13 5" xfId="1090" xr:uid="{61773EED-770F-4DFA-ACCC-7EA8211E1B07}"/>
    <cellStyle name="40% - Accent4 2 13 6" xfId="1091" xr:uid="{A422AB67-C499-4E6B-8A47-907FF05F98A7}"/>
    <cellStyle name="40% - Accent4 2 13 7" xfId="1092" xr:uid="{B7F0810D-9F5E-4C51-9B8A-EAC8EC6544FE}"/>
    <cellStyle name="40% - Accent4 2 13 8" xfId="1093" xr:uid="{4F4FABD0-65E5-4154-BA18-7EB5CCB10F04}"/>
    <cellStyle name="40% - Accent4 2 13 9" xfId="1094" xr:uid="{3DFB1F04-397D-43A9-8D38-D6A10F21ABFB}"/>
    <cellStyle name="40% - Accent4 2 2" xfId="1095" xr:uid="{320E8C76-5083-4B1D-A950-75981892C583}"/>
    <cellStyle name="40% - Accent4 2 2 10" xfId="1096" xr:uid="{7D92701D-93C3-4396-97C2-111366A38D81}"/>
    <cellStyle name="40% - Accent4 2 2 2" xfId="1097" xr:uid="{F5CCDD35-DC5D-4E3F-A4C5-E14A76430AD0}"/>
    <cellStyle name="40% - Accent4 2 2 2 2" xfId="1098" xr:uid="{8976BD7C-2415-41DD-977C-E87C0445BD59}"/>
    <cellStyle name="40% - Accent4 2 2 3" xfId="1099" xr:uid="{D504726A-EB51-4097-96E1-47C465AB9123}"/>
    <cellStyle name="40% - Accent4 2 2 4" xfId="1100" xr:uid="{9A1D1BBC-4083-4975-91D3-8686871A8D53}"/>
    <cellStyle name="40% - Accent4 2 2 5" xfId="1101" xr:uid="{5E48E0BD-2CC1-4D35-9612-36DEEFD52934}"/>
    <cellStyle name="40% - Accent4 2 2 6" xfId="1102" xr:uid="{9A16B723-B27F-483F-89FF-44B7794639EF}"/>
    <cellStyle name="40% - Accent4 2 2 7" xfId="1103" xr:uid="{3434E377-ED4B-42F7-B730-760CB8554872}"/>
    <cellStyle name="40% - Accent4 2 2 8" xfId="1104" xr:uid="{13DFFB09-B6D5-4011-BE50-68DCEE3B68DC}"/>
    <cellStyle name="40% - Accent4 2 2 9" xfId="1105" xr:uid="{319FBEAD-F090-4396-9C02-9E5D7DBD9D00}"/>
    <cellStyle name="40% - Accent4 2 3" xfId="1106" xr:uid="{737C8277-85E2-4CAD-9B74-8D7FE278B91A}"/>
    <cellStyle name="40% - Accent4 2 3 2" xfId="1107" xr:uid="{5CDE81D2-6F91-4A54-AD99-F76A2404D73D}"/>
    <cellStyle name="40% - Accent4 2 4" xfId="1108" xr:uid="{1DD53D08-CB3E-47B7-AADA-7196F5549C06}"/>
    <cellStyle name="40% - Accent4 2 4 2" xfId="1109" xr:uid="{D5C439C8-0844-4C9B-857B-3A356964130A}"/>
    <cellStyle name="40% - Accent4 2 5" xfId="1110" xr:uid="{AD92BAD8-7260-4E4A-9B75-9117D2658603}"/>
    <cellStyle name="40% - Accent4 2 6" xfId="1111" xr:uid="{30F258B6-847F-41A5-85A3-4D7D27153240}"/>
    <cellStyle name="40% - Accent4 2 7" xfId="1112" xr:uid="{DD562564-1D17-4C73-9D32-A64BD2D4459A}"/>
    <cellStyle name="40% - Accent4 2 8" xfId="1113" xr:uid="{51BF859E-E27E-4DCB-BF62-81ECE2AF8E6A}"/>
    <cellStyle name="40% - Accent4 2 9" xfId="1114" xr:uid="{639FFEF0-12FE-4B2B-A2CE-AFB6614954DA}"/>
    <cellStyle name="40% - Accent4 3" xfId="1115" xr:uid="{82FDF155-EB6E-4F80-BFA8-7FC164F1C786}"/>
    <cellStyle name="40% - Accent4 3 10" xfId="1116" xr:uid="{809E7F42-4748-4E21-95CE-83149C6CF95A}"/>
    <cellStyle name="40% - Accent4 3 2" xfId="1117" xr:uid="{CC575506-2BD3-4092-9168-4FF3E2ACDE5B}"/>
    <cellStyle name="40% - Accent4 3 3" xfId="1118" xr:uid="{6EB5B6E6-8A5E-4B53-B4CA-5DE5C0BD5179}"/>
    <cellStyle name="40% - Accent4 3 4" xfId="1119" xr:uid="{BD04D2EB-892A-4105-9B3B-1706B8372CF5}"/>
    <cellStyle name="40% - Accent4 3 5" xfId="1120" xr:uid="{196239EC-BD7E-43E3-8FCD-BDEBDC350309}"/>
    <cellStyle name="40% - Accent4 3 6" xfId="1121" xr:uid="{36A28BA1-86A2-4531-A6B0-1A9EC5085A71}"/>
    <cellStyle name="40% - Accent4 3 7" xfId="1122" xr:uid="{B308978C-B3B6-40F4-809C-88636691E885}"/>
    <cellStyle name="40% - Accent4 3 8" xfId="1123" xr:uid="{E2285695-FB8C-4F92-8948-9DF112191EBF}"/>
    <cellStyle name="40% - Accent4 3 9" xfId="1124" xr:uid="{C84D8367-E419-4290-B71F-6A326F3BFD58}"/>
    <cellStyle name="40% - Accent4 4" xfId="1125" xr:uid="{FCC9CCE1-DA01-4623-B46D-8AF0750096A8}"/>
    <cellStyle name="40% - Accent4 4 10" xfId="1126" xr:uid="{7BBABC30-B6B8-4333-9289-4CF1791C6F51}"/>
    <cellStyle name="40% - Accent4 4 2" xfId="1127" xr:uid="{AF724EBB-FAEF-450A-A0EF-F1B7C6E09A07}"/>
    <cellStyle name="40% - Accent4 4 3" xfId="1128" xr:uid="{F276A229-0D02-4274-A5A0-F0A78691C2B4}"/>
    <cellStyle name="40% - Accent4 4 4" xfId="1129" xr:uid="{BC62A478-5D7D-40E4-82F7-062E6E16F077}"/>
    <cellStyle name="40% - Accent4 4 5" xfId="1130" xr:uid="{DE7FF3AC-2EE7-4C48-83E4-7D085669E819}"/>
    <cellStyle name="40% - Accent4 4 6" xfId="1131" xr:uid="{563E14FF-DCD1-4A42-BBA7-B39A5F87866E}"/>
    <cellStyle name="40% - Accent4 4 7" xfId="1132" xr:uid="{787D3331-CAFA-4A3D-B2C6-418B5C65BDF3}"/>
    <cellStyle name="40% - Accent4 4 8" xfId="1133" xr:uid="{8A899855-85AF-4091-AD9B-6C422A25E945}"/>
    <cellStyle name="40% - Accent4 4 9" xfId="1134" xr:uid="{02BFF555-9133-4C73-A434-2DFA5429B76D}"/>
    <cellStyle name="40% - Accent4 5" xfId="1135" xr:uid="{19DB0CCF-2E08-42E4-8B84-C1A0BCFB386C}"/>
    <cellStyle name="40% - Accent4 5 10" xfId="1136" xr:uid="{88F45A69-AF4B-43D0-8ABB-56F276B5EC56}"/>
    <cellStyle name="40% - Accent4 5 2" xfId="1137" xr:uid="{0F8AB810-5E88-416B-86D2-5EE01A675C95}"/>
    <cellStyle name="40% - Accent4 5 3" xfId="1138" xr:uid="{041E6CC2-D73D-49DD-BD9D-B6FAEAF0BDA7}"/>
    <cellStyle name="40% - Accent4 5 4" xfId="1139" xr:uid="{F503E9E1-82BE-420B-9C9D-0CFFA22D7F3D}"/>
    <cellStyle name="40% - Accent4 5 5" xfId="1140" xr:uid="{CD29D983-6219-40F3-A756-DE14FBE7E239}"/>
    <cellStyle name="40% - Accent4 5 6" xfId="1141" xr:uid="{82548A9E-F2FA-4945-8D44-FA606CDCE16C}"/>
    <cellStyle name="40% - Accent4 5 7" xfId="1142" xr:uid="{49A38DBC-E2E7-4823-AD9F-3B14C66BEF76}"/>
    <cellStyle name="40% - Accent4 5 8" xfId="1143" xr:uid="{4BE44EAE-6764-4064-8A91-C51106CE7655}"/>
    <cellStyle name="40% - Accent4 5 9" xfId="1144" xr:uid="{4B2B042E-487E-4FA4-9B8C-3DBA833311EF}"/>
    <cellStyle name="40% - Accent4 6 2" xfId="1145" xr:uid="{C13173B2-E395-4E87-B7B1-D07FD2DE669E}"/>
    <cellStyle name="40% - Accent4 7 2" xfId="1146" xr:uid="{458E36B4-13E6-4E7A-BEEA-3817B87B46DA}"/>
    <cellStyle name="40% - Accent4 8" xfId="1147" xr:uid="{46449EE4-C3FE-4442-A5C3-C8932F0320F1}"/>
    <cellStyle name="40% - Accent4 9" xfId="1148" xr:uid="{D3EF2103-5509-496E-A665-A87E063C8ADB}"/>
    <cellStyle name="40% - Accent5" xfId="39" builtinId="47" customBuiltin="1"/>
    <cellStyle name="40% - Accent5 10" xfId="1149" xr:uid="{E4C93BC1-D28F-4C00-8BA0-EC02C6DE3BC2}"/>
    <cellStyle name="40% - Accent5 11" xfId="1150" xr:uid="{0761765C-D745-42F2-9D64-98A3F2A3C956}"/>
    <cellStyle name="40% - Accent5 12" xfId="1151" xr:uid="{4CA0B03A-0424-445D-B19D-C866F8F306D5}"/>
    <cellStyle name="40% - Accent5 13" xfId="1152" xr:uid="{5691BB77-5227-46B8-AED8-C0D70EF30196}"/>
    <cellStyle name="40% - Accent5 14" xfId="1153" xr:uid="{A6EAD8C4-A5D2-4089-92C3-D54740D3B56A}"/>
    <cellStyle name="40% - Accent5 2 10" xfId="1154" xr:uid="{91E82B05-28CD-41F1-B6E5-63029997C76F}"/>
    <cellStyle name="40% - Accent5 2 11" xfId="1155" xr:uid="{AF56EE52-C9D0-46EA-A20C-B78FBE30197E}"/>
    <cellStyle name="40% - Accent5 2 12" xfId="1156" xr:uid="{3D9F9A28-FC3A-4F03-BD80-0515931C8236}"/>
    <cellStyle name="40% - Accent5 2 13" xfId="1157" xr:uid="{AD8A888D-6E16-417A-84D2-5E1D1A36BCC2}"/>
    <cellStyle name="40% - Accent5 2 13 10" xfId="1158" xr:uid="{6E1BC47D-460F-447E-90D0-1E0850765AEE}"/>
    <cellStyle name="40% - Accent5 2 13 11" xfId="1159" xr:uid="{D23E6241-C8F0-4BCF-B1F8-C566535D0CA4}"/>
    <cellStyle name="40% - Accent5 2 13 12" xfId="1160" xr:uid="{3CA9E8A4-B74C-45F6-B068-1AF74718A7FB}"/>
    <cellStyle name="40% - Accent5 2 13 13" xfId="1161" xr:uid="{0490D3CA-B987-4FF8-88A7-74C179C481C2}"/>
    <cellStyle name="40% - Accent5 2 13 14" xfId="1162" xr:uid="{027E5F43-B878-4E17-9A7B-6399349AFF46}"/>
    <cellStyle name="40% - Accent5 2 13 15" xfId="1163" xr:uid="{A9C636DB-A74D-4E72-B385-8FAB91DCFB98}"/>
    <cellStyle name="40% - Accent5 2 13 16" xfId="1164" xr:uid="{34937826-75D5-42B9-9B4E-C7C71884746D}"/>
    <cellStyle name="40% - Accent5 2 13 17" xfId="1165" xr:uid="{0F2916F7-6DE4-4267-853F-C344761C50C0}"/>
    <cellStyle name="40% - Accent5 2 13 18" xfId="1166" xr:uid="{977D576D-B4ED-4A22-A258-F46A04AB374E}"/>
    <cellStyle name="40% - Accent5 2 13 19" xfId="1167" xr:uid="{C66F63C5-D001-4F3C-A913-396E786C1C83}"/>
    <cellStyle name="40% - Accent5 2 13 2" xfId="1168" xr:uid="{FD7254F4-FF1A-4F75-80D7-592B5B033CFB}"/>
    <cellStyle name="40% - Accent5 2 13 20" xfId="1169" xr:uid="{BB5457B2-B899-4593-A6B6-F0A7EC187DBC}"/>
    <cellStyle name="40% - Accent5 2 13 21" xfId="1170" xr:uid="{5363A6E9-D471-4D08-ACBE-C08F34C26805}"/>
    <cellStyle name="40% - Accent5 2 13 22" xfId="1171" xr:uid="{5BD63E8D-6D6A-48FD-9A0B-AC03CF1A8336}"/>
    <cellStyle name="40% - Accent5 2 13 23" xfId="1172" xr:uid="{EDECA247-8EC3-401E-80B8-72C71D3D00B1}"/>
    <cellStyle name="40% - Accent5 2 13 24" xfId="1173" xr:uid="{72B6BDF9-71A2-4042-8F62-05D613F97601}"/>
    <cellStyle name="40% - Accent5 2 13 25" xfId="1174" xr:uid="{DCF598B4-9976-40DA-B853-00DCD1E1F8FF}"/>
    <cellStyle name="40% - Accent5 2 13 26" xfId="1175" xr:uid="{ECE751BE-10A5-4FB4-B944-C517F0C956FB}"/>
    <cellStyle name="40% - Accent5 2 13 27" xfId="1176" xr:uid="{EBE2AD4F-E93A-4E56-A010-FE68D67EEBD3}"/>
    <cellStyle name="40% - Accent5 2 13 28" xfId="1177" xr:uid="{0713F4C2-C83B-4CA2-B523-23EF6FE57916}"/>
    <cellStyle name="40% - Accent5 2 13 29" xfId="1178" xr:uid="{3E98C981-BA8B-46F7-B629-FF2968FADEF9}"/>
    <cellStyle name="40% - Accent5 2 13 3" xfId="1179" xr:uid="{221B61F5-2A18-4E58-9FB9-E7B83B95B7AC}"/>
    <cellStyle name="40% - Accent5 2 13 30" xfId="1180" xr:uid="{C41D8CB2-9460-4FFA-AC1C-A3FA2037FCFF}"/>
    <cellStyle name="40% - Accent5 2 13 31" xfId="1181" xr:uid="{D24C75D2-DD32-4B39-91E1-593047653D0F}"/>
    <cellStyle name="40% - Accent5 2 13 32" xfId="1182" xr:uid="{1B9BD8AA-C252-44E9-AA7A-5050760BD62A}"/>
    <cellStyle name="40% - Accent5 2 13 33" xfId="1183" xr:uid="{18695D5B-7F79-4185-8FBB-6C2ADF756938}"/>
    <cellStyle name="40% - Accent5 2 13 34" xfId="1184" xr:uid="{4C4BC508-E018-4283-91B0-460E1D8D22B4}"/>
    <cellStyle name="40% - Accent5 2 13 35" xfId="1185" xr:uid="{5B004AC8-5D7D-4427-8093-3CA1CE1BE70D}"/>
    <cellStyle name="40% - Accent5 2 13 36" xfId="1186" xr:uid="{B5E4CB2F-2608-4D47-90E5-EA07597AC561}"/>
    <cellStyle name="40% - Accent5 2 13 37" xfId="1187" xr:uid="{D0F258F6-4636-4934-A80F-5FE95724418B}"/>
    <cellStyle name="40% - Accent5 2 13 38" xfId="1188" xr:uid="{EA03F9A8-41AB-463F-902E-0331A4A2A898}"/>
    <cellStyle name="40% - Accent5 2 13 39" xfId="1189" xr:uid="{6101AFBA-466A-44E4-B93F-BA6AFC90EFD2}"/>
    <cellStyle name="40% - Accent5 2 13 4" xfId="1190" xr:uid="{84ECF7BE-1C30-42C8-B961-84C0FD1A4C44}"/>
    <cellStyle name="40% - Accent5 2 13 40" xfId="1191" xr:uid="{F990AEF8-F452-474A-992C-953BA869A4AD}"/>
    <cellStyle name="40% - Accent5 2 13 41" xfId="1192" xr:uid="{914A9FF3-DAD5-4DFC-832A-18757CAE775F}"/>
    <cellStyle name="40% - Accent5 2 13 42" xfId="1193" xr:uid="{DD9254EA-D852-421B-AE9E-86AA0A48EE46}"/>
    <cellStyle name="40% - Accent5 2 13 43" xfId="1194" xr:uid="{B890CF79-C61A-45D4-8403-17EBBC806C14}"/>
    <cellStyle name="40% - Accent5 2 13 44" xfId="1195" xr:uid="{1714CAE9-FB0D-4AF2-91CD-61CE2A268AA5}"/>
    <cellStyle name="40% - Accent5 2 13 45" xfId="1196" xr:uid="{DF599898-8B21-4321-B3DE-59B319C8D1B8}"/>
    <cellStyle name="40% - Accent5 2 13 46" xfId="1197" xr:uid="{512922B2-BE53-470A-806D-89AF6E95D478}"/>
    <cellStyle name="40% - Accent5 2 13 47" xfId="1198" xr:uid="{E1666FBE-1F0C-437A-BF2E-24F112F14B13}"/>
    <cellStyle name="40% - Accent5 2 13 5" xfId="1199" xr:uid="{73818D75-2618-4DDD-951F-CB46C7EB9E1C}"/>
    <cellStyle name="40% - Accent5 2 13 6" xfId="1200" xr:uid="{455921FE-3067-462F-9B90-6A908C65C084}"/>
    <cellStyle name="40% - Accent5 2 13 7" xfId="1201" xr:uid="{D4C2E08A-FFD9-4414-9620-802718F87B45}"/>
    <cellStyle name="40% - Accent5 2 13 8" xfId="1202" xr:uid="{F9AC2D95-A179-4F69-905D-3229D1FBBD65}"/>
    <cellStyle name="40% - Accent5 2 13 9" xfId="1203" xr:uid="{359F18A2-3175-4DC6-A9C3-DAF631069E29}"/>
    <cellStyle name="40% - Accent5 2 2" xfId="1204" xr:uid="{FAE839ED-23F0-41A2-B7AE-07145ECB2B5C}"/>
    <cellStyle name="40% - Accent5 2 2 10" xfId="1205" xr:uid="{F8BA4BBA-C256-4E92-A5FB-DE593FE2D899}"/>
    <cellStyle name="40% - Accent5 2 2 2" xfId="1206" xr:uid="{B516AC56-6611-4118-8080-3DA2985B212C}"/>
    <cellStyle name="40% - Accent5 2 2 2 2" xfId="1207" xr:uid="{151D4720-B8C2-4ED3-93F5-1EEF7FB2908F}"/>
    <cellStyle name="40% - Accent5 2 2 3" xfId="1208" xr:uid="{91568EC2-2093-4345-B3CB-2B080351B245}"/>
    <cellStyle name="40% - Accent5 2 2 4" xfId="1209" xr:uid="{E33C92A9-6DCD-46DB-B7D6-F027EF233EB2}"/>
    <cellStyle name="40% - Accent5 2 2 5" xfId="1210" xr:uid="{99D119D8-0B15-4C65-AD19-3BFFB53F81F1}"/>
    <cellStyle name="40% - Accent5 2 2 6" xfId="1211" xr:uid="{4498F392-2EDC-467F-BA30-9F5F59EED639}"/>
    <cellStyle name="40% - Accent5 2 2 7" xfId="1212" xr:uid="{29ECAC02-682B-4812-9FA2-4FC2D4789BBA}"/>
    <cellStyle name="40% - Accent5 2 2 8" xfId="1213" xr:uid="{78A0EB7F-1F46-46E2-A417-2CD9DA826D1E}"/>
    <cellStyle name="40% - Accent5 2 2 9" xfId="1214" xr:uid="{F221418B-73FB-4508-A889-8D653DABD13D}"/>
    <cellStyle name="40% - Accent5 2 3" xfId="1215" xr:uid="{30A1C3FC-FF5D-4C35-91CE-1421ED758A72}"/>
    <cellStyle name="40% - Accent5 2 3 2" xfId="1216" xr:uid="{DD0EC70D-DACE-4204-9477-B0A4E483D24E}"/>
    <cellStyle name="40% - Accent5 2 4" xfId="1217" xr:uid="{BCD10DA5-6EAA-469A-9277-A8ADA614575D}"/>
    <cellStyle name="40% - Accent5 2 4 2" xfId="1218" xr:uid="{7FBC1BF3-EFFF-4816-A21A-C85020FB0BCF}"/>
    <cellStyle name="40% - Accent5 2 5" xfId="1219" xr:uid="{F9E870E0-0C6C-43A2-A506-47F2EE5D6CD3}"/>
    <cellStyle name="40% - Accent5 2 6" xfId="1220" xr:uid="{5A8DC9D5-9A34-43F0-9632-F78C11B4741E}"/>
    <cellStyle name="40% - Accent5 2 7" xfId="1221" xr:uid="{BF9D1271-E37B-42ED-9830-D38A0BAB349A}"/>
    <cellStyle name="40% - Accent5 2 8" xfId="1222" xr:uid="{E4A3C814-180F-47D4-A678-9FC8B6736870}"/>
    <cellStyle name="40% - Accent5 2 9" xfId="1223" xr:uid="{90F9CD7C-40BC-420E-B21A-5E9D5B39C3E8}"/>
    <cellStyle name="40% - Accent5 3" xfId="1224" xr:uid="{8988FACB-A9D6-42CC-AE6A-5C652ECBF949}"/>
    <cellStyle name="40% - Accent5 3 10" xfId="1225" xr:uid="{48CA7048-57BA-4B39-8BD2-075D27D12AED}"/>
    <cellStyle name="40% - Accent5 3 2" xfId="1226" xr:uid="{A1A23487-9B16-4B22-AC41-EF251D617E1B}"/>
    <cellStyle name="40% - Accent5 3 3" xfId="1227" xr:uid="{5D4E6097-6C28-4B3D-A743-6FAE61CD1338}"/>
    <cellStyle name="40% - Accent5 3 4" xfId="1228" xr:uid="{1D34017F-4E80-4F03-8A83-8436AFFEEAA5}"/>
    <cellStyle name="40% - Accent5 3 5" xfId="1229" xr:uid="{2ECF6AAF-7D97-4C13-B767-712449D866CF}"/>
    <cellStyle name="40% - Accent5 3 6" xfId="1230" xr:uid="{E8343135-8022-42B4-BB0F-12E9E9ADDD37}"/>
    <cellStyle name="40% - Accent5 3 7" xfId="1231" xr:uid="{B3442686-4ACF-4508-A07A-7354282F5575}"/>
    <cellStyle name="40% - Accent5 3 8" xfId="1232" xr:uid="{B40BC124-66F0-4369-8138-E2CBA2EDB16F}"/>
    <cellStyle name="40% - Accent5 3 9" xfId="1233" xr:uid="{FB10D738-1E0C-4D20-927D-35B8CE4D9A55}"/>
    <cellStyle name="40% - Accent5 4" xfId="1234" xr:uid="{39AC459A-BCE9-420D-ADF9-BB61BAF8E956}"/>
    <cellStyle name="40% - Accent5 4 10" xfId="1235" xr:uid="{2DE4A8F0-D115-44D3-9FD1-9E9F0637F106}"/>
    <cellStyle name="40% - Accent5 4 2" xfId="1236" xr:uid="{D2FEEFEB-A4EA-47D8-81F7-86F722FF0B10}"/>
    <cellStyle name="40% - Accent5 4 3" xfId="1237" xr:uid="{6C216333-132B-4E9E-B00D-34D2BC00ED82}"/>
    <cellStyle name="40% - Accent5 4 4" xfId="1238" xr:uid="{540732A9-1B41-41AF-94EA-8AE12555BAE4}"/>
    <cellStyle name="40% - Accent5 4 5" xfId="1239" xr:uid="{D16D61CF-8AFC-4FE0-BDD9-E52B8C3D52AF}"/>
    <cellStyle name="40% - Accent5 4 6" xfId="1240" xr:uid="{0CB4DFD4-156E-4AE3-BCDD-DDE91822996E}"/>
    <cellStyle name="40% - Accent5 4 7" xfId="1241" xr:uid="{66BD9784-CCEB-4D39-93C7-0DC62BEF1C66}"/>
    <cellStyle name="40% - Accent5 4 8" xfId="1242" xr:uid="{26D7B2DC-D450-419C-9FC0-E80CCE731880}"/>
    <cellStyle name="40% - Accent5 4 9" xfId="1243" xr:uid="{474E1652-981C-4A63-8D8E-7B80451600FE}"/>
    <cellStyle name="40% - Accent5 5" xfId="1244" xr:uid="{3485F2AC-1F66-4ABE-9558-9036A99CAD91}"/>
    <cellStyle name="40% - Accent5 5 10" xfId="1245" xr:uid="{8569A445-FF5D-4947-9AFA-827B91F016D9}"/>
    <cellStyle name="40% - Accent5 5 2" xfId="1246" xr:uid="{1A264746-3184-407E-8459-5F61202083E0}"/>
    <cellStyle name="40% - Accent5 5 3" xfId="1247" xr:uid="{BE979014-F77A-481B-917A-D4F6F7657B8F}"/>
    <cellStyle name="40% - Accent5 5 4" xfId="1248" xr:uid="{FB143493-DE86-4B94-AA46-E6C3DE016F21}"/>
    <cellStyle name="40% - Accent5 5 5" xfId="1249" xr:uid="{467E1B98-7880-4D2D-8487-2E54FDD15BFD}"/>
    <cellStyle name="40% - Accent5 5 6" xfId="1250" xr:uid="{58F0FBD0-D56E-4C0C-9A18-73B2391B5C00}"/>
    <cellStyle name="40% - Accent5 5 7" xfId="1251" xr:uid="{403F678C-4C54-4396-97ED-3605E380CA98}"/>
    <cellStyle name="40% - Accent5 5 8" xfId="1252" xr:uid="{9C9E1412-83E5-4DBD-A14B-36A4A3A92DA2}"/>
    <cellStyle name="40% - Accent5 5 9" xfId="1253" xr:uid="{95B8B888-57FD-4757-8FEA-C9D92AB548D9}"/>
    <cellStyle name="40% - Accent5 6 2" xfId="1254" xr:uid="{AA69C739-5711-413C-8792-8232BDBFABCE}"/>
    <cellStyle name="40% - Accent5 7 2" xfId="1255" xr:uid="{BE194623-BDC1-45EC-8BBE-25553AFADA20}"/>
    <cellStyle name="40% - Accent5 8" xfId="1256" xr:uid="{A828555C-A80C-407D-B3C1-9108340AA8DB}"/>
    <cellStyle name="40% - Accent5 9" xfId="1257" xr:uid="{2BE0D839-FCCA-4DC7-A5AB-74B29E51FC53}"/>
    <cellStyle name="40% - Accent6" xfId="43" builtinId="51" customBuiltin="1"/>
    <cellStyle name="40% - Accent6 10" xfId="1258" xr:uid="{73825C5B-1FC2-414A-A706-1E3F73EFD13E}"/>
    <cellStyle name="40% - Accent6 11" xfId="1259" xr:uid="{D24FC713-0240-44A3-8E9C-D0EF10ED4216}"/>
    <cellStyle name="40% - Accent6 12" xfId="1260" xr:uid="{E861021D-3B6D-4E1D-8931-031217D25060}"/>
    <cellStyle name="40% - Accent6 13" xfId="1261" xr:uid="{8C956316-1AAC-4937-A0E5-77A3389584FC}"/>
    <cellStyle name="40% - Accent6 14" xfId="1262" xr:uid="{7F6A6E7F-1F14-4E01-A841-860336A9157C}"/>
    <cellStyle name="40% - Accent6 2 10" xfId="1263" xr:uid="{28B65947-BE95-4B72-B2D5-2B2F51510CF7}"/>
    <cellStyle name="40% - Accent6 2 11" xfId="1264" xr:uid="{8E41B224-8558-490F-87E7-A5DCA1DFDE38}"/>
    <cellStyle name="40% - Accent6 2 12" xfId="1265" xr:uid="{A01AE218-339A-4483-9AB1-D7B4BC9C6E4B}"/>
    <cellStyle name="40% - Accent6 2 13" xfId="1266" xr:uid="{02003691-8CA4-4719-B4E6-4C424C3CEAF5}"/>
    <cellStyle name="40% - Accent6 2 13 10" xfId="1267" xr:uid="{A0D37A96-E0E4-4685-9858-C43F40A172BB}"/>
    <cellStyle name="40% - Accent6 2 13 11" xfId="1268" xr:uid="{F94B9961-1273-47B9-9FCE-F893A06374ED}"/>
    <cellStyle name="40% - Accent6 2 13 12" xfId="1269" xr:uid="{82F4B79F-927E-4E0F-A8BE-26C5B38C8169}"/>
    <cellStyle name="40% - Accent6 2 13 13" xfId="1270" xr:uid="{3911E41C-5315-4CB8-AD32-C5103E895874}"/>
    <cellStyle name="40% - Accent6 2 13 14" xfId="1271" xr:uid="{816326BB-7D8B-40AD-B348-0E3AAD26F977}"/>
    <cellStyle name="40% - Accent6 2 13 15" xfId="1272" xr:uid="{5F1868EE-1789-432D-9686-387DAF40549C}"/>
    <cellStyle name="40% - Accent6 2 13 16" xfId="1273" xr:uid="{91DD2541-4285-4D6E-AE85-44DA8B2F368C}"/>
    <cellStyle name="40% - Accent6 2 13 17" xfId="1274" xr:uid="{31E221A7-1B92-45D9-92D1-7EB0B8539366}"/>
    <cellStyle name="40% - Accent6 2 13 18" xfId="1275" xr:uid="{54EF205B-A0D3-43AE-8ED9-7A6D4387238A}"/>
    <cellStyle name="40% - Accent6 2 13 19" xfId="1276" xr:uid="{9B629135-8E4D-42E8-A620-2B6DD35BE9B3}"/>
    <cellStyle name="40% - Accent6 2 13 2" xfId="1277" xr:uid="{03FE4787-3650-4830-A8E4-1137C03351FC}"/>
    <cellStyle name="40% - Accent6 2 13 20" xfId="1278" xr:uid="{66EDEF1C-E315-4566-AD29-1BDE1EB1ECBC}"/>
    <cellStyle name="40% - Accent6 2 13 21" xfId="1279" xr:uid="{7E7AEF35-E59F-45CE-8D8C-AE601CFA00A5}"/>
    <cellStyle name="40% - Accent6 2 13 22" xfId="1280" xr:uid="{9379AB2E-4038-48D6-8D92-14BB02724BAE}"/>
    <cellStyle name="40% - Accent6 2 13 23" xfId="1281" xr:uid="{5D4D6FD0-CB37-49FD-9986-D4CCFFCB7639}"/>
    <cellStyle name="40% - Accent6 2 13 24" xfId="1282" xr:uid="{AC686462-DB69-43CD-A8AA-4A3588167DE9}"/>
    <cellStyle name="40% - Accent6 2 13 25" xfId="1283" xr:uid="{FE081D54-D134-4A46-83A4-E6CC53328510}"/>
    <cellStyle name="40% - Accent6 2 13 26" xfId="1284" xr:uid="{20B49EB8-F1E0-4CF0-9E26-5ADCBB64A678}"/>
    <cellStyle name="40% - Accent6 2 13 27" xfId="1285" xr:uid="{BEFF796F-A7DF-4208-B235-9ADBF21CD1E3}"/>
    <cellStyle name="40% - Accent6 2 13 28" xfId="1286" xr:uid="{84D30766-B430-433B-885D-AA061B0BE317}"/>
    <cellStyle name="40% - Accent6 2 13 29" xfId="1287" xr:uid="{6771374D-A544-4307-9588-C28A5BEAC01B}"/>
    <cellStyle name="40% - Accent6 2 13 3" xfId="1288" xr:uid="{E469ED22-DD19-4DC3-8962-DC70525F62D8}"/>
    <cellStyle name="40% - Accent6 2 13 30" xfId="1289" xr:uid="{202CC6DE-E9F0-46C1-8015-CA750C36B948}"/>
    <cellStyle name="40% - Accent6 2 13 31" xfId="1290" xr:uid="{BE3DC192-61C0-406E-A2A3-C95966E50DD5}"/>
    <cellStyle name="40% - Accent6 2 13 32" xfId="1291" xr:uid="{A9D3CDC4-2E22-4E67-822F-4C39F78FEA8A}"/>
    <cellStyle name="40% - Accent6 2 13 33" xfId="1292" xr:uid="{D978BB50-396E-40A7-B86F-FF4CB4A6A267}"/>
    <cellStyle name="40% - Accent6 2 13 34" xfId="1293" xr:uid="{6EDCA045-1C3C-4CF7-A2B9-B5DE9B0AA495}"/>
    <cellStyle name="40% - Accent6 2 13 35" xfId="1294" xr:uid="{A8DB7F7B-C9DE-4212-BC39-075239D9ED89}"/>
    <cellStyle name="40% - Accent6 2 13 36" xfId="1295" xr:uid="{084FA5FA-5A97-4CFE-9F28-27C91843DECB}"/>
    <cellStyle name="40% - Accent6 2 13 37" xfId="1296" xr:uid="{8D5AFE63-F69A-424D-9E6D-A3AC79F8B8D2}"/>
    <cellStyle name="40% - Accent6 2 13 38" xfId="1297" xr:uid="{4C57F5F0-16E7-4744-BA78-DF56EAAE266E}"/>
    <cellStyle name="40% - Accent6 2 13 39" xfId="1298" xr:uid="{B890DBEC-C651-46BE-930F-96E35D4BADAD}"/>
    <cellStyle name="40% - Accent6 2 13 4" xfId="1299" xr:uid="{2D4E77A3-5CA3-4B3A-B988-2348B87AA859}"/>
    <cellStyle name="40% - Accent6 2 13 40" xfId="1300" xr:uid="{D3DE1DD6-83A8-4449-A411-F9007519BE88}"/>
    <cellStyle name="40% - Accent6 2 13 41" xfId="1301" xr:uid="{BB90E729-EA2D-4E30-8620-A1B262399F8B}"/>
    <cellStyle name="40% - Accent6 2 13 42" xfId="1302" xr:uid="{D6EBBD48-1EE2-4D6B-B5C6-E4C0C676FCD7}"/>
    <cellStyle name="40% - Accent6 2 13 43" xfId="1303" xr:uid="{692A3649-54C1-4C90-B9AD-7225C6B35F33}"/>
    <cellStyle name="40% - Accent6 2 13 44" xfId="1304" xr:uid="{41A4CC75-2BFD-4118-BE57-B83DF0133F72}"/>
    <cellStyle name="40% - Accent6 2 13 45" xfId="1305" xr:uid="{B137B606-CD8C-432D-92A4-64A474698810}"/>
    <cellStyle name="40% - Accent6 2 13 46" xfId="1306" xr:uid="{26202417-4E06-408D-AAF4-156EDEAF24CE}"/>
    <cellStyle name="40% - Accent6 2 13 47" xfId="1307" xr:uid="{9F7A45FB-0B34-4BB3-BCB3-DE25BF27CF24}"/>
    <cellStyle name="40% - Accent6 2 13 5" xfId="1308" xr:uid="{7E63DA68-DCC5-4671-8C41-EF87AD0777B9}"/>
    <cellStyle name="40% - Accent6 2 13 6" xfId="1309" xr:uid="{CE152FDD-2E7E-4A30-940F-C9323E44E13B}"/>
    <cellStyle name="40% - Accent6 2 13 7" xfId="1310" xr:uid="{DB1379FC-6D39-4162-8141-D7705A3FA67B}"/>
    <cellStyle name="40% - Accent6 2 13 8" xfId="1311" xr:uid="{45A05FEB-55AE-4749-A098-B219AFB6DC4F}"/>
    <cellStyle name="40% - Accent6 2 13 9" xfId="1312" xr:uid="{FC8F08A2-BD57-4551-ADD5-23CFFA79BC6F}"/>
    <cellStyle name="40% - Accent6 2 2" xfId="1313" xr:uid="{FF998460-DD81-43B2-85FB-BAC737AA4307}"/>
    <cellStyle name="40% - Accent6 2 2 10" xfId="1314" xr:uid="{30CADC87-B4BF-4631-923F-58CF7FD936AC}"/>
    <cellStyle name="40% - Accent6 2 2 2" xfId="1315" xr:uid="{A7B8E370-2D6C-4496-967A-93ADD05E1117}"/>
    <cellStyle name="40% - Accent6 2 2 2 2" xfId="1316" xr:uid="{31155861-153E-400B-910B-F0AC878ECF85}"/>
    <cellStyle name="40% - Accent6 2 2 3" xfId="1317" xr:uid="{DB7B4568-91F2-4055-BA50-B608AF997260}"/>
    <cellStyle name="40% - Accent6 2 2 4" xfId="1318" xr:uid="{07E7E92B-2F65-421B-85EA-BE65FF68BCCC}"/>
    <cellStyle name="40% - Accent6 2 2 5" xfId="1319" xr:uid="{AB571767-C6D0-4898-9603-038207E6FD58}"/>
    <cellStyle name="40% - Accent6 2 2 6" xfId="1320" xr:uid="{84C6B7BB-282E-4854-9A81-EA3CFFD421F9}"/>
    <cellStyle name="40% - Accent6 2 2 7" xfId="1321" xr:uid="{C19BA7AE-380F-4F25-B33D-20CCF64DD7B1}"/>
    <cellStyle name="40% - Accent6 2 2 8" xfId="1322" xr:uid="{6C2FE266-1573-44F0-9D08-29C0243C7852}"/>
    <cellStyle name="40% - Accent6 2 2 9" xfId="1323" xr:uid="{722FE7FD-88F5-4059-B460-54720AA1ACF6}"/>
    <cellStyle name="40% - Accent6 2 3" xfId="1324" xr:uid="{BAE35180-34F2-4001-BF6D-66D429251429}"/>
    <cellStyle name="40% - Accent6 2 3 2" xfId="1325" xr:uid="{975A90FC-8815-498A-B048-33A4F90A98FA}"/>
    <cellStyle name="40% - Accent6 2 4" xfId="1326" xr:uid="{56B4F9D3-35A8-4BE0-8C32-6DD7FEB91AEB}"/>
    <cellStyle name="40% - Accent6 2 4 2" xfId="1327" xr:uid="{AD7AFF36-C6F2-4218-9BC7-5D26CF5B155A}"/>
    <cellStyle name="40% - Accent6 2 5" xfId="1328" xr:uid="{7DA68032-06B9-490A-B66B-8A7EF72A4741}"/>
    <cellStyle name="40% - Accent6 2 6" xfId="1329" xr:uid="{9BF951CC-4F97-45DC-BCE3-E109D8D78F5F}"/>
    <cellStyle name="40% - Accent6 2 7" xfId="1330" xr:uid="{C1C03308-3E03-4BD1-8CDA-440F16722BDE}"/>
    <cellStyle name="40% - Accent6 2 8" xfId="1331" xr:uid="{2549C39A-C4B4-47B2-B171-7AB56CAB9E3E}"/>
    <cellStyle name="40% - Accent6 2 9" xfId="1332" xr:uid="{709B82B7-2F87-4628-9339-479B3A7F9D91}"/>
    <cellStyle name="40% - Accent6 3" xfId="1333" xr:uid="{564970E3-4441-4247-844D-C4879CE9649B}"/>
    <cellStyle name="40% - Accent6 3 10" xfId="1334" xr:uid="{131316AF-A7FC-4BAC-8689-0E94EE0B8CAB}"/>
    <cellStyle name="40% - Accent6 3 2" xfId="1335" xr:uid="{04546334-7BDE-4AAF-B0E9-D2F4B03C2CCC}"/>
    <cellStyle name="40% - Accent6 3 3" xfId="1336" xr:uid="{9ABFA01D-17FA-4703-8418-89C4657963B1}"/>
    <cellStyle name="40% - Accent6 3 4" xfId="1337" xr:uid="{B6A35825-B024-4090-BC56-191014092637}"/>
    <cellStyle name="40% - Accent6 3 5" xfId="1338" xr:uid="{5EA30578-05C5-485C-83EF-3B6F953D34A6}"/>
    <cellStyle name="40% - Accent6 3 6" xfId="1339" xr:uid="{B5492B5E-E64E-4F3E-853C-E50626DC39CC}"/>
    <cellStyle name="40% - Accent6 3 7" xfId="1340" xr:uid="{2E0D26E1-E540-4BC6-B82E-C1025D6D7537}"/>
    <cellStyle name="40% - Accent6 3 8" xfId="1341" xr:uid="{EDDDE49E-2A05-4B06-9248-BF0A368C704B}"/>
    <cellStyle name="40% - Accent6 3 9" xfId="1342" xr:uid="{C9C32474-CCF5-4AE1-AB18-F7D71745C33D}"/>
    <cellStyle name="40% - Accent6 4" xfId="1343" xr:uid="{937DA07E-2E39-4A08-9D91-67CD03ADD0EA}"/>
    <cellStyle name="40% - Accent6 4 10" xfId="1344" xr:uid="{FC263531-E8C0-4FA2-8228-7FF0B948306A}"/>
    <cellStyle name="40% - Accent6 4 2" xfId="1345" xr:uid="{8E90A93E-C222-477A-8B9A-84FC1594AABD}"/>
    <cellStyle name="40% - Accent6 4 3" xfId="1346" xr:uid="{75B8886B-8614-4B07-86F0-A68B2AC7DDB9}"/>
    <cellStyle name="40% - Accent6 4 4" xfId="1347" xr:uid="{DF7207BA-1CB7-43BB-BADC-8E73967A1F70}"/>
    <cellStyle name="40% - Accent6 4 5" xfId="1348" xr:uid="{865AC7D7-1377-4DD5-B58C-B10201F7132A}"/>
    <cellStyle name="40% - Accent6 4 6" xfId="1349" xr:uid="{7A76516A-F71A-4E5C-8769-963A79EE3082}"/>
    <cellStyle name="40% - Accent6 4 7" xfId="1350" xr:uid="{9A064E91-7630-43BD-B493-35ACC7860CF6}"/>
    <cellStyle name="40% - Accent6 4 8" xfId="1351" xr:uid="{25BA8486-BCE5-4B4D-AD3C-E9A7246D4691}"/>
    <cellStyle name="40% - Accent6 4 9" xfId="1352" xr:uid="{1264D55E-DB72-49B7-8C09-ED635922E734}"/>
    <cellStyle name="40% - Accent6 5" xfId="1353" xr:uid="{F120331F-2E6E-4775-BFE8-21857983B8C5}"/>
    <cellStyle name="40% - Accent6 5 10" xfId="1354" xr:uid="{EC7C6FEA-55E2-4DEC-9E98-C4DC041FDB1D}"/>
    <cellStyle name="40% - Accent6 5 2" xfId="1355" xr:uid="{7137674D-DB79-4BD1-AE16-23772484E52C}"/>
    <cellStyle name="40% - Accent6 5 3" xfId="1356" xr:uid="{02F6330B-331F-4ADC-9AC2-1FEFE2D42477}"/>
    <cellStyle name="40% - Accent6 5 4" xfId="1357" xr:uid="{606D69FB-A8BA-460B-9903-65D2AB007350}"/>
    <cellStyle name="40% - Accent6 5 5" xfId="1358" xr:uid="{A5AC14FB-B01A-4AC5-AABF-4DEE5E0B1A3F}"/>
    <cellStyle name="40% - Accent6 5 6" xfId="1359" xr:uid="{80961AB7-3120-41CC-A1D8-E6BBDA8A7A88}"/>
    <cellStyle name="40% - Accent6 5 7" xfId="1360" xr:uid="{C664AD75-B3B6-4CA3-919A-08872C00EB56}"/>
    <cellStyle name="40% - Accent6 5 8" xfId="1361" xr:uid="{95801120-5803-478B-81C3-00E2029BF257}"/>
    <cellStyle name="40% - Accent6 5 9" xfId="1362" xr:uid="{667C50B8-173B-4963-B89A-A9E4CB28B8CC}"/>
    <cellStyle name="40% - Accent6 6 2" xfId="1363" xr:uid="{55CA2A3E-45B3-4984-9589-386486A84FCF}"/>
    <cellStyle name="40% - Accent6 7 2" xfId="1364" xr:uid="{9708544D-D3DB-4F78-AE46-26D425B267AE}"/>
    <cellStyle name="40% - Accent6 8" xfId="1365" xr:uid="{245A6D94-21FC-45E3-925B-FB1C8D12F251}"/>
    <cellStyle name="40% - Accent6 9" xfId="1366" xr:uid="{AE7C9167-2E09-4B79-8D02-CC4D215AD989}"/>
    <cellStyle name="60% - Accent1" xfId="5" builtinId="32"/>
    <cellStyle name="60% - Accent1 10" xfId="1367" xr:uid="{721F46FB-9DC8-49B4-B3A5-5E03EB3234DB}"/>
    <cellStyle name="60% - Accent1 11" xfId="1368" xr:uid="{565254F8-3E7A-4D8E-8F39-F67854226679}"/>
    <cellStyle name="60% - Accent1 12" xfId="1369" xr:uid="{E9D71104-D675-4E55-A2FD-3531B67CC4DC}"/>
    <cellStyle name="60% - Accent1 13" xfId="1370" xr:uid="{9122A3B2-CEEC-4E81-AD1C-FA7A648080B0}"/>
    <cellStyle name="60% - Accent1 14" xfId="1371" xr:uid="{711917F6-FA98-46AE-B940-28A5BF393FE2}"/>
    <cellStyle name="60% - Accent1 2" xfId="16745" xr:uid="{3C956A10-F040-421E-B20F-787EA1BB6A10}"/>
    <cellStyle name="60% - Accent1 2 10" xfId="1372" xr:uid="{20E8531F-A90A-4D08-B982-779B209A040A}"/>
    <cellStyle name="60% - Accent1 2 11" xfId="1373" xr:uid="{FB61925A-1E64-4A39-B084-086B0A6B8BC7}"/>
    <cellStyle name="60% - Accent1 2 12" xfId="1374" xr:uid="{6DCFE25D-9063-4B46-AA48-2D91C213FA27}"/>
    <cellStyle name="60% - Accent1 2 13" xfId="1375" xr:uid="{9E89010F-2D9E-4AAC-AA26-A4AA1AF20C53}"/>
    <cellStyle name="60% - Accent1 2 2" xfId="1376" xr:uid="{E3836279-41E4-4355-BD3E-600ABFD76FA7}"/>
    <cellStyle name="60% - Accent1 2 2 10" xfId="1377" xr:uid="{6BCA718C-D451-45A8-9127-80843128B5C3}"/>
    <cellStyle name="60% - Accent1 2 2 2" xfId="1378" xr:uid="{F35908AC-7977-49B0-89DB-61EBD45A78F6}"/>
    <cellStyle name="60% - Accent1 2 2 2 2" xfId="1379" xr:uid="{95EBBDD8-732C-4863-8C23-348CAE1979E0}"/>
    <cellStyle name="60% - Accent1 2 2 3" xfId="1380" xr:uid="{BA1E5931-58D7-426F-B699-82A07938AC58}"/>
    <cellStyle name="60% - Accent1 2 2 4" xfId="1381" xr:uid="{0734FE85-03D9-4160-8CFD-14F2B2EB7F40}"/>
    <cellStyle name="60% - Accent1 2 2 5" xfId="1382" xr:uid="{415D521B-40DB-4337-855D-25495C3403B1}"/>
    <cellStyle name="60% - Accent1 2 2 6" xfId="1383" xr:uid="{8556E0E0-EDD3-445A-9C63-355C5D99E11C}"/>
    <cellStyle name="60% - Accent1 2 2 7" xfId="1384" xr:uid="{5056460C-17CD-4931-9F8C-EEB366E999E5}"/>
    <cellStyle name="60% - Accent1 2 2 8" xfId="1385" xr:uid="{9E1E813E-893B-4D28-B4FB-73B72EB6B1B2}"/>
    <cellStyle name="60% - Accent1 2 2 9" xfId="1386" xr:uid="{A6CF8F6D-D21D-40AF-8FB5-2D4228CEA37A}"/>
    <cellStyle name="60% - Accent1 2 3" xfId="1387" xr:uid="{63BF5C83-8128-46D5-A2CA-92070F72C27B}"/>
    <cellStyle name="60% - Accent1 2 3 2" xfId="1388" xr:uid="{BC75A1E4-556A-4DAF-8550-51D363429602}"/>
    <cellStyle name="60% - Accent1 2 4" xfId="1389" xr:uid="{8DB394CB-438B-4852-B4CA-2740556C62F3}"/>
    <cellStyle name="60% - Accent1 2 4 2" xfId="1390" xr:uid="{22EB65FE-F117-4024-A762-13733B4BEDDC}"/>
    <cellStyle name="60% - Accent1 2 5" xfId="1391" xr:uid="{9A4E370A-78F9-4CC0-B295-48EF082B5271}"/>
    <cellStyle name="60% - Accent1 2 6" xfId="1392" xr:uid="{BFDAE578-B56B-4D03-9B54-D96C7E19A56A}"/>
    <cellStyle name="60% - Accent1 2 7" xfId="1393" xr:uid="{0016323B-586B-4C28-8E9F-B37623F92C73}"/>
    <cellStyle name="60% - Accent1 2 8" xfId="1394" xr:uid="{B8F2BFE8-F4EE-41F8-A318-F486BB79BF03}"/>
    <cellStyle name="60% - Accent1 2 9" xfId="1395" xr:uid="{A93F572A-08BE-4F18-86BE-FB8E1A6AB60D}"/>
    <cellStyle name="60% - Accent1 3" xfId="1396" xr:uid="{A869653A-2FF0-4FD3-895F-ACDF2881B43A}"/>
    <cellStyle name="60% - Accent1 3 10" xfId="1397" xr:uid="{D029D4A9-9877-4B96-961F-9527A61E8082}"/>
    <cellStyle name="60% - Accent1 3 2" xfId="1398" xr:uid="{64E8C7CE-8AD9-49A7-A7C2-7817B4B2152B}"/>
    <cellStyle name="60% - Accent1 3 3" xfId="1399" xr:uid="{142F55C2-E750-44E1-AB2C-8B1225FD7716}"/>
    <cellStyle name="60% - Accent1 3 4" xfId="1400" xr:uid="{56A99065-8367-4727-8205-75B01801D032}"/>
    <cellStyle name="60% - Accent1 3 5" xfId="1401" xr:uid="{BB2410C7-E465-4E64-8BAF-E89687980CB8}"/>
    <cellStyle name="60% - Accent1 3 6" xfId="1402" xr:uid="{788424B9-C9E6-4D98-8A64-AF44BF6E5535}"/>
    <cellStyle name="60% - Accent1 3 7" xfId="1403" xr:uid="{E0D5E590-6A62-4F7B-8C55-8E439977C0C0}"/>
    <cellStyle name="60% - Accent1 3 8" xfId="1404" xr:uid="{AB2F2567-3C51-40EC-8DF9-D22221514BB9}"/>
    <cellStyle name="60% - Accent1 3 9" xfId="1405" xr:uid="{01C1F35F-99AF-4CE7-AE5B-9679EB383EE6}"/>
    <cellStyle name="60% - Accent1 4" xfId="1406" xr:uid="{CE8C4A48-9C94-4477-8613-EEFB2D428AAF}"/>
    <cellStyle name="60% - Accent1 4 10" xfId="1407" xr:uid="{5AC7819E-AAA4-4E5C-9B7D-B1DE5C549151}"/>
    <cellStyle name="60% - Accent1 4 2" xfId="1408" xr:uid="{8E840F01-83CA-4230-8CF0-39DEFEB477E5}"/>
    <cellStyle name="60% - Accent1 4 3" xfId="1409" xr:uid="{40A3B0E3-6765-444C-AE97-E78C35A1F4F1}"/>
    <cellStyle name="60% - Accent1 4 4" xfId="1410" xr:uid="{6E02084A-9EEF-44FD-9C80-EC6813ECB58B}"/>
    <cellStyle name="60% - Accent1 4 5" xfId="1411" xr:uid="{22EA9423-ED41-4F2B-B4ED-4E5BADB72C20}"/>
    <cellStyle name="60% - Accent1 4 6" xfId="1412" xr:uid="{C6FDBE29-8307-45E3-B9E3-94CFC9853BD0}"/>
    <cellStyle name="60% - Accent1 4 7" xfId="1413" xr:uid="{4D512695-AF33-49B7-9850-999D4E2E83BD}"/>
    <cellStyle name="60% - Accent1 4 8" xfId="1414" xr:uid="{AF74D9CD-5823-4AAD-9565-BDB4D23A8A82}"/>
    <cellStyle name="60% - Accent1 4 9" xfId="1415" xr:uid="{D822916E-9D83-43B8-88C3-39714B451EEC}"/>
    <cellStyle name="60% - Accent1 5" xfId="1416" xr:uid="{BAC850C4-FE3C-4AAD-A1C6-3BE193BD3C06}"/>
    <cellStyle name="60% - Accent1 5 10" xfId="1417" xr:uid="{4872BA23-229C-4431-BD97-E781E5EC8048}"/>
    <cellStyle name="60% - Accent1 5 2" xfId="1418" xr:uid="{1D8ABC07-282C-41B5-8C13-E20C4A35BBF7}"/>
    <cellStyle name="60% - Accent1 5 3" xfId="1419" xr:uid="{29C8A56B-9075-4B73-9D26-730F2A9BB6E9}"/>
    <cellStyle name="60% - Accent1 5 4" xfId="1420" xr:uid="{42DE4DDB-A7B6-452E-9082-B03D3D3B6638}"/>
    <cellStyle name="60% - Accent1 5 5" xfId="1421" xr:uid="{68B304E3-5731-48B9-A7FE-DC51F49A82C3}"/>
    <cellStyle name="60% - Accent1 5 6" xfId="1422" xr:uid="{CD3C6D30-7F33-472F-AE48-97B879461857}"/>
    <cellStyle name="60% - Accent1 5 7" xfId="1423" xr:uid="{AC19B0DC-9605-45A7-8580-85F99001EC9F}"/>
    <cellStyle name="60% - Accent1 5 8" xfId="1424" xr:uid="{82A0CF0E-88AF-4633-B9D2-7DFB7D121CC6}"/>
    <cellStyle name="60% - Accent1 5 9" xfId="1425" xr:uid="{8CCF97A6-2375-4218-AB87-D2B692D0BACF}"/>
    <cellStyle name="60% - Accent1 6" xfId="55" xr:uid="{94CDC135-00C0-4B98-B331-EAB305582E19}"/>
    <cellStyle name="60% - Accent1 6 2" xfId="1426" xr:uid="{46F5C377-AFB6-4E79-A4C8-C426941CAF63}"/>
    <cellStyle name="60% - Accent1 7 2" xfId="1427" xr:uid="{126B5DED-B18F-4A1D-AC13-B017E256DBC6}"/>
    <cellStyle name="60% - Accent1 8" xfId="1428" xr:uid="{5038C7A4-01DA-4EEA-88DC-83A073293ECD}"/>
    <cellStyle name="60% - Accent1 9" xfId="1429" xr:uid="{B2E59A35-9C5A-4BC5-9FE7-37655CDBBE4A}"/>
    <cellStyle name="60% - Accent2" xfId="28" builtinId="36" customBuiltin="1"/>
    <cellStyle name="60% - Accent2 10" xfId="1430" xr:uid="{69E62234-5308-4C05-998E-6BA23F5BBD47}"/>
    <cellStyle name="60% - Accent2 11" xfId="1431" xr:uid="{5BF5F1C4-777E-4ADC-A8CB-8AA572F1C8DD}"/>
    <cellStyle name="60% - Accent2 12" xfId="1432" xr:uid="{6A029A57-227B-4F26-9939-809B68084411}"/>
    <cellStyle name="60% - Accent2 13" xfId="1433" xr:uid="{80375166-3CE9-43DC-AD18-AC261C3A775A}"/>
    <cellStyle name="60% - Accent2 14" xfId="1434" xr:uid="{9C68364B-A5CC-4977-8B6C-6761F55B5B93}"/>
    <cellStyle name="60% - Accent2 2" xfId="16746" xr:uid="{591611C8-834B-4145-9AE1-3BF9C35D39E3}"/>
    <cellStyle name="60% - Accent2 2 10" xfId="1435" xr:uid="{8D99CA3E-8E09-4B26-91E0-59BB787A5347}"/>
    <cellStyle name="60% - Accent2 2 11" xfId="1436" xr:uid="{29103D7E-4A02-4ECD-923C-9210065A187A}"/>
    <cellStyle name="60% - Accent2 2 12" xfId="1437" xr:uid="{8B557A2C-C048-4C81-908C-A7CA22362FFA}"/>
    <cellStyle name="60% - Accent2 2 13" xfId="1438" xr:uid="{04196839-BF96-44AA-A944-A58F48A5F89A}"/>
    <cellStyle name="60% - Accent2 2 2" xfId="1439" xr:uid="{EACEF1E8-D7F6-4192-88ED-D192B554C911}"/>
    <cellStyle name="60% - Accent2 2 2 10" xfId="1440" xr:uid="{40CBCC98-7B2C-4BB3-AC0B-99CA860B6492}"/>
    <cellStyle name="60% - Accent2 2 2 2" xfId="1441" xr:uid="{BB9A9D45-B7C9-4A27-B8ED-5181E0630247}"/>
    <cellStyle name="60% - Accent2 2 2 2 2" xfId="1442" xr:uid="{E87FBE68-9334-448C-9C56-085E1342C3B1}"/>
    <cellStyle name="60% - Accent2 2 2 3" xfId="1443" xr:uid="{2F0F57EF-B739-4A1D-8B36-558418F05BA0}"/>
    <cellStyle name="60% - Accent2 2 2 4" xfId="1444" xr:uid="{E31A7D57-E79D-4968-AAA9-427213DA4D7E}"/>
    <cellStyle name="60% - Accent2 2 2 5" xfId="1445" xr:uid="{174BA29C-53C3-4B26-A10C-D979CA72D6CE}"/>
    <cellStyle name="60% - Accent2 2 2 6" xfId="1446" xr:uid="{B372C4A9-BD38-48EE-B3A1-C3403F903CD7}"/>
    <cellStyle name="60% - Accent2 2 2 7" xfId="1447" xr:uid="{9AB9AE39-0991-4C9C-8246-3DBFF1362335}"/>
    <cellStyle name="60% - Accent2 2 2 8" xfId="1448" xr:uid="{5F48C8C5-A0B3-454F-A202-EED0732962BB}"/>
    <cellStyle name="60% - Accent2 2 2 9" xfId="1449" xr:uid="{9D8B11F2-798F-445B-85BF-B5F6C98B97B8}"/>
    <cellStyle name="60% - Accent2 2 3" xfId="1450" xr:uid="{1DBF6600-8847-45D7-8FF3-C0BC0EA2D646}"/>
    <cellStyle name="60% - Accent2 2 3 2" xfId="1451" xr:uid="{A7387327-D185-43A1-8E8D-DF0DD9364767}"/>
    <cellStyle name="60% - Accent2 2 4" xfId="1452" xr:uid="{C395CFA5-C374-4F13-BD0C-EF0D4053B691}"/>
    <cellStyle name="60% - Accent2 2 4 2" xfId="1453" xr:uid="{F98212B0-2669-40D2-AF6B-A4D118B3438F}"/>
    <cellStyle name="60% - Accent2 2 5" xfId="1454" xr:uid="{4C3DD276-CF25-499C-8167-36AE84AD0F6C}"/>
    <cellStyle name="60% - Accent2 2 6" xfId="1455" xr:uid="{56598599-39EE-4F92-95A0-1BA723BBFD0E}"/>
    <cellStyle name="60% - Accent2 2 7" xfId="1456" xr:uid="{15371B95-8C8E-4019-AE1C-BCAA4DC8F732}"/>
    <cellStyle name="60% - Accent2 2 8" xfId="1457" xr:uid="{4E6236BA-0D97-47A3-A959-F2B780C5DBEB}"/>
    <cellStyle name="60% - Accent2 2 9" xfId="1458" xr:uid="{2F9B7E37-0175-46E1-B00A-68508A53414A}"/>
    <cellStyle name="60% - Accent2 3" xfId="1459" xr:uid="{A18C1733-A74B-4792-AEDA-922AD0F696FE}"/>
    <cellStyle name="60% - Accent2 3 10" xfId="1460" xr:uid="{A9DC13A0-6DED-4FC9-AF5F-E278EA2D7542}"/>
    <cellStyle name="60% - Accent2 3 2" xfId="1461" xr:uid="{0462C428-68E6-494F-A0CC-4C684025FFF0}"/>
    <cellStyle name="60% - Accent2 3 3" xfId="1462" xr:uid="{54EAD2AC-BC7C-4BCF-9599-4D9DAD870F07}"/>
    <cellStyle name="60% - Accent2 3 4" xfId="1463" xr:uid="{672158FD-F562-45BD-8C82-679AFC67F814}"/>
    <cellStyle name="60% - Accent2 3 5" xfId="1464" xr:uid="{80A986F3-7158-4BFE-A93F-731DD9571214}"/>
    <cellStyle name="60% - Accent2 3 6" xfId="1465" xr:uid="{6691CEBE-7764-4D9D-8166-415F2B20BFF6}"/>
    <cellStyle name="60% - Accent2 3 7" xfId="1466" xr:uid="{8905A0AB-4489-45C0-80FF-B2B86C75F918}"/>
    <cellStyle name="60% - Accent2 3 8" xfId="1467" xr:uid="{34EFA8CF-9B57-4433-875C-74E758DDBC54}"/>
    <cellStyle name="60% - Accent2 3 9" xfId="1468" xr:uid="{E10DDDE5-2D68-42DA-AFE8-04D61292F472}"/>
    <cellStyle name="60% - Accent2 4" xfId="1469" xr:uid="{8F48E215-28D6-4DDD-88B3-C79BC853B098}"/>
    <cellStyle name="60% - Accent2 4 10" xfId="1470" xr:uid="{B9480F9F-5B97-4F37-A9C2-28BF235B35C4}"/>
    <cellStyle name="60% - Accent2 4 2" xfId="1471" xr:uid="{2B54A11D-DE70-425C-B556-7207EB14AFB8}"/>
    <cellStyle name="60% - Accent2 4 3" xfId="1472" xr:uid="{DBB9218C-43E8-4BD2-B405-ABD1E6B2D6ED}"/>
    <cellStyle name="60% - Accent2 4 4" xfId="1473" xr:uid="{9B95B916-823C-4040-BF64-251640F768BE}"/>
    <cellStyle name="60% - Accent2 4 5" xfId="1474" xr:uid="{0A27F298-821E-4BC9-BD02-59DEAF1938DA}"/>
    <cellStyle name="60% - Accent2 4 6" xfId="1475" xr:uid="{F3E04009-AB94-4DED-9025-3AB90711CD67}"/>
    <cellStyle name="60% - Accent2 4 7" xfId="1476" xr:uid="{1B1C9BD1-B1E9-444E-9478-9B8CD67A1860}"/>
    <cellStyle name="60% - Accent2 4 8" xfId="1477" xr:uid="{7902402F-35EB-4355-AAC5-292516883CDB}"/>
    <cellStyle name="60% - Accent2 4 9" xfId="1478" xr:uid="{B5A74E8D-E1B8-4D42-816B-D8C845183706}"/>
    <cellStyle name="60% - Accent2 5" xfId="1479" xr:uid="{145AA446-58D8-48F7-A8BB-227BCE1EBD93}"/>
    <cellStyle name="60% - Accent2 5 10" xfId="1480" xr:uid="{B4521C63-A452-4C87-BD57-A12699ABC36D}"/>
    <cellStyle name="60% - Accent2 5 2" xfId="1481" xr:uid="{0F8F1630-D027-463E-9EA5-4D95CF046B64}"/>
    <cellStyle name="60% - Accent2 5 3" xfId="1482" xr:uid="{792932C5-4282-4351-81D1-679B949465CC}"/>
    <cellStyle name="60% - Accent2 5 4" xfId="1483" xr:uid="{29EB38C7-1F7A-469F-928E-5697F28B2BBB}"/>
    <cellStyle name="60% - Accent2 5 5" xfId="1484" xr:uid="{D9224710-9918-43D0-BA16-5B168F274F25}"/>
    <cellStyle name="60% - Accent2 5 6" xfId="1485" xr:uid="{8B2FB298-10E8-42D5-9E36-326B8DC51B92}"/>
    <cellStyle name="60% - Accent2 5 7" xfId="1486" xr:uid="{4D9E2BC6-4992-4308-846E-0F6C712E2FB7}"/>
    <cellStyle name="60% - Accent2 5 8" xfId="1487" xr:uid="{7B9A8AB6-36BB-44EB-B2A7-36659F6223A6}"/>
    <cellStyle name="60% - Accent2 5 9" xfId="1488" xr:uid="{2452250B-0003-4994-B676-8E159992FA92}"/>
    <cellStyle name="60% - Accent2 6 2" xfId="1489" xr:uid="{3F13F2E4-B5D3-40EA-ABFB-BE009ED109DB}"/>
    <cellStyle name="60% - Accent2 7 2" xfId="1490" xr:uid="{F4F30563-B2B3-40BB-A34D-106A351194DF}"/>
    <cellStyle name="60% - Accent2 8" xfId="1491" xr:uid="{4A32BD7B-C031-4E03-98DA-7B8D544C83A9}"/>
    <cellStyle name="60% - Accent2 9" xfId="1492" xr:uid="{FEA22EB4-E674-4439-93FA-F9E74DE0BED9}"/>
    <cellStyle name="60% - Accent3" xfId="32" builtinId="40" customBuiltin="1"/>
    <cellStyle name="60% - Accent3 10" xfId="1493" xr:uid="{4E305FA9-274D-4497-B23A-E4B7087A8B45}"/>
    <cellStyle name="60% - Accent3 11" xfId="1494" xr:uid="{793A8825-21CB-403E-BC43-605A7C10BF0D}"/>
    <cellStyle name="60% - Accent3 12" xfId="1495" xr:uid="{90349868-4776-4F7D-A775-BC1E5E7AC90E}"/>
    <cellStyle name="60% - Accent3 13" xfId="1496" xr:uid="{BD9C8F6B-232E-486F-A3A3-50766A7F123D}"/>
    <cellStyle name="60% - Accent3 14" xfId="1497" xr:uid="{583C0230-D825-495C-A5F1-E5EC4CBEB167}"/>
    <cellStyle name="60% - Accent3 2" xfId="16747" xr:uid="{DE64751F-7FF9-4059-AE8A-FC730ED68359}"/>
    <cellStyle name="60% - Accent3 2 10" xfId="1498" xr:uid="{0BFCDC8D-2DBA-4DE6-87A0-1CDA0738A20F}"/>
    <cellStyle name="60% - Accent3 2 11" xfId="1499" xr:uid="{4A3E4FAD-CD79-4B29-9A44-28F7D20873ED}"/>
    <cellStyle name="60% - Accent3 2 12" xfId="1500" xr:uid="{1DBF0235-F2A4-4D42-A741-0D72134E98D6}"/>
    <cellStyle name="60% - Accent3 2 13" xfId="1501" xr:uid="{10F0AB29-0A10-4B49-8745-2CB80EC44431}"/>
    <cellStyle name="60% - Accent3 2 2" xfId="1502" xr:uid="{FB665DB6-8650-4297-98BC-8B9DB182A53A}"/>
    <cellStyle name="60% - Accent3 2 2 10" xfId="1503" xr:uid="{5DCF1FFB-F51E-4C9D-9404-D3DDE7AFF781}"/>
    <cellStyle name="60% - Accent3 2 2 2" xfId="1504" xr:uid="{BD715DE2-94F7-46B1-8132-98035B8FD8E3}"/>
    <cellStyle name="60% - Accent3 2 2 2 2" xfId="1505" xr:uid="{329A4996-04E3-4280-A74D-51649199A08C}"/>
    <cellStyle name="60% - Accent3 2 2 3" xfId="1506" xr:uid="{363B1C51-D330-4A6E-AEFA-60D65AC80AAF}"/>
    <cellStyle name="60% - Accent3 2 2 4" xfId="1507" xr:uid="{A1A9CD55-C4A5-4655-8755-BCA90D801177}"/>
    <cellStyle name="60% - Accent3 2 2 5" xfId="1508" xr:uid="{F447DA08-665F-4BC7-9D47-129B89DB0072}"/>
    <cellStyle name="60% - Accent3 2 2 6" xfId="1509" xr:uid="{1482DF89-3579-4F6B-950D-C0333A3E28CA}"/>
    <cellStyle name="60% - Accent3 2 2 7" xfId="1510" xr:uid="{5EC6E845-A535-417C-805E-9DCEB979F34E}"/>
    <cellStyle name="60% - Accent3 2 2 8" xfId="1511" xr:uid="{66E543F4-0504-41A2-89C3-90AEB698116A}"/>
    <cellStyle name="60% - Accent3 2 2 9" xfId="1512" xr:uid="{E1DDB060-726A-4FA3-A456-E8D4DBB6C433}"/>
    <cellStyle name="60% - Accent3 2 3" xfId="1513" xr:uid="{050CA43D-1B2B-4068-98C6-0120BDD8EC36}"/>
    <cellStyle name="60% - Accent3 2 3 2" xfId="1514" xr:uid="{F159C616-C980-4C19-8D22-4CAE16477AB7}"/>
    <cellStyle name="60% - Accent3 2 4" xfId="1515" xr:uid="{DD4D9B46-E489-41C7-9FA6-9384901C5F0E}"/>
    <cellStyle name="60% - Accent3 2 4 2" xfId="1516" xr:uid="{D27DBC8D-7027-4B35-BA7A-6EF393C8CF51}"/>
    <cellStyle name="60% - Accent3 2 5" xfId="1517" xr:uid="{C1957340-1E08-4D38-A616-71A38675EBE6}"/>
    <cellStyle name="60% - Accent3 2 6" xfId="1518" xr:uid="{6B5BE051-7077-4A74-81E3-AB25BE4BA6E2}"/>
    <cellStyle name="60% - Accent3 2 7" xfId="1519" xr:uid="{047CDAB8-F803-4C77-AB1A-2E68E392208C}"/>
    <cellStyle name="60% - Accent3 2 8" xfId="1520" xr:uid="{AB771D3A-0C4B-4206-AF28-12FC7BE273A7}"/>
    <cellStyle name="60% - Accent3 2 9" xfId="1521" xr:uid="{C713635E-A54C-4641-9480-398132391E4B}"/>
    <cellStyle name="60% - Accent3 3" xfId="1522" xr:uid="{236726C7-53F7-4961-8080-94F15A815A90}"/>
    <cellStyle name="60% - Accent3 3 10" xfId="1523" xr:uid="{A2997BDA-9DE3-4BB7-AF17-D905F5D45DAA}"/>
    <cellStyle name="60% - Accent3 3 2" xfId="1524" xr:uid="{7268A3DA-39E3-4BF1-9DD1-4F32F782AB19}"/>
    <cellStyle name="60% - Accent3 3 3" xfId="1525" xr:uid="{907FA862-4A11-4FF8-8268-BBB394347C88}"/>
    <cellStyle name="60% - Accent3 3 4" xfId="1526" xr:uid="{FC66E546-62E9-4CEA-B212-630DA01E7FE0}"/>
    <cellStyle name="60% - Accent3 3 5" xfId="1527" xr:uid="{C341AA46-B397-437A-ABD9-8993AA5F2B52}"/>
    <cellStyle name="60% - Accent3 3 6" xfId="1528" xr:uid="{7DE4C9F5-9F38-426B-ACDF-1E923817BD35}"/>
    <cellStyle name="60% - Accent3 3 7" xfId="1529" xr:uid="{B847D46F-1D57-4755-B10D-99EA21A47BF1}"/>
    <cellStyle name="60% - Accent3 3 8" xfId="1530" xr:uid="{DDA9FF22-1D0F-465E-9701-B1730A63ABA7}"/>
    <cellStyle name="60% - Accent3 3 9" xfId="1531" xr:uid="{DF631994-1F31-40E0-8485-6782660EFEFA}"/>
    <cellStyle name="60% - Accent3 4" xfId="1532" xr:uid="{542EDF32-20F9-46F2-8992-A24D12491E3F}"/>
    <cellStyle name="60% - Accent3 4 10" xfId="1533" xr:uid="{0E535C02-5676-4083-B24F-A91B0CA0ECFA}"/>
    <cellStyle name="60% - Accent3 4 2" xfId="1534" xr:uid="{7AE71185-EBC2-40A2-81A9-D21F2450C980}"/>
    <cellStyle name="60% - Accent3 4 3" xfId="1535" xr:uid="{9100F4F3-44B6-4558-A705-2B22A1293E5E}"/>
    <cellStyle name="60% - Accent3 4 4" xfId="1536" xr:uid="{2D34E829-98E6-40EE-BA82-3BED5F192764}"/>
    <cellStyle name="60% - Accent3 4 5" xfId="1537" xr:uid="{32DA0908-6C94-4792-A609-D61619960986}"/>
    <cellStyle name="60% - Accent3 4 6" xfId="1538" xr:uid="{48C261D6-9804-4212-B2D1-D39BD2CA768B}"/>
    <cellStyle name="60% - Accent3 4 7" xfId="1539" xr:uid="{1CD16C0C-5E56-4495-82D0-FC5F92F44658}"/>
    <cellStyle name="60% - Accent3 4 8" xfId="1540" xr:uid="{C3A995FC-DDBF-4327-9195-487E885B8FFA}"/>
    <cellStyle name="60% - Accent3 4 9" xfId="1541" xr:uid="{D3CFD59C-D36B-4D01-A850-8822172F405D}"/>
    <cellStyle name="60% - Accent3 5" xfId="1542" xr:uid="{EDB7B926-6FED-411D-BE30-8B18AF13CF8B}"/>
    <cellStyle name="60% - Accent3 5 10" xfId="1543" xr:uid="{B0AD74DF-44EF-4A5C-9FF1-8EC2921DB7F6}"/>
    <cellStyle name="60% - Accent3 5 2" xfId="1544" xr:uid="{43D08A81-B246-4D74-B1D9-A561C46CEDFA}"/>
    <cellStyle name="60% - Accent3 5 3" xfId="1545" xr:uid="{A23C0B2A-874C-4651-BD30-AB71E4B00168}"/>
    <cellStyle name="60% - Accent3 5 4" xfId="1546" xr:uid="{EBC58C27-86CE-4141-873D-CE021DA2869C}"/>
    <cellStyle name="60% - Accent3 5 5" xfId="1547" xr:uid="{E6440F0B-0BBA-4BD5-AD1D-6D239715FAA2}"/>
    <cellStyle name="60% - Accent3 5 6" xfId="1548" xr:uid="{30DFB360-D762-4E26-B33E-4076B6B35104}"/>
    <cellStyle name="60% - Accent3 5 7" xfId="1549" xr:uid="{3AC9F24B-004E-4C25-81EE-872BDD6ABAC7}"/>
    <cellStyle name="60% - Accent3 5 8" xfId="1550" xr:uid="{03BFAA44-B65B-434A-8725-0100A0C9306E}"/>
    <cellStyle name="60% - Accent3 5 9" xfId="1551" xr:uid="{63186AEB-EF20-471F-8659-7AC45A0CCC19}"/>
    <cellStyle name="60% - Accent3 6 2" xfId="1552" xr:uid="{444CEF7E-2B61-42EE-9077-05EF04512501}"/>
    <cellStyle name="60% - Accent3 7 2" xfId="1553" xr:uid="{E99DA6FE-DB46-43D2-89FD-3F292545B32C}"/>
    <cellStyle name="60% - Accent3 8" xfId="1554" xr:uid="{FF47CC97-DF9E-4C5F-8B81-866661A45ACF}"/>
    <cellStyle name="60% - Accent3 9" xfId="1555" xr:uid="{C86EA3E5-FADC-4D54-802B-47CFCE425652}"/>
    <cellStyle name="60% - Accent4" xfId="36" builtinId="44" customBuiltin="1"/>
    <cellStyle name="60% - Accent4 10" xfId="1556" xr:uid="{FA7DE2A3-AE4A-4884-BF60-A86C451AF8FF}"/>
    <cellStyle name="60% - Accent4 11" xfId="1557" xr:uid="{0B821DD1-0D58-4F26-B589-DDECD722BC02}"/>
    <cellStyle name="60% - Accent4 12" xfId="1558" xr:uid="{8CAEB35C-E078-4D27-B03B-F93406B3AF87}"/>
    <cellStyle name="60% - Accent4 13" xfId="1559" xr:uid="{888A3E98-AFD5-4C68-BD78-CAD7A48DE965}"/>
    <cellStyle name="60% - Accent4 14" xfId="1560" xr:uid="{0DBE4376-D03F-4111-86AA-28BDB9018463}"/>
    <cellStyle name="60% - Accent4 2" xfId="16748" xr:uid="{FE63432F-2EEF-4ACA-A12D-B2C33BBF2768}"/>
    <cellStyle name="60% - Accent4 2 10" xfId="1561" xr:uid="{46D46E2C-7AEE-493D-A0D7-D5757BF0F08E}"/>
    <cellStyle name="60% - Accent4 2 11" xfId="1562" xr:uid="{678AF7C1-E38B-4851-B5FA-DE17F76D7708}"/>
    <cellStyle name="60% - Accent4 2 12" xfId="1563" xr:uid="{F7E6CD6F-EBD3-4F94-9FA6-34A22F55F39D}"/>
    <cellStyle name="60% - Accent4 2 13" xfId="1564" xr:uid="{F6CEC402-F4F9-47DA-8621-35C80CF9BB60}"/>
    <cellStyle name="60% - Accent4 2 2" xfId="1565" xr:uid="{B3C396CC-3A53-4836-AEC5-63CF30A110D2}"/>
    <cellStyle name="60% - Accent4 2 2 10" xfId="1566" xr:uid="{64FA0223-5606-408E-84CC-BF27E02E54BE}"/>
    <cellStyle name="60% - Accent4 2 2 2" xfId="1567" xr:uid="{816E93B4-8CC3-429F-89E2-F26A31A8B011}"/>
    <cellStyle name="60% - Accent4 2 2 2 2" xfId="1568" xr:uid="{44F65864-A67C-4E56-9988-80A97C2501A7}"/>
    <cellStyle name="60% - Accent4 2 2 3" xfId="1569" xr:uid="{AB998246-311B-491C-9107-ED72B26B8410}"/>
    <cellStyle name="60% - Accent4 2 2 4" xfId="1570" xr:uid="{2C5243E8-687E-4693-8A22-B0D3F49315A6}"/>
    <cellStyle name="60% - Accent4 2 2 5" xfId="1571" xr:uid="{595B3255-2931-42C9-8E15-340D4ABFC71B}"/>
    <cellStyle name="60% - Accent4 2 2 6" xfId="1572" xr:uid="{4E53C17D-426E-4525-BE14-6A9A4D23984A}"/>
    <cellStyle name="60% - Accent4 2 2 7" xfId="1573" xr:uid="{7FB2960F-6BBD-4D90-916C-D05286B2A33B}"/>
    <cellStyle name="60% - Accent4 2 2 8" xfId="1574" xr:uid="{63900248-1F7B-4292-AE03-E040F145D957}"/>
    <cellStyle name="60% - Accent4 2 2 9" xfId="1575" xr:uid="{92D5EB8C-392C-4D24-81D1-3BF4C1098F98}"/>
    <cellStyle name="60% - Accent4 2 3" xfId="1576" xr:uid="{127C42F6-610B-487A-878C-97937D3BF4DF}"/>
    <cellStyle name="60% - Accent4 2 3 2" xfId="1577" xr:uid="{A3915B17-ED9E-48FD-8729-A20B02F36810}"/>
    <cellStyle name="60% - Accent4 2 4" xfId="1578" xr:uid="{C36D5AD1-8004-4B56-B991-67DBA1C9C62C}"/>
    <cellStyle name="60% - Accent4 2 4 2" xfId="1579" xr:uid="{CC7EA23D-A35F-4CC9-B7E4-EC2F40425512}"/>
    <cellStyle name="60% - Accent4 2 5" xfId="1580" xr:uid="{80DAF6FD-87DA-40BE-B278-34E2D74A233F}"/>
    <cellStyle name="60% - Accent4 2 6" xfId="1581" xr:uid="{8BAF3B90-A9AC-4A48-B6EC-3FC08FABA3D4}"/>
    <cellStyle name="60% - Accent4 2 7" xfId="1582" xr:uid="{54198B86-F931-49CC-85A6-1E892FA2D42D}"/>
    <cellStyle name="60% - Accent4 2 8" xfId="1583" xr:uid="{512E14C1-AFBE-4385-8703-BE03744AD63A}"/>
    <cellStyle name="60% - Accent4 2 9" xfId="1584" xr:uid="{DC1C5DFF-29AE-46CC-95C9-A0F1A569120D}"/>
    <cellStyle name="60% - Accent4 3" xfId="1585" xr:uid="{E9363169-5311-4CAE-A2D3-266C84F283D4}"/>
    <cellStyle name="60% - Accent4 3 10" xfId="1586" xr:uid="{96BADF9D-2912-47EA-8DBA-800098EECD86}"/>
    <cellStyle name="60% - Accent4 3 2" xfId="1587" xr:uid="{CB40CFA8-35A8-4889-AC68-A76EF59E3194}"/>
    <cellStyle name="60% - Accent4 3 3" xfId="1588" xr:uid="{BE843B92-A823-4EBC-B462-20E706013403}"/>
    <cellStyle name="60% - Accent4 3 4" xfId="1589" xr:uid="{164BA013-3544-4005-BE97-22D8175997A5}"/>
    <cellStyle name="60% - Accent4 3 5" xfId="1590" xr:uid="{16BD8A4C-523B-46C6-A197-CAEAF24A3E07}"/>
    <cellStyle name="60% - Accent4 3 6" xfId="1591" xr:uid="{521E17B1-917A-4E2F-A0E6-879C4BE08721}"/>
    <cellStyle name="60% - Accent4 3 7" xfId="1592" xr:uid="{258FEFBA-2BE8-44E3-8E9F-F09B09D1ADBE}"/>
    <cellStyle name="60% - Accent4 3 8" xfId="1593" xr:uid="{6075FC1F-EE7C-4F01-AA2A-4E32B21D8E05}"/>
    <cellStyle name="60% - Accent4 3 9" xfId="1594" xr:uid="{EB0CF610-116C-4AED-802F-C6897ABC9D04}"/>
    <cellStyle name="60% - Accent4 4" xfId="1595" xr:uid="{FBFA3007-84C2-4D88-8577-CA0DDB63CEBE}"/>
    <cellStyle name="60% - Accent4 4 10" xfId="1596" xr:uid="{AAFA0369-D4A5-4827-A5AA-636CC96F8392}"/>
    <cellStyle name="60% - Accent4 4 2" xfId="1597" xr:uid="{A8CBAA06-F66A-43BA-97E6-E107C38778D8}"/>
    <cellStyle name="60% - Accent4 4 3" xfId="1598" xr:uid="{67547963-3E6D-4F93-83A6-383418C691A4}"/>
    <cellStyle name="60% - Accent4 4 4" xfId="1599" xr:uid="{D3B339C6-8CC8-4CC9-8206-AB78803A9FF1}"/>
    <cellStyle name="60% - Accent4 4 5" xfId="1600" xr:uid="{95BC92F5-8A4E-4AAA-93D7-65F19FBFC220}"/>
    <cellStyle name="60% - Accent4 4 6" xfId="1601" xr:uid="{5670698E-D53C-4FAA-B21D-47BF50EF3332}"/>
    <cellStyle name="60% - Accent4 4 7" xfId="1602" xr:uid="{8CB85E0B-7EAE-42EF-8FC4-19A839F2579D}"/>
    <cellStyle name="60% - Accent4 4 8" xfId="1603" xr:uid="{85EA1C07-6C08-4BA0-9C55-074635CA52E5}"/>
    <cellStyle name="60% - Accent4 4 9" xfId="1604" xr:uid="{9915C7F8-C8D1-4C20-8F92-34BC5A89E0F3}"/>
    <cellStyle name="60% - Accent4 5" xfId="1605" xr:uid="{0490435C-7EDD-4791-859B-416C7C87E5B1}"/>
    <cellStyle name="60% - Accent4 5 10" xfId="1606" xr:uid="{EBCA06E8-7ACC-408C-9CE5-00B28964BC96}"/>
    <cellStyle name="60% - Accent4 5 2" xfId="1607" xr:uid="{263D958E-CE1A-44F1-BEBE-FCCEF8325EC9}"/>
    <cellStyle name="60% - Accent4 5 3" xfId="1608" xr:uid="{B88B62AB-E795-47B9-B227-C0734614A4C0}"/>
    <cellStyle name="60% - Accent4 5 4" xfId="1609" xr:uid="{6A816085-1C0A-4FDD-B492-E3F191F3A768}"/>
    <cellStyle name="60% - Accent4 5 5" xfId="1610" xr:uid="{51A096EA-27B0-420F-9118-93DF62BFD5C9}"/>
    <cellStyle name="60% - Accent4 5 6" xfId="1611" xr:uid="{C97814E2-867B-4FDE-905D-AB0A3F4EFEB5}"/>
    <cellStyle name="60% - Accent4 5 7" xfId="1612" xr:uid="{5A201E23-9366-44B0-8E8A-228BDE80C892}"/>
    <cellStyle name="60% - Accent4 5 8" xfId="1613" xr:uid="{B0437C26-E661-4532-AC02-44FAF3B41D76}"/>
    <cellStyle name="60% - Accent4 5 9" xfId="1614" xr:uid="{7F99DE03-97C0-4C3F-AA00-5E0EFD4E6EB3}"/>
    <cellStyle name="60% - Accent4 6 2" xfId="1615" xr:uid="{02BBD6D8-BE83-45BE-89E3-35AE61C39D82}"/>
    <cellStyle name="60% - Accent4 7 2" xfId="1616" xr:uid="{C3556CEC-C711-4414-A17A-63E6CCD4ED00}"/>
    <cellStyle name="60% - Accent4 8" xfId="1617" xr:uid="{B214327A-EE13-473C-B06C-EDDD19D992FA}"/>
    <cellStyle name="60% - Accent4 9" xfId="1618" xr:uid="{0581F20E-94F2-4C52-B172-AB6B8C1BA173}"/>
    <cellStyle name="60% - Accent5" xfId="40" builtinId="48" customBuiltin="1"/>
    <cellStyle name="60% - Accent5 10" xfId="1619" xr:uid="{58FDB233-12E3-49EC-AC64-734A1DFE936F}"/>
    <cellStyle name="60% - Accent5 11" xfId="1620" xr:uid="{286350D7-473E-4AAB-AA83-2A62F31B0195}"/>
    <cellStyle name="60% - Accent5 12" xfId="1621" xr:uid="{6C473097-30AA-4847-9B89-6EDC2A5B905F}"/>
    <cellStyle name="60% - Accent5 13" xfId="1622" xr:uid="{2A76C63B-5400-4810-B56D-42D19F6766DE}"/>
    <cellStyle name="60% - Accent5 14" xfId="1623" xr:uid="{C710E420-C89D-42C2-843A-A647288336B5}"/>
    <cellStyle name="60% - Accent5 2" xfId="16749" xr:uid="{3B321447-78EB-49BF-B1C1-C24CEA6251BC}"/>
    <cellStyle name="60% - Accent5 2 10" xfId="1624" xr:uid="{80172115-95FD-4EC6-875C-4A2DD410D301}"/>
    <cellStyle name="60% - Accent5 2 11" xfId="1625" xr:uid="{D30CDF4D-58E2-4CA4-9576-E7B8ED1A11E1}"/>
    <cellStyle name="60% - Accent5 2 12" xfId="1626" xr:uid="{437759B5-2B98-4F35-B5F1-C8C7B1AA358E}"/>
    <cellStyle name="60% - Accent5 2 13" xfId="1627" xr:uid="{8D0B07F7-2DC5-4411-B467-9BA273874A0A}"/>
    <cellStyle name="60% - Accent5 2 2" xfId="1628" xr:uid="{A01F033A-EED9-4A75-AFA4-B005CD1E0005}"/>
    <cellStyle name="60% - Accent5 2 2 10" xfId="1629" xr:uid="{FE989971-0AA7-416B-B9FB-A2207125CCD3}"/>
    <cellStyle name="60% - Accent5 2 2 2" xfId="1630" xr:uid="{3B03A993-4766-47BC-ADB0-06935328B43A}"/>
    <cellStyle name="60% - Accent5 2 2 2 2" xfId="1631" xr:uid="{6280C8E9-BF23-4358-B22B-08B0FDFDF013}"/>
    <cellStyle name="60% - Accent5 2 2 3" xfId="1632" xr:uid="{FA880140-E40C-4148-9CE4-6753866E2E2A}"/>
    <cellStyle name="60% - Accent5 2 2 4" xfId="1633" xr:uid="{8D3BD60B-843A-447D-BF0F-5DD48C19D100}"/>
    <cellStyle name="60% - Accent5 2 2 5" xfId="1634" xr:uid="{6446EBA8-641C-4C10-A5E7-C9D058A2F733}"/>
    <cellStyle name="60% - Accent5 2 2 6" xfId="1635" xr:uid="{6B29D406-4796-440B-9DA2-401BFDE9A641}"/>
    <cellStyle name="60% - Accent5 2 2 7" xfId="1636" xr:uid="{5F8EF695-3AE2-4551-B6B0-07FB679C9233}"/>
    <cellStyle name="60% - Accent5 2 2 8" xfId="1637" xr:uid="{F4DC53A1-C75E-43F4-A4E5-C579F6C5E0D0}"/>
    <cellStyle name="60% - Accent5 2 2 9" xfId="1638" xr:uid="{A80DCC3A-1FB7-473D-9AE0-0B7F52B7D8D9}"/>
    <cellStyle name="60% - Accent5 2 3" xfId="1639" xr:uid="{61C78A56-795D-4F16-B41D-B3ECBF6CADF2}"/>
    <cellStyle name="60% - Accent5 2 3 2" xfId="1640" xr:uid="{40B9446A-AC1B-4DBC-9D83-7345AB19ADB1}"/>
    <cellStyle name="60% - Accent5 2 4" xfId="1641" xr:uid="{8DD619A8-99EF-441A-9A59-F4B9F6FADE72}"/>
    <cellStyle name="60% - Accent5 2 4 2" xfId="1642" xr:uid="{5F1DAAC5-A444-41B4-956B-AB333F134B60}"/>
    <cellStyle name="60% - Accent5 2 5" xfId="1643" xr:uid="{7F86083D-CF40-4369-ABAF-BE65628C32AE}"/>
    <cellStyle name="60% - Accent5 2 6" xfId="1644" xr:uid="{8435C404-EB50-457D-AE6B-63237BE68665}"/>
    <cellStyle name="60% - Accent5 2 7" xfId="1645" xr:uid="{C0AC5AA0-7B76-4049-8731-97DBECF66563}"/>
    <cellStyle name="60% - Accent5 2 8" xfId="1646" xr:uid="{534657FE-8F51-4E91-B1A4-634D0EB49D05}"/>
    <cellStyle name="60% - Accent5 2 9" xfId="1647" xr:uid="{61AEC0FF-D37D-49C2-AFD7-39FE4ADBE602}"/>
    <cellStyle name="60% - Accent5 3" xfId="1648" xr:uid="{0F6FD831-594D-44C1-82FF-E097EFF1D097}"/>
    <cellStyle name="60% - Accent5 3 10" xfId="1649" xr:uid="{CAEBA030-01B4-45F9-877F-FCFD1F468E31}"/>
    <cellStyle name="60% - Accent5 3 2" xfId="1650" xr:uid="{3C104677-7E75-495F-BE2A-D31D8E8135AC}"/>
    <cellStyle name="60% - Accent5 3 3" xfId="1651" xr:uid="{1C5649A2-ED04-4384-841D-93FB14548639}"/>
    <cellStyle name="60% - Accent5 3 4" xfId="1652" xr:uid="{31175BA7-B3D8-403E-BE8B-B24315BBA588}"/>
    <cellStyle name="60% - Accent5 3 5" xfId="1653" xr:uid="{DA5E219E-43C8-4A0B-AE75-216BBB934014}"/>
    <cellStyle name="60% - Accent5 3 6" xfId="1654" xr:uid="{73E85136-5DFB-4BAF-8243-49D2ADDFF5FF}"/>
    <cellStyle name="60% - Accent5 3 7" xfId="1655" xr:uid="{1F11E089-6E9D-4356-A8F4-F0C4881FE37D}"/>
    <cellStyle name="60% - Accent5 3 8" xfId="1656" xr:uid="{F828CC5B-9D9B-4799-9EEF-3F8630971296}"/>
    <cellStyle name="60% - Accent5 3 9" xfId="1657" xr:uid="{C4F4C910-2478-4DB5-860B-2ECF71D5CCD4}"/>
    <cellStyle name="60% - Accent5 4" xfId="1658" xr:uid="{09313CCC-9ECC-4860-B205-F394019322F1}"/>
    <cellStyle name="60% - Accent5 4 10" xfId="1659" xr:uid="{06877BB2-9D9D-41D9-8145-1945C5156442}"/>
    <cellStyle name="60% - Accent5 4 2" xfId="1660" xr:uid="{D7D02864-084E-4F7F-AB41-5516E2B9CA42}"/>
    <cellStyle name="60% - Accent5 4 3" xfId="1661" xr:uid="{0366D1AD-CC02-4CE2-91B3-DC2497FDC362}"/>
    <cellStyle name="60% - Accent5 4 4" xfId="1662" xr:uid="{059EEE31-5286-442E-A36A-EB15C213144B}"/>
    <cellStyle name="60% - Accent5 4 5" xfId="1663" xr:uid="{4D28A394-8336-43DD-87E6-18BC18366020}"/>
    <cellStyle name="60% - Accent5 4 6" xfId="1664" xr:uid="{552F9ED7-D9C1-49B9-B082-E7CCFE441D91}"/>
    <cellStyle name="60% - Accent5 4 7" xfId="1665" xr:uid="{6DAD12FE-31FC-4F9D-B4CD-4CA5FAEF1948}"/>
    <cellStyle name="60% - Accent5 4 8" xfId="1666" xr:uid="{4DC13479-CA67-4161-B6E9-204EF5CB0586}"/>
    <cellStyle name="60% - Accent5 4 9" xfId="1667" xr:uid="{3F4B32DE-F7F0-495D-BA61-5FD94D5BA304}"/>
    <cellStyle name="60% - Accent5 5" xfId="1668" xr:uid="{5758647B-DA81-4AFB-ADAC-5FC887768235}"/>
    <cellStyle name="60% - Accent5 5 10" xfId="1669" xr:uid="{CE38513C-8014-477D-83F6-2EB828F31743}"/>
    <cellStyle name="60% - Accent5 5 2" xfId="1670" xr:uid="{F62D927B-ABAE-4520-B1CA-9104A184AED8}"/>
    <cellStyle name="60% - Accent5 5 3" xfId="1671" xr:uid="{0CB7A373-749C-46D9-A74A-F6028E277802}"/>
    <cellStyle name="60% - Accent5 5 4" xfId="1672" xr:uid="{02F529AC-FDC8-4ABE-ADA4-BC337E5D1EFB}"/>
    <cellStyle name="60% - Accent5 5 5" xfId="1673" xr:uid="{1111DE67-0FBB-4000-8170-349FD9AF4E30}"/>
    <cellStyle name="60% - Accent5 5 6" xfId="1674" xr:uid="{608E58CA-766B-4226-A242-1B50086066F1}"/>
    <cellStyle name="60% - Accent5 5 7" xfId="1675" xr:uid="{DCDB4368-937A-4917-B04D-590AD20F560F}"/>
    <cellStyle name="60% - Accent5 5 8" xfId="1676" xr:uid="{53FA2FC8-39A8-4418-A38B-E53041F9AF23}"/>
    <cellStyle name="60% - Accent5 5 9" xfId="1677" xr:uid="{B20FA5E8-81B0-4F8E-841E-BF66D24EFD0A}"/>
    <cellStyle name="60% - Accent5 6 2" xfId="1678" xr:uid="{51BF4281-1B9C-4A26-A974-3659C05C8A5F}"/>
    <cellStyle name="60% - Accent5 7 2" xfId="1679" xr:uid="{4EE7B25D-537C-4C2F-9D5A-E5B3392E2F32}"/>
    <cellStyle name="60% - Accent5 8" xfId="1680" xr:uid="{BEF59B37-8BC0-4024-940C-130565962BA3}"/>
    <cellStyle name="60% - Accent5 9" xfId="1681" xr:uid="{EF65CF85-AC12-4451-9E77-97994C411E78}"/>
    <cellStyle name="60% - Accent6" xfId="44" builtinId="52" customBuiltin="1"/>
    <cellStyle name="60% - Accent6 10" xfId="1682" xr:uid="{A14C086B-9B13-41D2-8BA3-0A58B82F8CE4}"/>
    <cellStyle name="60% - Accent6 11" xfId="1683" xr:uid="{1161A8B6-6C43-4BED-AC76-015F6C40A967}"/>
    <cellStyle name="60% - Accent6 12" xfId="1684" xr:uid="{C0C103C9-8FA8-45C5-A121-18E8DAC7D296}"/>
    <cellStyle name="60% - Accent6 13" xfId="1685" xr:uid="{E1E6B5CE-7CD3-4804-B046-08E144696FD3}"/>
    <cellStyle name="60% - Accent6 14" xfId="1686" xr:uid="{1E3A54D4-5108-43D9-827D-37CCB5957EB4}"/>
    <cellStyle name="60% - Accent6 2" xfId="16750" xr:uid="{C1E907AF-1600-4BCC-92B3-F7F270965B4B}"/>
    <cellStyle name="60% - Accent6 2 10" xfId="1687" xr:uid="{98B94081-95B1-4711-873C-B9DC9DDA8FF7}"/>
    <cellStyle name="60% - Accent6 2 11" xfId="1688" xr:uid="{CAFD55E8-F729-402A-B7AD-8C5E9C29A5BE}"/>
    <cellStyle name="60% - Accent6 2 12" xfId="1689" xr:uid="{130989C9-BC4D-46C9-ACC4-CA2831FF5943}"/>
    <cellStyle name="60% - Accent6 2 13" xfId="1690" xr:uid="{08CB1257-5CD8-442C-BC57-65B57B8120DC}"/>
    <cellStyle name="60% - Accent6 2 2" xfId="1691" xr:uid="{07F68024-5B58-4343-AD10-1D8BCD5991CA}"/>
    <cellStyle name="60% - Accent6 2 2 10" xfId="1692" xr:uid="{6ACBA587-4FE2-471C-B1C8-330D58DA9EA5}"/>
    <cellStyle name="60% - Accent6 2 2 2" xfId="1693" xr:uid="{A5AEFC71-6012-42A8-83F4-56953121A0F9}"/>
    <cellStyle name="60% - Accent6 2 2 2 2" xfId="1694" xr:uid="{10EEA926-CA33-4684-BBA4-B0BF32E8D563}"/>
    <cellStyle name="60% - Accent6 2 2 3" xfId="1695" xr:uid="{8CFF8349-E7DF-4A23-9E6F-C69ABF7BCBA4}"/>
    <cellStyle name="60% - Accent6 2 2 4" xfId="1696" xr:uid="{C664F89A-0C15-47D8-959D-95F5DA0EB3AA}"/>
    <cellStyle name="60% - Accent6 2 2 5" xfId="1697" xr:uid="{BB86B3A5-009F-4814-8163-7E8CA77039C0}"/>
    <cellStyle name="60% - Accent6 2 2 6" xfId="1698" xr:uid="{2372D8BC-582E-48A6-9E82-D7DBE0EEFD4E}"/>
    <cellStyle name="60% - Accent6 2 2 7" xfId="1699" xr:uid="{2513B002-57E3-4D95-A1DA-588DBA3AA64E}"/>
    <cellStyle name="60% - Accent6 2 2 8" xfId="1700" xr:uid="{75FDBD47-0ADB-422C-89C8-A93649926C7B}"/>
    <cellStyle name="60% - Accent6 2 2 9" xfId="1701" xr:uid="{D27864CE-5DB6-4AAF-AC71-7FD189525F75}"/>
    <cellStyle name="60% - Accent6 2 3" xfId="1702" xr:uid="{8DD723A3-4427-4A21-8195-7CBA1EF2A3C1}"/>
    <cellStyle name="60% - Accent6 2 3 2" xfId="1703" xr:uid="{16CB0C59-3146-420A-82E9-5EB389B73B94}"/>
    <cellStyle name="60% - Accent6 2 4" xfId="1704" xr:uid="{4D73D3BE-E2A6-43F4-9568-37712B5A5AEC}"/>
    <cellStyle name="60% - Accent6 2 4 2" xfId="1705" xr:uid="{63EC02CE-DCE1-4E39-B075-C9FDD7BE246C}"/>
    <cellStyle name="60% - Accent6 2 5" xfId="1706" xr:uid="{E54DD6A5-F5AC-4D40-A8DB-96FCF315D7D1}"/>
    <cellStyle name="60% - Accent6 2 6" xfId="1707" xr:uid="{157AAE81-9EC2-4F42-99B1-93F5DF0FB9BD}"/>
    <cellStyle name="60% - Accent6 2 7" xfId="1708" xr:uid="{9FB9A9EB-A234-4320-A192-FAA442ABCC7C}"/>
    <cellStyle name="60% - Accent6 2 8" xfId="1709" xr:uid="{8BCDDD30-B938-4DE9-905C-D8033051205C}"/>
    <cellStyle name="60% - Accent6 2 9" xfId="1710" xr:uid="{3D8E9126-D353-4DB9-9A6A-861DE5D79C9B}"/>
    <cellStyle name="60% - Accent6 3" xfId="1711" xr:uid="{9A3CAEF8-702E-4324-A291-75BB0D7CE4E5}"/>
    <cellStyle name="60% - Accent6 3 10" xfId="1712" xr:uid="{748202E0-25B9-4A69-9085-E5AB75A15E49}"/>
    <cellStyle name="60% - Accent6 3 2" xfId="1713" xr:uid="{7B66FBC3-D015-46EB-B411-7C1061DE474C}"/>
    <cellStyle name="60% - Accent6 3 3" xfId="1714" xr:uid="{4B315B03-A05C-452B-89CD-9F9A1ECD6CAE}"/>
    <cellStyle name="60% - Accent6 3 4" xfId="1715" xr:uid="{0FEC83BF-5C01-409D-AB70-E893AB4A2493}"/>
    <cellStyle name="60% - Accent6 3 5" xfId="1716" xr:uid="{0654A3EC-AFD3-495B-B7BF-80F7DEC17D9D}"/>
    <cellStyle name="60% - Accent6 3 6" xfId="1717" xr:uid="{01A8D0F0-1242-443C-A770-CD98D3B4A603}"/>
    <cellStyle name="60% - Accent6 3 7" xfId="1718" xr:uid="{4AAF4205-6647-4DF7-8EAC-CF5D361B522C}"/>
    <cellStyle name="60% - Accent6 3 8" xfId="1719" xr:uid="{B284334A-7605-4DAC-A9B3-44EBE63848B1}"/>
    <cellStyle name="60% - Accent6 3 9" xfId="1720" xr:uid="{E4D6E0E6-F05E-460F-A6C6-CA5C714FFB8D}"/>
    <cellStyle name="60% - Accent6 4" xfId="1721" xr:uid="{FC31A16D-60B4-4D1B-8DF5-280EE6BCC55F}"/>
    <cellStyle name="60% - Accent6 4 10" xfId="1722" xr:uid="{3AC397F0-3BEE-4FE5-8108-7943B12C9B9C}"/>
    <cellStyle name="60% - Accent6 4 2" xfId="1723" xr:uid="{22106559-EACE-4564-AE77-09E72189F863}"/>
    <cellStyle name="60% - Accent6 4 3" xfId="1724" xr:uid="{C5A8D46F-D19D-4E4D-A1AE-A31CF2E2EC2A}"/>
    <cellStyle name="60% - Accent6 4 4" xfId="1725" xr:uid="{5CA1B829-1CAF-4048-B6B3-36A8BFE42F17}"/>
    <cellStyle name="60% - Accent6 4 5" xfId="1726" xr:uid="{61E50A4D-298E-42C2-819F-015E1FE67BC3}"/>
    <cellStyle name="60% - Accent6 4 6" xfId="1727" xr:uid="{B6901FC8-D260-4679-A395-C8545B5D5785}"/>
    <cellStyle name="60% - Accent6 4 7" xfId="1728" xr:uid="{D9A7D796-3163-45F8-BD1B-D092D50F967C}"/>
    <cellStyle name="60% - Accent6 4 8" xfId="1729" xr:uid="{30B6982F-BE8A-4760-89CE-E93690EB5ACF}"/>
    <cellStyle name="60% - Accent6 4 9" xfId="1730" xr:uid="{FAA4B137-28B9-4923-B75E-D4E7ACC44CF4}"/>
    <cellStyle name="60% - Accent6 5" xfId="1731" xr:uid="{06C4A8F2-9B45-497F-941C-80472667E43E}"/>
    <cellStyle name="60% - Accent6 5 10" xfId="1732" xr:uid="{0CC12B43-B28F-4ACE-B4AF-4AAB127EA3C7}"/>
    <cellStyle name="60% - Accent6 5 2" xfId="1733" xr:uid="{0C081EBE-795C-411B-B6F0-0569BD3FDEBC}"/>
    <cellStyle name="60% - Accent6 5 3" xfId="1734" xr:uid="{211703CA-43B3-477A-92F5-158D9AFBAD06}"/>
    <cellStyle name="60% - Accent6 5 4" xfId="1735" xr:uid="{5AD83A6D-BB65-4799-84AD-2DDF7B658ADE}"/>
    <cellStyle name="60% - Accent6 5 5" xfId="1736" xr:uid="{5C39F7F0-1CEE-432F-9EDE-3D3AEB15C60C}"/>
    <cellStyle name="60% - Accent6 5 6" xfId="1737" xr:uid="{D32D432E-5389-4BB2-AB21-90A255BEB0E8}"/>
    <cellStyle name="60% - Accent6 5 7" xfId="1738" xr:uid="{2890B889-939C-43AE-BA69-08199C965913}"/>
    <cellStyle name="60% - Accent6 5 8" xfId="1739" xr:uid="{8F6FF29A-4D81-41BE-868D-6D2A440F5117}"/>
    <cellStyle name="60% - Accent6 5 9" xfId="1740" xr:uid="{6657BEA8-54A0-4DCD-8651-A37C858AE46D}"/>
    <cellStyle name="60% - Accent6 6 2" xfId="1741" xr:uid="{6DE91F87-C2BE-47A0-874E-6E18DFAFB1F4}"/>
    <cellStyle name="60% - Accent6 7 2" xfId="1742" xr:uid="{209BF9BD-7B8D-4490-A814-5D4B30080027}"/>
    <cellStyle name="60% - Accent6 8" xfId="1743" xr:uid="{537568F5-7C65-4802-838F-21F0E435CCDF}"/>
    <cellStyle name="60% - Accent6 9" xfId="1744" xr:uid="{AFABC266-CB4E-419B-9695-E75AE653C167}"/>
    <cellStyle name="Accent1" xfId="22" builtinId="29" customBuiltin="1"/>
    <cellStyle name="Accent1 10" xfId="1745" xr:uid="{DF99FEA7-18BF-49A6-A034-5D218C3226AF}"/>
    <cellStyle name="Accent1 11" xfId="1746" xr:uid="{D7923CF3-764A-4ACF-9194-F427CF951660}"/>
    <cellStyle name="Accent1 12" xfId="1747" xr:uid="{3F467F77-C367-4DFD-8E24-014F14DCC345}"/>
    <cellStyle name="Accent1 13" xfId="1748" xr:uid="{31FE1902-034A-483E-8EC3-CFC4C1EF9C8D}"/>
    <cellStyle name="Accent1 14" xfId="1749" xr:uid="{77445BD8-3969-47E7-862F-DB31F69337F1}"/>
    <cellStyle name="Accent1 2 10" xfId="1750" xr:uid="{3344E10D-7328-4BD2-9CA6-5AA3CA9EB056}"/>
    <cellStyle name="Accent1 2 11" xfId="1751" xr:uid="{A5222F4B-720E-4358-A921-7221D93AAD4F}"/>
    <cellStyle name="Accent1 2 12" xfId="1752" xr:uid="{6B0A3FD5-9170-4A1A-8EC9-44A47AD568CF}"/>
    <cellStyle name="Accent1 2 13" xfId="1753" xr:uid="{3A622238-4DF6-4774-B440-42EB4EB52D80}"/>
    <cellStyle name="Accent1 2 2" xfId="1754" xr:uid="{101797D1-4CC6-4D66-B13A-31AA38CDEB49}"/>
    <cellStyle name="Accent1 2 2 10" xfId="1755" xr:uid="{19FC39F5-B122-45F1-87C8-61B87A706B70}"/>
    <cellStyle name="Accent1 2 2 2" xfId="1756" xr:uid="{39D0D957-41E9-447D-9CF0-34E07B569A0A}"/>
    <cellStyle name="Accent1 2 2 2 2" xfId="1757" xr:uid="{98FF9FCF-8C65-4454-AC18-02A13AA3BF34}"/>
    <cellStyle name="Accent1 2 2 3" xfId="1758" xr:uid="{7D93F8AD-A426-4E54-8524-9A99E62225DE}"/>
    <cellStyle name="Accent1 2 2 4" xfId="1759" xr:uid="{97A2B003-5F8F-4359-B5C9-FFC97FDD002C}"/>
    <cellStyle name="Accent1 2 2 5" xfId="1760" xr:uid="{CBA99F3A-4E09-492D-A470-F9F5F2B06A59}"/>
    <cellStyle name="Accent1 2 2 6" xfId="1761" xr:uid="{EB66C88A-C925-4ACE-A427-DD27C6D0834D}"/>
    <cellStyle name="Accent1 2 2 7" xfId="1762" xr:uid="{46C79CF4-6D5D-4549-844C-3C814CF0C7F1}"/>
    <cellStyle name="Accent1 2 2 8" xfId="1763" xr:uid="{274B0B64-32D1-4602-80E3-6BB4C6D7D802}"/>
    <cellStyle name="Accent1 2 2 9" xfId="1764" xr:uid="{29FC5CB0-3D1F-4EFE-AD0B-442371A61C9C}"/>
    <cellStyle name="Accent1 2 3" xfId="1765" xr:uid="{9AA8F3B2-CA9C-411C-B373-32A44488E3C2}"/>
    <cellStyle name="Accent1 2 3 2" xfId="1766" xr:uid="{E56DB945-D8F2-46BB-A47B-A5D29F9AD5F3}"/>
    <cellStyle name="Accent1 2 4" xfId="1767" xr:uid="{55B9FB2A-332C-484F-81EF-D8362C0C93D1}"/>
    <cellStyle name="Accent1 2 4 2" xfId="1768" xr:uid="{858D03C1-CA3E-4E93-8E1D-73136DA2EB07}"/>
    <cellStyle name="Accent1 2 5" xfId="1769" xr:uid="{44F5E43B-37CE-4D57-90CA-B5A12B3798B6}"/>
    <cellStyle name="Accent1 2 6" xfId="1770" xr:uid="{72285232-D0F1-41FD-B806-6896F6782D45}"/>
    <cellStyle name="Accent1 2 7" xfId="1771" xr:uid="{C9EFD3A7-A6CB-49A7-9837-A7A6B0F1CED0}"/>
    <cellStyle name="Accent1 2 8" xfId="1772" xr:uid="{02CDEC91-5162-4355-B8FB-4CE5B353C3ED}"/>
    <cellStyle name="Accent1 2 9" xfId="1773" xr:uid="{B99D8D82-D9E1-4CEE-9338-D8595F480140}"/>
    <cellStyle name="Accent1 3" xfId="1774" xr:uid="{C44BBA77-D8F0-43AA-9533-5EE55C48ABFF}"/>
    <cellStyle name="Accent1 3 10" xfId="1775" xr:uid="{C6EDDE15-BDD0-4AA0-B97F-00C2CDFC2C20}"/>
    <cellStyle name="Accent1 3 2" xfId="1776" xr:uid="{CBD82B3D-8A45-4C15-9862-07320ECC6FCA}"/>
    <cellStyle name="Accent1 3 3" xfId="1777" xr:uid="{F6644777-659C-42C3-8290-16CD6EC62398}"/>
    <cellStyle name="Accent1 3 4" xfId="1778" xr:uid="{8ED5785A-8C8F-4716-A08F-14C99ACB84AC}"/>
    <cellStyle name="Accent1 3 5" xfId="1779" xr:uid="{2A24B12F-A95A-484B-A8CD-82DCB40D69A6}"/>
    <cellStyle name="Accent1 3 6" xfId="1780" xr:uid="{E10B019E-C6BF-4AC4-9CDC-633D079AB0DB}"/>
    <cellStyle name="Accent1 3 7" xfId="1781" xr:uid="{C085A223-360E-432B-81FB-7A869A44C145}"/>
    <cellStyle name="Accent1 3 8" xfId="1782" xr:uid="{0874A5D1-A7A9-4170-B6C4-B189A685009C}"/>
    <cellStyle name="Accent1 3 9" xfId="1783" xr:uid="{0D61AF4C-ACD2-414A-B828-E5750735DCBC}"/>
    <cellStyle name="Accent1 4" xfId="1784" xr:uid="{50DE8A3C-CDD0-46B2-BE04-A9C46910A2E3}"/>
    <cellStyle name="Accent1 4 10" xfId="1785" xr:uid="{2D6AD7AE-649E-4D40-AE35-0ECB00F5F2A8}"/>
    <cellStyle name="Accent1 4 2" xfId="1786" xr:uid="{78676A50-00C0-4284-88B9-B0CC3321A644}"/>
    <cellStyle name="Accent1 4 3" xfId="1787" xr:uid="{F764B779-838D-48FD-BFF9-9271A9ECC09C}"/>
    <cellStyle name="Accent1 4 4" xfId="1788" xr:uid="{3DD38469-EAD3-4F0E-AF3A-FE789EC4A229}"/>
    <cellStyle name="Accent1 4 5" xfId="1789" xr:uid="{289B8B25-7151-4CD6-B378-5167758FB0DB}"/>
    <cellStyle name="Accent1 4 6" xfId="1790" xr:uid="{B95D7C5A-75B0-4C1C-A7D8-3811132262FB}"/>
    <cellStyle name="Accent1 4 7" xfId="1791" xr:uid="{8DEAA7EF-4A7E-4E65-BC4E-18BD8E15AD65}"/>
    <cellStyle name="Accent1 4 8" xfId="1792" xr:uid="{62EDE0D0-FCAA-4726-A93B-17FA3E1A39AE}"/>
    <cellStyle name="Accent1 4 9" xfId="1793" xr:uid="{3AE72F73-A27E-4735-90F0-DDEF1A480385}"/>
    <cellStyle name="Accent1 5" xfId="1794" xr:uid="{E8DDD675-4993-439B-B82C-73E281298FA8}"/>
    <cellStyle name="Accent1 5 10" xfId="1795" xr:uid="{FBE317D4-9928-489A-A1B6-1027F21AE0B2}"/>
    <cellStyle name="Accent1 5 2" xfId="1796" xr:uid="{DEA71D2C-AFBC-4D2E-B2C0-395D54A84477}"/>
    <cellStyle name="Accent1 5 3" xfId="1797" xr:uid="{FC65333F-DE98-4795-9EFA-B29C9CC69E35}"/>
    <cellStyle name="Accent1 5 4" xfId="1798" xr:uid="{A1680117-EE3D-4D7F-BDF4-E8CAFD563CEA}"/>
    <cellStyle name="Accent1 5 5" xfId="1799" xr:uid="{9561F576-4915-4A90-B114-629EEA98358A}"/>
    <cellStyle name="Accent1 5 6" xfId="1800" xr:uid="{83E04116-84F6-4F42-81C4-191FDBB09F9D}"/>
    <cellStyle name="Accent1 5 7" xfId="1801" xr:uid="{4D71114D-FB5C-435C-8FD1-0B2695F0FF1A}"/>
    <cellStyle name="Accent1 5 8" xfId="1802" xr:uid="{B30F7ADE-42DF-4E75-8A73-F6E4A4A07108}"/>
    <cellStyle name="Accent1 5 9" xfId="1803" xr:uid="{91B0C233-7368-4EE0-8F21-4038B6216130}"/>
    <cellStyle name="Accent1 6 2" xfId="1804" xr:uid="{EFF41CA0-9583-402E-B4F3-AF27CAB00123}"/>
    <cellStyle name="Accent1 7 2" xfId="1805" xr:uid="{A943A359-E4DD-4292-91BF-CB181C1E16F4}"/>
    <cellStyle name="Accent1 8" xfId="1806" xr:uid="{013F2E66-BEAF-4893-A8E5-BC98A7A60A99}"/>
    <cellStyle name="Accent1 9" xfId="1807" xr:uid="{6E932C9F-ACAB-456D-BEE6-EA153453697E}"/>
    <cellStyle name="Accent2" xfId="25" builtinId="33" customBuiltin="1"/>
    <cellStyle name="Accent2 10" xfId="1808" xr:uid="{3C5F871F-1CB1-4991-A643-9FA81776E800}"/>
    <cellStyle name="Accent2 11" xfId="1809" xr:uid="{061D5B48-660B-4BA7-BC8F-3146E2624AF3}"/>
    <cellStyle name="Accent2 12" xfId="1810" xr:uid="{3563DCBE-12E5-4DDE-AEFF-7C430E8913A0}"/>
    <cellStyle name="Accent2 13" xfId="1811" xr:uid="{6C0A5B35-7B1C-4D7A-A6BB-87B38F1644E0}"/>
    <cellStyle name="Accent2 14" xfId="1812" xr:uid="{E86055F3-46C4-4302-BB5B-FEC7B9E73E54}"/>
    <cellStyle name="Accent2 2 10" xfId="1813" xr:uid="{C2090989-FB42-4C36-BF30-251B6274F19E}"/>
    <cellStyle name="Accent2 2 11" xfId="1814" xr:uid="{CA458C56-2FEC-4059-A961-04F60C6041C7}"/>
    <cellStyle name="Accent2 2 12" xfId="1815" xr:uid="{18999028-84D0-43F9-8004-E2AE7CC78309}"/>
    <cellStyle name="Accent2 2 13" xfId="1816" xr:uid="{19DD9FA5-5A34-416D-8EE2-74122ED1A4E3}"/>
    <cellStyle name="Accent2 2 2" xfId="1817" xr:uid="{DFDC9399-BD40-4289-B39E-082CD1160AC5}"/>
    <cellStyle name="Accent2 2 2 10" xfId="1818" xr:uid="{A0F6F240-86FB-4A5F-9E6C-65AEAC6F2B7E}"/>
    <cellStyle name="Accent2 2 2 2" xfId="1819" xr:uid="{CF7EFD51-3B1C-4796-BDEB-6F7B2ECB8AE1}"/>
    <cellStyle name="Accent2 2 2 2 2" xfId="1820" xr:uid="{7C463450-168A-4BFC-BA91-C9ED330F21A9}"/>
    <cellStyle name="Accent2 2 2 3" xfId="1821" xr:uid="{188FC1FE-A737-485F-80EC-6ABC6602B4EA}"/>
    <cellStyle name="Accent2 2 2 4" xfId="1822" xr:uid="{CD22D78E-59F2-411C-86EC-B6C6E3AF94CB}"/>
    <cellStyle name="Accent2 2 2 5" xfId="1823" xr:uid="{9BD13C8A-9B42-47CE-A60F-F1B11632B1FB}"/>
    <cellStyle name="Accent2 2 2 6" xfId="1824" xr:uid="{B7240239-8B67-4784-A7D2-AB1BD913CFF8}"/>
    <cellStyle name="Accent2 2 2 7" xfId="1825" xr:uid="{2C5A9A6F-38F5-4455-9834-874C201CEC4C}"/>
    <cellStyle name="Accent2 2 2 8" xfId="1826" xr:uid="{938A6024-E5D2-4134-9100-C290E2C46FB2}"/>
    <cellStyle name="Accent2 2 2 9" xfId="1827" xr:uid="{24AD207B-3584-47A7-AD4E-D47EF1F388B5}"/>
    <cellStyle name="Accent2 2 3" xfId="1828" xr:uid="{A39923FB-65F4-45A5-8288-07F96705ECA3}"/>
    <cellStyle name="Accent2 2 3 2" xfId="1829" xr:uid="{D9E8CD7A-7354-4B5E-89F5-A21A79E17211}"/>
    <cellStyle name="Accent2 2 4" xfId="1830" xr:uid="{71E37561-E7C8-4999-9FCC-3ADD48F122A5}"/>
    <cellStyle name="Accent2 2 4 2" xfId="1831" xr:uid="{25038205-DE0F-4F76-95DD-3F8412C8272E}"/>
    <cellStyle name="Accent2 2 5" xfId="1832" xr:uid="{EA728AC0-4436-4A4D-BDE3-093947500AF5}"/>
    <cellStyle name="Accent2 2 6" xfId="1833" xr:uid="{D046B039-6408-4CCE-86A6-A48A456EB3A1}"/>
    <cellStyle name="Accent2 2 7" xfId="1834" xr:uid="{87267AF2-8364-4B7C-B726-EE6E77632983}"/>
    <cellStyle name="Accent2 2 8" xfId="1835" xr:uid="{BF60A69B-721D-412A-8BAD-1812DDA55B4D}"/>
    <cellStyle name="Accent2 2 9" xfId="1836" xr:uid="{B661C6DB-F8D2-45BD-904B-03857AB60BD9}"/>
    <cellStyle name="Accent2 3" xfId="1837" xr:uid="{7836D8BC-C1E4-4D27-8BC7-95E8588E0C9B}"/>
    <cellStyle name="Accent2 3 10" xfId="1838" xr:uid="{7A9C7341-448F-4E97-B448-107265D2DF12}"/>
    <cellStyle name="Accent2 3 2" xfId="1839" xr:uid="{9ACC4F96-7B24-4351-87AB-B74FE199756A}"/>
    <cellStyle name="Accent2 3 3" xfId="1840" xr:uid="{E4BEC263-D70D-40F7-86F2-02AF7739BB47}"/>
    <cellStyle name="Accent2 3 4" xfId="1841" xr:uid="{B16F243B-1609-446B-AFDD-E1D2C14F1F90}"/>
    <cellStyle name="Accent2 3 5" xfId="1842" xr:uid="{F69D55E6-EE0C-476C-948E-147BAFA3DD5F}"/>
    <cellStyle name="Accent2 3 6" xfId="1843" xr:uid="{F5E610CF-C690-4409-98B6-C20B2E502498}"/>
    <cellStyle name="Accent2 3 7" xfId="1844" xr:uid="{2EBB6E4D-A730-4DB0-9C07-5B16DDC1FC4C}"/>
    <cellStyle name="Accent2 3 8" xfId="1845" xr:uid="{14DAE0B2-2781-4278-AFBE-A95B2771F36A}"/>
    <cellStyle name="Accent2 3 9" xfId="1846" xr:uid="{455D10A4-1696-48CF-A3ED-8F9810C86C09}"/>
    <cellStyle name="Accent2 4" xfId="1847" xr:uid="{34249259-ACD7-4C52-A15B-E262B9C8350A}"/>
    <cellStyle name="Accent2 4 10" xfId="1848" xr:uid="{762CBA27-3797-40FD-99FF-1C3DDB2D3B15}"/>
    <cellStyle name="Accent2 4 2" xfId="1849" xr:uid="{198EBFA7-FB71-4823-B90A-7A438FE568D8}"/>
    <cellStyle name="Accent2 4 3" xfId="1850" xr:uid="{0E77C700-78D9-4764-A7C7-0ADA84A28113}"/>
    <cellStyle name="Accent2 4 4" xfId="1851" xr:uid="{748E2AAD-15F2-479E-8595-1C0807A1B2A7}"/>
    <cellStyle name="Accent2 4 5" xfId="1852" xr:uid="{D55194F1-B2B5-4FDA-AD00-6E456525A3BD}"/>
    <cellStyle name="Accent2 4 6" xfId="1853" xr:uid="{200D25D7-CCF7-4022-A769-356A34760694}"/>
    <cellStyle name="Accent2 4 7" xfId="1854" xr:uid="{839B1CE7-6B5E-4498-8E58-4330D6380947}"/>
    <cellStyle name="Accent2 4 8" xfId="1855" xr:uid="{AC67B3CC-9AC9-49A4-82AE-8402F1FD4909}"/>
    <cellStyle name="Accent2 4 9" xfId="1856" xr:uid="{E7498F71-52EC-455F-A4AB-908882288AB1}"/>
    <cellStyle name="Accent2 5" xfId="1857" xr:uid="{A28105EA-B157-498B-808E-C62368615967}"/>
    <cellStyle name="Accent2 5 10" xfId="1858" xr:uid="{8776F5C1-9174-4581-9A84-B798CD5E7963}"/>
    <cellStyle name="Accent2 5 2" xfId="1859" xr:uid="{BC2DA18E-6AB3-44D1-A88F-73CAC4AAAF17}"/>
    <cellStyle name="Accent2 5 3" xfId="1860" xr:uid="{76609E09-F9A3-499D-9C60-F6F4B9A6BDF5}"/>
    <cellStyle name="Accent2 5 4" xfId="1861" xr:uid="{3C3F76C9-3AB6-49A8-B7F1-8A425B7E40B0}"/>
    <cellStyle name="Accent2 5 5" xfId="1862" xr:uid="{428BFF43-64A1-4A34-9F72-C16AAAA64F39}"/>
    <cellStyle name="Accent2 5 6" xfId="1863" xr:uid="{D220C36C-2FEA-44A5-A8D6-3F39E8469A5F}"/>
    <cellStyle name="Accent2 5 7" xfId="1864" xr:uid="{1AB7650E-FA3F-4732-8F93-300CF1638551}"/>
    <cellStyle name="Accent2 5 8" xfId="1865" xr:uid="{759238E6-384D-490D-91FA-0700D668D6B9}"/>
    <cellStyle name="Accent2 5 9" xfId="1866" xr:uid="{5C169DF8-43E9-420E-9B2A-740A6561BB7D}"/>
    <cellStyle name="Accent2 6 2" xfId="1867" xr:uid="{F16CE48C-3F0A-454F-A138-FDEA7725D507}"/>
    <cellStyle name="Accent2 7 2" xfId="1868" xr:uid="{FA5939E8-9305-4477-B3F3-CC9B7388EFD2}"/>
    <cellStyle name="Accent2 8" xfId="1869" xr:uid="{5973E9A0-30C2-41F4-A6E5-EDC8E6E6DEA4}"/>
    <cellStyle name="Accent2 9" xfId="1870" xr:uid="{07F04F32-5A3C-4D25-A822-174B0AD6F92D}"/>
    <cellStyle name="Accent3" xfId="29" builtinId="37" customBuiltin="1"/>
    <cellStyle name="Accent3 10" xfId="1871" xr:uid="{BF1198D0-6468-4914-91C3-0FF9058AABD2}"/>
    <cellStyle name="Accent3 11" xfId="1872" xr:uid="{2BC14893-FA26-469F-95FE-F2B515ACD025}"/>
    <cellStyle name="Accent3 12" xfId="1873" xr:uid="{E5376E41-4628-45D2-B34B-6490590C073F}"/>
    <cellStyle name="Accent3 13" xfId="1874" xr:uid="{48690FBE-A29A-4212-A771-8074312CD63B}"/>
    <cellStyle name="Accent3 14" xfId="1875" xr:uid="{6C290B32-6C4C-4DB4-BE52-C91D3B7EA579}"/>
    <cellStyle name="Accent3 2 10" xfId="1876" xr:uid="{1560BBBC-2F8E-4EF1-9465-2C89F74F9ADC}"/>
    <cellStyle name="Accent3 2 11" xfId="1877" xr:uid="{1838F621-6C3B-499B-BA6C-B63F30EE40C3}"/>
    <cellStyle name="Accent3 2 12" xfId="1878" xr:uid="{DCD65CC1-8784-4F69-8E1F-A5F487B8C9A6}"/>
    <cellStyle name="Accent3 2 13" xfId="1879" xr:uid="{3651B8B2-EA31-4AFC-AA2C-7F60AB0E7222}"/>
    <cellStyle name="Accent3 2 2" xfId="1880" xr:uid="{5977A26A-8B1D-45D0-B705-0D853BCE46EB}"/>
    <cellStyle name="Accent3 2 2 10" xfId="1881" xr:uid="{AD59C506-69F7-4B30-A6C9-7CCCF3E285D1}"/>
    <cellStyle name="Accent3 2 2 2" xfId="1882" xr:uid="{3005F88A-EFD7-4D6D-A6D4-C1AC77B5544A}"/>
    <cellStyle name="Accent3 2 2 2 2" xfId="1883" xr:uid="{0105BE30-5A66-4FF0-9D36-BC63CB597082}"/>
    <cellStyle name="Accent3 2 2 3" xfId="1884" xr:uid="{4FFD6987-5AF9-4F6E-BD5B-6737C8AFC8D1}"/>
    <cellStyle name="Accent3 2 2 4" xfId="1885" xr:uid="{70AF934F-5729-4929-8DFB-08122369EBBB}"/>
    <cellStyle name="Accent3 2 2 5" xfId="1886" xr:uid="{0C6796AD-3974-4C31-A3F4-623D68499EF9}"/>
    <cellStyle name="Accent3 2 2 6" xfId="1887" xr:uid="{D29D1AD8-87C4-4F90-8895-30D399C0E9E4}"/>
    <cellStyle name="Accent3 2 2 7" xfId="1888" xr:uid="{0C98B470-89FE-4569-93E9-70A25C0C2658}"/>
    <cellStyle name="Accent3 2 2 8" xfId="1889" xr:uid="{2B995724-84A2-4112-B829-3AC065C74DE7}"/>
    <cellStyle name="Accent3 2 2 9" xfId="1890" xr:uid="{255C8B65-5E29-452B-A349-483ABCF8CA47}"/>
    <cellStyle name="Accent3 2 3" xfId="1891" xr:uid="{FF805A42-AF7F-4E03-B4AF-4402441B6F2C}"/>
    <cellStyle name="Accent3 2 3 2" xfId="1892" xr:uid="{1801BC60-F6AB-4973-B26C-C8F550752898}"/>
    <cellStyle name="Accent3 2 4" xfId="1893" xr:uid="{65E51C10-0598-4600-A6C2-B27E639F95C5}"/>
    <cellStyle name="Accent3 2 4 2" xfId="1894" xr:uid="{5B8043B2-6FC1-42AD-82D5-139B8A68BA37}"/>
    <cellStyle name="Accent3 2 5" xfId="1895" xr:uid="{B0027BEE-3FED-4E7E-B00F-79E880075C5B}"/>
    <cellStyle name="Accent3 2 6" xfId="1896" xr:uid="{6A587D35-AA58-4132-A83C-1B1BE61996C7}"/>
    <cellStyle name="Accent3 2 7" xfId="1897" xr:uid="{B94AA248-1FAB-4756-8C48-65B74340CFE6}"/>
    <cellStyle name="Accent3 2 8" xfId="1898" xr:uid="{B17F569C-417B-4023-8629-AA765B3E7C7E}"/>
    <cellStyle name="Accent3 2 9" xfId="1899" xr:uid="{063E2D76-2594-46BF-93AD-08DD8D0212AC}"/>
    <cellStyle name="Accent3 3" xfId="1900" xr:uid="{55416DFB-2CDC-432D-9A98-F95E6300AA83}"/>
    <cellStyle name="Accent3 3 10" xfId="1901" xr:uid="{ACD0A306-68C1-4F5B-9780-437A77833A68}"/>
    <cellStyle name="Accent3 3 2" xfId="1902" xr:uid="{E29F212F-C684-4BF5-93CB-9BCF853EC1F0}"/>
    <cellStyle name="Accent3 3 3" xfId="1903" xr:uid="{44E8AF46-1C61-4EA0-9434-1DD189786C94}"/>
    <cellStyle name="Accent3 3 4" xfId="1904" xr:uid="{FEF4F055-83BE-4871-9A5A-DEA4A4F2A768}"/>
    <cellStyle name="Accent3 3 5" xfId="1905" xr:uid="{AB0C8835-AE0E-4315-88B1-D91843EF56F7}"/>
    <cellStyle name="Accent3 3 6" xfId="1906" xr:uid="{8A30AE94-FEF6-4C43-844B-327212BBD22C}"/>
    <cellStyle name="Accent3 3 7" xfId="1907" xr:uid="{D987FBF9-F182-4843-B833-652B119C26CC}"/>
    <cellStyle name="Accent3 3 8" xfId="1908" xr:uid="{59AD6ED4-4327-4337-9B6B-02975DEA803B}"/>
    <cellStyle name="Accent3 3 9" xfId="1909" xr:uid="{05C8EDE3-C4FA-44E7-9B9B-0D65D354BC6C}"/>
    <cellStyle name="Accent3 4" xfId="1910" xr:uid="{34007851-A151-4D66-AB19-4C44C8145CF5}"/>
    <cellStyle name="Accent3 4 10" xfId="1911" xr:uid="{A9C5EC02-F8F3-4B1C-925A-052446FC1C32}"/>
    <cellStyle name="Accent3 4 2" xfId="1912" xr:uid="{5045F978-081C-4BA0-BD9C-DDB753D2A60C}"/>
    <cellStyle name="Accent3 4 3" xfId="1913" xr:uid="{721DDC62-1332-419B-A2B8-41525AD5B26A}"/>
    <cellStyle name="Accent3 4 4" xfId="1914" xr:uid="{2999AB75-5532-46F0-AAD2-EE1696F443B9}"/>
    <cellStyle name="Accent3 4 5" xfId="1915" xr:uid="{70DBDC1D-5737-4CA0-95D7-BB8EDC97E263}"/>
    <cellStyle name="Accent3 4 6" xfId="1916" xr:uid="{420C0643-250A-47F9-85CA-6ECD2B228E52}"/>
    <cellStyle name="Accent3 4 7" xfId="1917" xr:uid="{9AF4953D-707B-4D06-9423-4FD7FF3F7438}"/>
    <cellStyle name="Accent3 4 8" xfId="1918" xr:uid="{53837327-1FC0-4476-89FD-558F3554D6AE}"/>
    <cellStyle name="Accent3 4 9" xfId="1919" xr:uid="{96C764A1-B929-4C09-B7EC-B10FA355B07F}"/>
    <cellStyle name="Accent3 5" xfId="1920" xr:uid="{FD9C3E1C-8DCF-4AD8-9FF1-87B9C26A1E1C}"/>
    <cellStyle name="Accent3 5 10" xfId="1921" xr:uid="{550036FA-5F59-473D-8955-B6A6D8FBA536}"/>
    <cellStyle name="Accent3 5 2" xfId="1922" xr:uid="{F1A7A149-3952-4805-9766-F1F93E9856E7}"/>
    <cellStyle name="Accent3 5 3" xfId="1923" xr:uid="{FD2E829A-8A4F-4C56-9C26-140C07C7EF45}"/>
    <cellStyle name="Accent3 5 4" xfId="1924" xr:uid="{62B1D852-7945-46C1-9B01-3D7DAF9A5282}"/>
    <cellStyle name="Accent3 5 5" xfId="1925" xr:uid="{DC9B9252-79B8-461C-83B6-E2439C8C3E15}"/>
    <cellStyle name="Accent3 5 6" xfId="1926" xr:uid="{2BABEB9D-1B04-4756-9C5D-73C081D6804A}"/>
    <cellStyle name="Accent3 5 7" xfId="1927" xr:uid="{10FC95C2-B69A-459A-92A9-E06D8A4E296F}"/>
    <cellStyle name="Accent3 5 8" xfId="1928" xr:uid="{FBD5BAC7-EA79-45B6-BED3-0E092CACEA8B}"/>
    <cellStyle name="Accent3 5 9" xfId="1929" xr:uid="{8D8B132C-0FB7-45C7-BBF8-A0E5D29223E9}"/>
    <cellStyle name="Accent3 6 2" xfId="1930" xr:uid="{0589FC11-5B51-4C8B-A51E-886DF71451B5}"/>
    <cellStyle name="Accent3 7 2" xfId="1931" xr:uid="{46146FCE-87EC-4D4F-A243-97F899078F56}"/>
    <cellStyle name="Accent3 8" xfId="1932" xr:uid="{19C17C04-4219-4098-A2DF-B0E586E787CF}"/>
    <cellStyle name="Accent3 9" xfId="1933" xr:uid="{F8A05150-483A-42C4-9090-D03BC05EA728}"/>
    <cellStyle name="Accent4" xfId="33" builtinId="41" customBuiltin="1"/>
    <cellStyle name="Accent4 10" xfId="1934" xr:uid="{C0FB7A38-1AC6-489D-96D7-B1F283F90B15}"/>
    <cellStyle name="Accent4 11" xfId="1935" xr:uid="{35B0A27F-9EA5-47E5-812C-AFFEAC4507E6}"/>
    <cellStyle name="Accent4 12" xfId="1936" xr:uid="{7D2F527F-32E9-46AB-9319-59EB7FA6CFC8}"/>
    <cellStyle name="Accent4 13" xfId="1937" xr:uid="{C86FA0A8-00F4-4FF0-BC72-E8A53D7DCB42}"/>
    <cellStyle name="Accent4 14" xfId="1938" xr:uid="{2A0CF028-D4D6-4DE5-AB24-D45AC0163F1E}"/>
    <cellStyle name="Accent4 2 10" xfId="1939" xr:uid="{3348C1F3-4C31-4175-A32A-81B13C606B52}"/>
    <cellStyle name="Accent4 2 11" xfId="1940" xr:uid="{1D0F8207-73ED-45EC-A97C-7D2DD6269554}"/>
    <cellStyle name="Accent4 2 12" xfId="1941" xr:uid="{2D6D1018-2CAA-4FFA-BB20-1ABB0718D78F}"/>
    <cellStyle name="Accent4 2 13" xfId="1942" xr:uid="{D817FC7B-BA0C-41F6-93F6-4EB93D9814C1}"/>
    <cellStyle name="Accent4 2 2" xfId="1943" xr:uid="{DB8CEB40-D359-4C83-A02F-5AF2C1AFC5AB}"/>
    <cellStyle name="Accent4 2 2 10" xfId="1944" xr:uid="{C5639BF7-AAB0-4BBD-A87A-64039C63B843}"/>
    <cellStyle name="Accent4 2 2 2" xfId="1945" xr:uid="{70B68408-C459-402E-A6B2-709D53848778}"/>
    <cellStyle name="Accent4 2 2 2 2" xfId="1946" xr:uid="{0391ADEB-A988-4573-92C0-85BCFF302EDC}"/>
    <cellStyle name="Accent4 2 2 3" xfId="1947" xr:uid="{8C2F93D7-F0A8-4D2C-A0F2-BB3CC35A4370}"/>
    <cellStyle name="Accent4 2 2 4" xfId="1948" xr:uid="{8D1EEA7D-3DF5-4481-9E2B-7D101D22F646}"/>
    <cellStyle name="Accent4 2 2 5" xfId="1949" xr:uid="{BD0F156A-E912-47B9-8E39-C9E5665B0B07}"/>
    <cellStyle name="Accent4 2 2 6" xfId="1950" xr:uid="{F227D911-910C-4BE4-A744-DA908006CB1A}"/>
    <cellStyle name="Accent4 2 2 7" xfId="1951" xr:uid="{254789B7-480D-4CA1-82EB-B5FED412FB87}"/>
    <cellStyle name="Accent4 2 2 8" xfId="1952" xr:uid="{1E73CF42-7756-4E68-997D-AD1A20A4254E}"/>
    <cellStyle name="Accent4 2 2 9" xfId="1953" xr:uid="{49267484-6CEA-429A-88E0-541FAE340D3A}"/>
    <cellStyle name="Accent4 2 3" xfId="1954" xr:uid="{6A005DBA-1329-4852-9298-25E36A59BF4A}"/>
    <cellStyle name="Accent4 2 3 2" xfId="1955" xr:uid="{60506F27-14A8-4C80-85B2-2241D7FE1276}"/>
    <cellStyle name="Accent4 2 4" xfId="1956" xr:uid="{6AA7C27C-E863-42E1-9B2B-1A0AF868F12E}"/>
    <cellStyle name="Accent4 2 4 2" xfId="1957" xr:uid="{2C41C1F7-0999-4344-8634-768367597F1B}"/>
    <cellStyle name="Accent4 2 5" xfId="1958" xr:uid="{8EC111C9-1D6A-400B-A78B-59473AB3D020}"/>
    <cellStyle name="Accent4 2 6" xfId="1959" xr:uid="{74E91B4F-A7C4-4DB0-A5CE-751617C0108E}"/>
    <cellStyle name="Accent4 2 7" xfId="1960" xr:uid="{E11F457A-D019-4679-B5D4-BA68337ACE89}"/>
    <cellStyle name="Accent4 2 8" xfId="1961" xr:uid="{55AF5DF6-530A-40CA-BF6A-D55F978F9C59}"/>
    <cellStyle name="Accent4 2 9" xfId="1962" xr:uid="{A9545974-30E6-4784-8000-921F423B3ED5}"/>
    <cellStyle name="Accent4 3" xfId="1963" xr:uid="{ADB189BE-B8F0-4EE7-8CC3-B13A83F37168}"/>
    <cellStyle name="Accent4 3 10" xfId="1964" xr:uid="{A42FD673-1FC2-40F1-9172-13E200BA5C98}"/>
    <cellStyle name="Accent4 3 2" xfId="1965" xr:uid="{2809176C-E206-4537-9247-10DF9CEBFEB9}"/>
    <cellStyle name="Accent4 3 3" xfId="1966" xr:uid="{AAA6766A-9DA4-404E-AA3F-239E07032B2E}"/>
    <cellStyle name="Accent4 3 4" xfId="1967" xr:uid="{21DA0322-0929-455B-A86D-953C3249DCA6}"/>
    <cellStyle name="Accent4 3 5" xfId="1968" xr:uid="{DB966BC9-DADF-4253-B8CC-6B2F9EFBE17B}"/>
    <cellStyle name="Accent4 3 6" xfId="1969" xr:uid="{2FB1F0C6-F08E-4274-836C-5F220C1AFEB4}"/>
    <cellStyle name="Accent4 3 7" xfId="1970" xr:uid="{B57B8A3C-7F38-4136-93A7-6323D1EF8FA2}"/>
    <cellStyle name="Accent4 3 8" xfId="1971" xr:uid="{E168ED72-D8B7-4B47-AD80-4C8884E5A9F3}"/>
    <cellStyle name="Accent4 3 9" xfId="1972" xr:uid="{11D5FC56-2715-4D8E-A066-21D9990996DC}"/>
    <cellStyle name="Accent4 4" xfId="1973" xr:uid="{539482CB-9E42-49EE-A83D-87F2FF191530}"/>
    <cellStyle name="Accent4 4 10" xfId="1974" xr:uid="{F68071E6-A0F6-41CF-B285-2BB542F143D6}"/>
    <cellStyle name="Accent4 4 2" xfId="1975" xr:uid="{09175599-69EB-45EF-B3BA-B0C3A6E5BCA1}"/>
    <cellStyle name="Accent4 4 3" xfId="1976" xr:uid="{B371852A-D05C-44AD-A77D-3724015AD244}"/>
    <cellStyle name="Accent4 4 4" xfId="1977" xr:uid="{BEF108BA-9A2C-4EBD-A0D8-FEA59FDA56A1}"/>
    <cellStyle name="Accent4 4 5" xfId="1978" xr:uid="{35254E5F-8DDA-45C0-BE35-E33D93C31FB3}"/>
    <cellStyle name="Accent4 4 6" xfId="1979" xr:uid="{28315780-2C35-4647-B52E-FDFF08691339}"/>
    <cellStyle name="Accent4 4 7" xfId="1980" xr:uid="{2D121B31-3536-45E9-B9CC-F258191D333B}"/>
    <cellStyle name="Accent4 4 8" xfId="1981" xr:uid="{EA6D14C8-C3EE-4559-BF53-A29C36E3211F}"/>
    <cellStyle name="Accent4 4 9" xfId="1982" xr:uid="{1902DAB4-43B0-4ECF-9435-ADEA30F93FF0}"/>
    <cellStyle name="Accent4 5" xfId="1983" xr:uid="{248FAA20-6B29-4C47-A9D4-A8D7956E8146}"/>
    <cellStyle name="Accent4 5 10" xfId="1984" xr:uid="{72E527FB-21E9-4C27-9DBC-02961EFCD576}"/>
    <cellStyle name="Accent4 5 2" xfId="1985" xr:uid="{EB097BF3-6E4B-436E-9510-5D4186F2C1A2}"/>
    <cellStyle name="Accent4 5 3" xfId="1986" xr:uid="{47D54364-214C-479A-A3DC-0C3379FD03A4}"/>
    <cellStyle name="Accent4 5 4" xfId="1987" xr:uid="{D333C28E-3D2F-4798-82EB-301E9E6BA0B0}"/>
    <cellStyle name="Accent4 5 5" xfId="1988" xr:uid="{44861FB0-8BD3-4570-A305-7DDFB8D795D3}"/>
    <cellStyle name="Accent4 5 6" xfId="1989" xr:uid="{5B7EF667-DBDD-4A7A-9223-778B0166E4C7}"/>
    <cellStyle name="Accent4 5 7" xfId="1990" xr:uid="{ACC62F42-6442-4D9E-BA1A-AFE7730CEB97}"/>
    <cellStyle name="Accent4 5 8" xfId="1991" xr:uid="{0662AD7B-CF7A-409E-A9D5-E37CDC730DB5}"/>
    <cellStyle name="Accent4 5 9" xfId="1992" xr:uid="{F17FCAD8-9FCD-489E-9E7E-F42F91C5B26D}"/>
    <cellStyle name="Accent4 6 2" xfId="1993" xr:uid="{3ADE6416-1D8C-4D64-8264-6DEED5900F57}"/>
    <cellStyle name="Accent4 7 2" xfId="1994" xr:uid="{F4D15A7F-B271-4D86-8A79-9CAF01B2C070}"/>
    <cellStyle name="Accent4 8" xfId="1995" xr:uid="{FE977CAC-47A9-42E0-A3E1-889568554588}"/>
    <cellStyle name="Accent4 9" xfId="1996" xr:uid="{7CC013BC-1ACE-4F32-B59A-E7AF1009C2B8}"/>
    <cellStyle name="Accent5" xfId="37" builtinId="45" customBuiltin="1"/>
    <cellStyle name="Accent5 10" xfId="1997" xr:uid="{96A3F8CF-3215-4192-9733-0BD87E4FCF19}"/>
    <cellStyle name="Accent5 11" xfId="1998" xr:uid="{F5229819-832F-4B42-A6F4-37F7C6EC2DAB}"/>
    <cellStyle name="Accent5 12" xfId="1999" xr:uid="{CDBB2A4D-3327-4CE0-93FE-99CF2DA5C824}"/>
    <cellStyle name="Accent5 13" xfId="2000" xr:uid="{4B239F33-0806-4A91-9BF5-7FA17B18FB00}"/>
    <cellStyle name="Accent5 14" xfId="2001" xr:uid="{10C6508A-B4E6-40C3-8054-F340171AA97E}"/>
    <cellStyle name="Accent5 2 10" xfId="2002" xr:uid="{7F3CA03F-5395-4C8B-8F33-E3EEC1F54E2F}"/>
    <cellStyle name="Accent5 2 11" xfId="2003" xr:uid="{0B293231-DE4C-4B4C-81CC-A8445693B30E}"/>
    <cellStyle name="Accent5 2 12" xfId="2004" xr:uid="{BDC11831-B8CE-4E16-B5DA-19920D09E613}"/>
    <cellStyle name="Accent5 2 13" xfId="2005" xr:uid="{FA18941B-46BC-402F-B301-C1075DC98DD1}"/>
    <cellStyle name="Accent5 2 2" xfId="2006" xr:uid="{5786145A-A5E2-45BF-A5B4-84B5EC1C55EC}"/>
    <cellStyle name="Accent5 2 2 10" xfId="2007" xr:uid="{734A2C42-4C55-44AF-96D4-E11CA5050442}"/>
    <cellStyle name="Accent5 2 2 2" xfId="2008" xr:uid="{6B0E7E1A-14CC-4F9E-9A07-BC755130293E}"/>
    <cellStyle name="Accent5 2 2 2 2" xfId="2009" xr:uid="{F957210A-9C88-406B-ADC2-004A15EECE97}"/>
    <cellStyle name="Accent5 2 2 3" xfId="2010" xr:uid="{532761F1-4F4A-4514-89EB-192B2BE626D0}"/>
    <cellStyle name="Accent5 2 2 4" xfId="2011" xr:uid="{4A27E021-DEFF-47DA-A3E4-26DAB33EE270}"/>
    <cellStyle name="Accent5 2 2 5" xfId="2012" xr:uid="{58B6A3DE-3EC0-4E14-A7A0-57052D89440B}"/>
    <cellStyle name="Accent5 2 2 6" xfId="2013" xr:uid="{33B5660B-F442-4904-9B67-CA2FEFBFCC23}"/>
    <cellStyle name="Accent5 2 2 7" xfId="2014" xr:uid="{370183BE-658B-4A96-9EF9-26B5F1804AFA}"/>
    <cellStyle name="Accent5 2 2 8" xfId="2015" xr:uid="{69D1A468-05A3-499F-AE0A-20DD72F0B0E7}"/>
    <cellStyle name="Accent5 2 2 9" xfId="2016" xr:uid="{0480A39D-2810-4122-86D9-D3DDDAAFD8BE}"/>
    <cellStyle name="Accent5 2 3" xfId="2017" xr:uid="{2A9042E5-EE18-4C2E-A072-9A6E7A7FF033}"/>
    <cellStyle name="Accent5 2 3 2" xfId="2018" xr:uid="{AE38793A-E3A0-4E6A-9E0A-53AFB741C342}"/>
    <cellStyle name="Accent5 2 4" xfId="2019" xr:uid="{9EF11461-F054-4282-BFA1-BD9300A1DEBF}"/>
    <cellStyle name="Accent5 2 4 2" xfId="2020" xr:uid="{0EB439ED-60FD-41D3-BA0D-D5C4FF5AA322}"/>
    <cellStyle name="Accent5 2 5" xfId="2021" xr:uid="{71FB0884-F461-4880-B91B-7F7052A39EE2}"/>
    <cellStyle name="Accent5 2 6" xfId="2022" xr:uid="{2705AC2C-7736-4E90-9072-37686CE590CE}"/>
    <cellStyle name="Accent5 2 7" xfId="2023" xr:uid="{258F23F5-45B2-4C81-8E29-D5447AEB0EF6}"/>
    <cellStyle name="Accent5 2 8" xfId="2024" xr:uid="{C11FE9B2-E4B6-4159-BBBC-506832109EE8}"/>
    <cellStyle name="Accent5 2 9" xfId="2025" xr:uid="{22AD619D-440F-4314-AD14-A89674E8FF5A}"/>
    <cellStyle name="Accent5 3" xfId="2026" xr:uid="{F629D658-742F-444D-AEEC-97D706E5A1AC}"/>
    <cellStyle name="Accent5 3 10" xfId="2027" xr:uid="{046BE59D-C8F9-4D40-91B2-8199D93FFAF6}"/>
    <cellStyle name="Accent5 3 2" xfId="2028" xr:uid="{B9B8DFD0-E495-47CB-98F0-66DB2AA53961}"/>
    <cellStyle name="Accent5 3 3" xfId="2029" xr:uid="{797DB7F3-9D27-42B6-9903-5E796F76F852}"/>
    <cellStyle name="Accent5 3 4" xfId="2030" xr:uid="{C9AF8055-F7B9-4804-9188-9543447BA878}"/>
    <cellStyle name="Accent5 3 5" xfId="2031" xr:uid="{1E6702BB-A09F-4A40-912B-FC34BD5B262D}"/>
    <cellStyle name="Accent5 3 6" xfId="2032" xr:uid="{C254487D-A67E-4D9E-BDE0-57D0A0C8952F}"/>
    <cellStyle name="Accent5 3 7" xfId="2033" xr:uid="{2655DD22-D1CA-4292-AB83-49B7E3A193F0}"/>
    <cellStyle name="Accent5 3 8" xfId="2034" xr:uid="{8C06F7F7-E5BE-421C-92FE-A44F2F203419}"/>
    <cellStyle name="Accent5 3 9" xfId="2035" xr:uid="{305A11E3-62C7-43AB-B6AA-D746A09E6A16}"/>
    <cellStyle name="Accent5 4" xfId="2036" xr:uid="{2E25C79E-97FB-45E5-B81B-B4501A9F2C0C}"/>
    <cellStyle name="Accent5 4 10" xfId="2037" xr:uid="{E2387123-BA13-4A8B-A8E1-309318E227C0}"/>
    <cellStyle name="Accent5 4 2" xfId="2038" xr:uid="{474453F2-7416-48D7-BF5D-BFA67DC103C5}"/>
    <cellStyle name="Accent5 4 3" xfId="2039" xr:uid="{911A33DB-994B-44A9-9330-849B84097C75}"/>
    <cellStyle name="Accent5 4 4" xfId="2040" xr:uid="{BAF9E6C7-98C5-4038-AB0D-E3A6E1145F9B}"/>
    <cellStyle name="Accent5 4 5" xfId="2041" xr:uid="{30DE038E-4E04-4DC2-B22C-A6105E57D3F4}"/>
    <cellStyle name="Accent5 4 6" xfId="2042" xr:uid="{47CD890F-16D0-4EF9-9DAC-1989DA442CB5}"/>
    <cellStyle name="Accent5 4 7" xfId="2043" xr:uid="{2E35EB73-ACF3-453D-A3E0-40B77E2F893C}"/>
    <cellStyle name="Accent5 4 8" xfId="2044" xr:uid="{123AC444-B55C-467C-9091-2210CB5C7E3A}"/>
    <cellStyle name="Accent5 4 9" xfId="2045" xr:uid="{B9EE901C-46E2-42F1-8DA4-55535CAC8C91}"/>
    <cellStyle name="Accent5 5" xfId="2046" xr:uid="{CFAA3EAF-FB5A-49FD-B1B7-51101DA70634}"/>
    <cellStyle name="Accent5 5 10" xfId="2047" xr:uid="{A8287927-D86A-4DF6-B351-EFF8AC889616}"/>
    <cellStyle name="Accent5 5 2" xfId="2048" xr:uid="{5C88EEA5-4CC7-4076-B68A-0F148E498549}"/>
    <cellStyle name="Accent5 5 3" xfId="2049" xr:uid="{F0010370-AD48-4C4A-8C17-D0FA84E18A3F}"/>
    <cellStyle name="Accent5 5 4" xfId="2050" xr:uid="{038C0608-F449-45F2-A278-03A8CDF24330}"/>
    <cellStyle name="Accent5 5 5" xfId="2051" xr:uid="{0EC2E6AA-D0E2-4198-ACBB-F0F46606C495}"/>
    <cellStyle name="Accent5 5 6" xfId="2052" xr:uid="{D08531ED-C9D4-472F-BDF2-D75CD872FDA0}"/>
    <cellStyle name="Accent5 5 7" xfId="2053" xr:uid="{5FC59570-51CA-49A1-967F-027575D727CD}"/>
    <cellStyle name="Accent5 5 8" xfId="2054" xr:uid="{96126AC6-C860-46BA-8AF7-8BD82CFB0F93}"/>
    <cellStyle name="Accent5 5 9" xfId="2055" xr:uid="{2F66D046-0222-4512-8660-D510012C98CA}"/>
    <cellStyle name="Accent5 6 2" xfId="2056" xr:uid="{2DEE27B9-85EF-4C92-B6E4-5D157424B3A9}"/>
    <cellStyle name="Accent5 7 2" xfId="2057" xr:uid="{D766C9FF-BFAD-4387-9FD1-0F38CBAF2C2E}"/>
    <cellStyle name="Accent5 8" xfId="2058" xr:uid="{EB22AA1D-FB07-4037-81DC-B309C1778BF7}"/>
    <cellStyle name="Accent5 9" xfId="2059" xr:uid="{9006FDA4-4AB9-4607-87A0-21B62A984F27}"/>
    <cellStyle name="Accent6" xfId="41" builtinId="49" customBuiltin="1"/>
    <cellStyle name="Accent6 10" xfId="2060" xr:uid="{49D199FA-842E-4AE8-882A-0629BB15D502}"/>
    <cellStyle name="Accent6 11" xfId="2061" xr:uid="{7740086C-9641-40C7-8A98-FAF32DED8C95}"/>
    <cellStyle name="Accent6 12" xfId="2062" xr:uid="{981AD27E-B908-4BB3-9299-E9449B487E72}"/>
    <cellStyle name="Accent6 13" xfId="2063" xr:uid="{DFF3906D-06EA-4694-8668-F6D281995BA3}"/>
    <cellStyle name="Accent6 14" xfId="2064" xr:uid="{144CA69B-4645-4B95-96EC-10AFB169BC8B}"/>
    <cellStyle name="Accent6 2 10" xfId="2065" xr:uid="{350961A5-6666-4F52-BCD2-7ED32139EA56}"/>
    <cellStyle name="Accent6 2 11" xfId="2066" xr:uid="{0971A097-3609-4512-848E-FFFC868365C3}"/>
    <cellStyle name="Accent6 2 12" xfId="2067" xr:uid="{F64D2AF1-D658-4AC6-AE4C-64B6387DE7C9}"/>
    <cellStyle name="Accent6 2 13" xfId="2068" xr:uid="{42FF62C0-977D-4997-A031-863106D93E19}"/>
    <cellStyle name="Accent6 2 2" xfId="2069" xr:uid="{2E26848A-7857-40F0-BC48-9863DBD9B84C}"/>
    <cellStyle name="Accent6 2 2 10" xfId="2070" xr:uid="{BABD6B2C-3F25-4E82-BA10-D8E1BA29722F}"/>
    <cellStyle name="Accent6 2 2 2" xfId="2071" xr:uid="{87FD2350-B2FC-4623-A1DB-3DBB8B54860A}"/>
    <cellStyle name="Accent6 2 2 2 2" xfId="2072" xr:uid="{87737B91-4FE2-4519-8E67-2467F0994F3A}"/>
    <cellStyle name="Accent6 2 2 3" xfId="2073" xr:uid="{50E4E98B-BB35-4B69-85F9-A1310F3D0955}"/>
    <cellStyle name="Accent6 2 2 4" xfId="2074" xr:uid="{1508953D-BD09-4E46-AFD9-BF0A5125FB24}"/>
    <cellStyle name="Accent6 2 2 5" xfId="2075" xr:uid="{24022A87-4F81-4341-BBE7-EB9760738510}"/>
    <cellStyle name="Accent6 2 2 6" xfId="2076" xr:uid="{5D35BAD7-D491-44A8-8037-64580FD280BA}"/>
    <cellStyle name="Accent6 2 2 7" xfId="2077" xr:uid="{088F1F75-AB7A-4619-81BE-65D3D02998A1}"/>
    <cellStyle name="Accent6 2 2 8" xfId="2078" xr:uid="{4BA301E7-994E-4B7B-8B9E-44798956D76C}"/>
    <cellStyle name="Accent6 2 2 9" xfId="2079" xr:uid="{6344842D-9D64-4A1E-A44E-31061DD4ED8F}"/>
    <cellStyle name="Accent6 2 3" xfId="2080" xr:uid="{2CE4DD03-C1CA-42EA-BA15-F128B962D253}"/>
    <cellStyle name="Accent6 2 3 2" xfId="2081" xr:uid="{7DAAF0C1-5C8A-4A9F-A304-F4C5E2A64DE8}"/>
    <cellStyle name="Accent6 2 4" xfId="2082" xr:uid="{D4B55EF5-2DB8-4A03-9BCA-A98AB0F74FC2}"/>
    <cellStyle name="Accent6 2 4 2" xfId="2083" xr:uid="{C2571CE8-5967-4C58-87A1-CCFB2C197659}"/>
    <cellStyle name="Accent6 2 5" xfId="2084" xr:uid="{607D8B63-FC9A-4574-8D3D-1F95038BC68E}"/>
    <cellStyle name="Accent6 2 6" xfId="2085" xr:uid="{06D4CEB9-E612-4958-A2E6-74D5AC5C8298}"/>
    <cellStyle name="Accent6 2 7" xfId="2086" xr:uid="{725DB0F3-9451-4AA9-8205-2E9B70534536}"/>
    <cellStyle name="Accent6 2 8" xfId="2087" xr:uid="{765668A7-6E37-406A-B421-932078D7BA38}"/>
    <cellStyle name="Accent6 2 9" xfId="2088" xr:uid="{B2A5D4CC-78A8-4B2A-A01F-66BD889F9CB5}"/>
    <cellStyle name="Accent6 3" xfId="2089" xr:uid="{DA3314EC-9F50-418C-A1E3-B342530BBD97}"/>
    <cellStyle name="Accent6 3 10" xfId="2090" xr:uid="{30311905-08F2-4294-A446-2B8A4AA95700}"/>
    <cellStyle name="Accent6 3 2" xfId="2091" xr:uid="{38E8B682-304B-4F3F-A711-2AF47D03A22C}"/>
    <cellStyle name="Accent6 3 3" xfId="2092" xr:uid="{7FBD8FE9-5761-43F2-8C0F-8E4822507FFE}"/>
    <cellStyle name="Accent6 3 4" xfId="2093" xr:uid="{CC3CFA60-16ED-4829-909C-0BA11E18DC9C}"/>
    <cellStyle name="Accent6 3 5" xfId="2094" xr:uid="{26E9C6A7-967D-4954-854B-BF705AF0D1E7}"/>
    <cellStyle name="Accent6 3 6" xfId="2095" xr:uid="{294001DE-AF82-4844-AEC8-664E51B517E8}"/>
    <cellStyle name="Accent6 3 7" xfId="2096" xr:uid="{0A151F23-8D41-41F0-BD67-C33F8E6BC0F7}"/>
    <cellStyle name="Accent6 3 8" xfId="2097" xr:uid="{9C67E4FC-9D44-4EA3-B805-10190EF2CDE4}"/>
    <cellStyle name="Accent6 3 9" xfId="2098" xr:uid="{C5555964-DA08-4AD4-BE57-090181271D46}"/>
    <cellStyle name="Accent6 4" xfId="2099" xr:uid="{F4722148-72F9-453C-8813-79F3688AB00E}"/>
    <cellStyle name="Accent6 4 10" xfId="2100" xr:uid="{2DBD9D33-4C6C-49A0-8834-2F4385A8E1D3}"/>
    <cellStyle name="Accent6 4 2" xfId="2101" xr:uid="{E94B0DCD-70E9-4F43-A62A-C30472F7D1E3}"/>
    <cellStyle name="Accent6 4 3" xfId="2102" xr:uid="{D61B80B1-6E74-4DD3-A470-F1756B49B3A0}"/>
    <cellStyle name="Accent6 4 4" xfId="2103" xr:uid="{92484D87-8E06-47EC-BC48-11ACEF937B36}"/>
    <cellStyle name="Accent6 4 5" xfId="2104" xr:uid="{02DEE451-CB84-4B4E-97EA-ADBB79894186}"/>
    <cellStyle name="Accent6 4 6" xfId="2105" xr:uid="{93B8E864-05B3-4814-9695-C829414BEB4E}"/>
    <cellStyle name="Accent6 4 7" xfId="2106" xr:uid="{457FE890-EF22-4131-BCB0-FEDDA1DB2334}"/>
    <cellStyle name="Accent6 4 8" xfId="2107" xr:uid="{C6AA5779-1DAA-40E6-87B6-317F084CBD23}"/>
    <cellStyle name="Accent6 4 9" xfId="2108" xr:uid="{26379FD3-ECA7-491B-8C31-0F8518E52854}"/>
    <cellStyle name="Accent6 5" xfId="2109" xr:uid="{A5024717-D405-46B1-BFAF-5269DB0B2479}"/>
    <cellStyle name="Accent6 5 10" xfId="2110" xr:uid="{5BFB6A81-C244-458C-B124-94B66E0BDD88}"/>
    <cellStyle name="Accent6 5 2" xfId="2111" xr:uid="{86D09A47-0786-4721-A1C3-93D47D341481}"/>
    <cellStyle name="Accent6 5 3" xfId="2112" xr:uid="{1F548AA5-8C07-4027-9445-D006623F21A4}"/>
    <cellStyle name="Accent6 5 4" xfId="2113" xr:uid="{A4368DE7-7131-41DB-8F6F-E68C11ADD3B1}"/>
    <cellStyle name="Accent6 5 5" xfId="2114" xr:uid="{EE848FC7-35DC-4EA1-A1EA-2DA81B68C07E}"/>
    <cellStyle name="Accent6 5 6" xfId="2115" xr:uid="{8060690D-0355-47D6-AFB3-309B2F242E7C}"/>
    <cellStyle name="Accent6 5 7" xfId="2116" xr:uid="{B31A85DF-440F-44BB-BAEA-D67F346AB836}"/>
    <cellStyle name="Accent6 5 8" xfId="2117" xr:uid="{3FDD4533-8E9F-462D-B50E-79B7D61C22E3}"/>
    <cellStyle name="Accent6 5 9" xfId="2118" xr:uid="{9142C605-5022-473E-B1C6-9062BB156505}"/>
    <cellStyle name="Accent6 6 2" xfId="2119" xr:uid="{6D4E63F0-5455-467D-8074-72CD96675FD7}"/>
    <cellStyle name="Accent6 7 2" xfId="2120" xr:uid="{5B5B7727-BB95-4852-9165-2B40AEDFD754}"/>
    <cellStyle name="Accent6 8" xfId="2121" xr:uid="{3114C9FD-81C8-4B41-B25F-9338E55EC104}"/>
    <cellStyle name="Accent6 9" xfId="2122" xr:uid="{9DCFA9B0-DC65-4CFC-B89F-6103AE442EAE}"/>
    <cellStyle name="Bad" xfId="12" builtinId="27" customBuiltin="1"/>
    <cellStyle name="Bad 10" xfId="2123" xr:uid="{A769E369-7620-48E1-8EB3-522542401DD1}"/>
    <cellStyle name="Bad 11" xfId="2124" xr:uid="{2DD71BAB-44D3-4A02-BBC4-9E2CC4B006B6}"/>
    <cellStyle name="Bad 12" xfId="2125" xr:uid="{AC2530E5-87D6-4012-9016-74E0B9C5F58A}"/>
    <cellStyle name="Bad 13" xfId="2126" xr:uid="{564B5AAD-5866-470C-ADE9-3256B57355A5}"/>
    <cellStyle name="Bad 14" xfId="2127" xr:uid="{B8275C7E-871D-4AC9-803B-7CEEB4573A19}"/>
    <cellStyle name="Bad 2 10" xfId="2128" xr:uid="{D9FCBB40-C691-4F0A-AA93-BF4CDD37B611}"/>
    <cellStyle name="Bad 2 11" xfId="2129" xr:uid="{A1BA7ED5-9DDA-47B3-ADA5-D972907C3598}"/>
    <cellStyle name="Bad 2 12" xfId="2130" xr:uid="{C8DD0E0D-5320-4607-8D84-0AB07CB73CE2}"/>
    <cellStyle name="Bad 2 13" xfId="2131" xr:uid="{EEC67F1D-DBBB-4E6E-972E-E0FF06713E76}"/>
    <cellStyle name="Bad 2 2" xfId="2132" xr:uid="{CE1B9E74-DB7B-4432-AFF8-4761AE333AFD}"/>
    <cellStyle name="Bad 2 2 10" xfId="2133" xr:uid="{A1CC8178-FD3D-43C6-BE4A-D28483F10998}"/>
    <cellStyle name="Bad 2 2 2" xfId="2134" xr:uid="{159E5CD6-CA39-492E-8D2D-6B09CAD8C258}"/>
    <cellStyle name="Bad 2 2 2 2" xfId="2135" xr:uid="{1F544A6F-432E-4012-84B9-1FB90085038C}"/>
    <cellStyle name="Bad 2 2 3" xfId="2136" xr:uid="{FB5A6132-B5ED-434B-B415-91A1C2E6A273}"/>
    <cellStyle name="Bad 2 2 4" xfId="2137" xr:uid="{8A487CCE-A187-41BA-B40D-1760EF9E82A3}"/>
    <cellStyle name="Bad 2 2 5" xfId="2138" xr:uid="{59477930-0C89-428C-8045-5AA187E7AD13}"/>
    <cellStyle name="Bad 2 2 6" xfId="2139" xr:uid="{EC4E2530-2F74-4994-BDB0-F021B96E7039}"/>
    <cellStyle name="Bad 2 2 7" xfId="2140" xr:uid="{77A99A5E-3988-434F-AB7A-9E1F25E872C9}"/>
    <cellStyle name="Bad 2 2 8" xfId="2141" xr:uid="{4C8673EA-F6E4-4C49-972B-6F2CF3506153}"/>
    <cellStyle name="Bad 2 2 9" xfId="2142" xr:uid="{A833E376-CF82-4D63-A9A2-17E8FB7FDFB4}"/>
    <cellStyle name="Bad 2 3" xfId="2143" xr:uid="{6208AFE5-F19D-458A-BAA4-A881CA8215DA}"/>
    <cellStyle name="Bad 2 3 2" xfId="2144" xr:uid="{A05DD213-90D6-4DA4-BC71-7760C14EC6E2}"/>
    <cellStyle name="Bad 2 4" xfId="2145" xr:uid="{3525717A-EBA8-4CA9-A6E2-C26B243C8C59}"/>
    <cellStyle name="Bad 2 4 2" xfId="2146" xr:uid="{399C2F73-A2D3-4348-803A-F3F67C663B4D}"/>
    <cellStyle name="Bad 2 5" xfId="2147" xr:uid="{39BEB823-01B2-4CB3-ADF9-1C681BF73FD3}"/>
    <cellStyle name="Bad 2 6" xfId="2148" xr:uid="{FB050153-5966-43AA-BBAC-5A77EC2F5BB5}"/>
    <cellStyle name="Bad 2 7" xfId="2149" xr:uid="{A22DA2B3-D9DE-4D46-A615-10BDEFC69860}"/>
    <cellStyle name="Bad 2 8" xfId="2150" xr:uid="{0043583B-D9DB-40B3-BD63-0888312A31AD}"/>
    <cellStyle name="Bad 2 9" xfId="2151" xr:uid="{F726EA1C-054E-4431-9C7C-2ABDD06350E9}"/>
    <cellStyle name="Bad 3" xfId="2152" xr:uid="{F39D002B-9A94-452F-9E71-6454AF972D03}"/>
    <cellStyle name="Bad 3 10" xfId="2153" xr:uid="{A5186FF7-279F-4002-806A-1DA8641325C3}"/>
    <cellStyle name="Bad 3 2" xfId="2154" xr:uid="{14871EDD-4D2A-4ED5-9C27-EE1AAEFC61EE}"/>
    <cellStyle name="Bad 3 3" xfId="2155" xr:uid="{A55DAEB5-AA19-460D-AD4E-E3A6ABCDBB59}"/>
    <cellStyle name="Bad 3 4" xfId="2156" xr:uid="{49443867-0B6A-4715-8090-AA4EDC2BCC25}"/>
    <cellStyle name="Bad 3 5" xfId="2157" xr:uid="{3CC76556-6D24-477E-B3BC-BED5E7F02061}"/>
    <cellStyle name="Bad 3 6" xfId="2158" xr:uid="{091C2E7A-85D5-4B71-B56B-5D8D4A19E386}"/>
    <cellStyle name="Bad 3 7" xfId="2159" xr:uid="{A4877C70-87DB-4FBC-8794-392BC76068CD}"/>
    <cellStyle name="Bad 3 8" xfId="2160" xr:uid="{77E13189-0BD4-4D15-8505-863D15C3A7BA}"/>
    <cellStyle name="Bad 3 9" xfId="2161" xr:uid="{28BA9E06-B319-4844-A076-09495F8C9A82}"/>
    <cellStyle name="Bad 4" xfId="2162" xr:uid="{44E84BC4-8395-43D7-B71E-2CE54216A398}"/>
    <cellStyle name="Bad 4 10" xfId="2163" xr:uid="{CF5043CB-A300-4BD2-9131-9EF29A60716F}"/>
    <cellStyle name="Bad 4 2" xfId="2164" xr:uid="{D429BF87-877B-4F06-9D3B-3D7B7E84F58F}"/>
    <cellStyle name="Bad 4 3" xfId="2165" xr:uid="{2423BC80-D8F0-4852-BFEA-1130FF5BBCA8}"/>
    <cellStyle name="Bad 4 4" xfId="2166" xr:uid="{993E03DC-2D02-479F-B2B1-6D65615ED1C2}"/>
    <cellStyle name="Bad 4 5" xfId="2167" xr:uid="{C3B68D19-65EE-4AE6-9420-68625DC56C51}"/>
    <cellStyle name="Bad 4 6" xfId="2168" xr:uid="{A1131E09-8552-4B5E-992C-64D535D5E7D7}"/>
    <cellStyle name="Bad 4 7" xfId="2169" xr:uid="{E23F86DF-B6A3-4E82-9666-ACDD0BC908D3}"/>
    <cellStyle name="Bad 4 8" xfId="2170" xr:uid="{2073997F-A67C-477D-9380-B7217B0D66C9}"/>
    <cellStyle name="Bad 4 9" xfId="2171" xr:uid="{CD460B0F-C75E-491F-89C0-38837DE585A7}"/>
    <cellStyle name="Bad 5" xfId="2172" xr:uid="{1A2DB78E-5AAE-4314-A32F-82D7F5B801D3}"/>
    <cellStyle name="Bad 5 10" xfId="2173" xr:uid="{200FF96A-5D44-49F4-90F9-BCC37F22FF4F}"/>
    <cellStyle name="Bad 5 2" xfId="2174" xr:uid="{93F3D649-AB64-4093-98B8-D830D86F28CD}"/>
    <cellStyle name="Bad 5 3" xfId="2175" xr:uid="{7D0B0CAF-0147-463A-B0BD-E075D94F7458}"/>
    <cellStyle name="Bad 5 4" xfId="2176" xr:uid="{63BA7E5F-1D62-4B56-8BE4-44DC6DDD3B70}"/>
    <cellStyle name="Bad 5 5" xfId="2177" xr:uid="{B3119CBB-C973-4C07-AF6D-C94500648497}"/>
    <cellStyle name="Bad 5 6" xfId="2178" xr:uid="{C9E42BC3-CC08-4F80-88E5-1AAA6B821481}"/>
    <cellStyle name="Bad 5 7" xfId="2179" xr:uid="{67435620-A3F0-47FA-8F97-52F662B985EA}"/>
    <cellStyle name="Bad 5 8" xfId="2180" xr:uid="{516453F2-2933-4852-87C4-6394556F2F20}"/>
    <cellStyle name="Bad 5 9" xfId="2181" xr:uid="{13915B9D-3431-47D8-A272-748001AC7A2D}"/>
    <cellStyle name="Bad 6 2" xfId="2182" xr:uid="{BA53D9B4-A45E-49CF-9887-83881010A10E}"/>
    <cellStyle name="Bad 7 2" xfId="2183" xr:uid="{218815B4-7CC0-4BD7-AA05-56ACA20D49E0}"/>
    <cellStyle name="Bad 8" xfId="2184" xr:uid="{97267A26-8375-46C7-8AA0-BFF19893C3EB}"/>
    <cellStyle name="Bad 9" xfId="2185" xr:uid="{764115FD-B2F8-42AE-888E-8CB5543A08EC}"/>
    <cellStyle name="Calculation" xfId="16" builtinId="22" customBuiltin="1"/>
    <cellStyle name="Calculation 10" xfId="2186" xr:uid="{FBE3B590-FEFE-457D-95DA-B28C5AE6EA5E}"/>
    <cellStyle name="Calculation 11" xfId="2187" xr:uid="{661B20BE-4481-4491-9D83-0A8B4042EE42}"/>
    <cellStyle name="Calculation 12" xfId="2188" xr:uid="{6158430A-3A66-4A55-8FD0-B008DBDEA485}"/>
    <cellStyle name="Calculation 13" xfId="2189" xr:uid="{C14EEB63-77D4-4B59-AAE8-9F4591A69C68}"/>
    <cellStyle name="Calculation 14" xfId="2190" xr:uid="{FAC7FF55-BF8E-443E-A087-D292DFFA29C7}"/>
    <cellStyle name="Calculation 2 10" xfId="2191" xr:uid="{336BBF86-AF48-49A3-B6F2-EF2BFEEDCD5C}"/>
    <cellStyle name="Calculation 2 11" xfId="2192" xr:uid="{4E07D989-1E34-41FA-A55F-95A91E43A975}"/>
    <cellStyle name="Calculation 2 12" xfId="2193" xr:uid="{DE2C19D3-F504-4B27-8541-EF3FE25A90BC}"/>
    <cellStyle name="Calculation 2 13" xfId="2194" xr:uid="{199684EE-C7E1-4694-B459-A88E111EE173}"/>
    <cellStyle name="Calculation 2 2" xfId="2195" xr:uid="{2B8C968D-86DB-4DED-978C-155BADC59252}"/>
    <cellStyle name="Calculation 2 2 10" xfId="2196" xr:uid="{4191F551-25B4-4F2D-A4EC-D73EBE0EB8CD}"/>
    <cellStyle name="Calculation 2 2 2" xfId="2197" xr:uid="{BFDD4E63-E114-4D85-B46B-B2940FA71E4C}"/>
    <cellStyle name="Calculation 2 2 2 2" xfId="2198" xr:uid="{89288456-F72D-41DC-B591-4E7EEE5E18CF}"/>
    <cellStyle name="Calculation 2 2 3" xfId="2199" xr:uid="{2A8CECF5-2294-4BCF-AE94-A5FDBB874F2F}"/>
    <cellStyle name="Calculation 2 2 4" xfId="2200" xr:uid="{5C3B9804-4085-4249-BA35-3C81FF893F6E}"/>
    <cellStyle name="Calculation 2 2 5" xfId="2201" xr:uid="{5B887AD3-6F7F-4C82-8B8D-D7E6AF9919DE}"/>
    <cellStyle name="Calculation 2 2 6" xfId="2202" xr:uid="{6BC24ECD-3120-4ECC-AD0C-911D93A4DBF4}"/>
    <cellStyle name="Calculation 2 2 7" xfId="2203" xr:uid="{6DF936A5-B354-4AD9-9F8A-46570710056D}"/>
    <cellStyle name="Calculation 2 2 8" xfId="2204" xr:uid="{653C3269-98A5-4B12-8AF5-03B14A6BF9EA}"/>
    <cellStyle name="Calculation 2 2 9" xfId="2205" xr:uid="{E4446886-C414-4578-9D0E-80693DE2A699}"/>
    <cellStyle name="Calculation 2 3" xfId="2206" xr:uid="{A75310AD-DC16-4710-A459-17B339ED07BC}"/>
    <cellStyle name="Calculation 2 3 2" xfId="2207" xr:uid="{B32727DB-EA8A-4C72-AB01-FF3393FA9520}"/>
    <cellStyle name="Calculation 2 4" xfId="2208" xr:uid="{186448B5-78F2-41FE-B619-0E77C0A062FE}"/>
    <cellStyle name="Calculation 2 4 2" xfId="2209" xr:uid="{FD78EDFD-54E5-4AD0-AD4D-35581DFD130E}"/>
    <cellStyle name="Calculation 2 5" xfId="2210" xr:uid="{EDF1C2B2-19BA-4642-A4F4-AA542E2FB0D7}"/>
    <cellStyle name="Calculation 2 6" xfId="2211" xr:uid="{00B07A77-4E74-4369-97D6-0C8582483728}"/>
    <cellStyle name="Calculation 2 7" xfId="2212" xr:uid="{A50B1CB5-215C-41C5-ACC7-6333B0F53860}"/>
    <cellStyle name="Calculation 2 8" xfId="2213" xr:uid="{EEA94537-C042-4483-A68E-15915A0C1858}"/>
    <cellStyle name="Calculation 2 9" xfId="2214" xr:uid="{4695FD14-E1C9-40D9-817C-A6FA0EF8DECF}"/>
    <cellStyle name="Calculation 3" xfId="2215" xr:uid="{ED1E22B9-B851-4375-B2A3-2F94F3EF4C55}"/>
    <cellStyle name="Calculation 3 10" xfId="2216" xr:uid="{A0C8BE4C-4F03-4F26-9FCB-0F3233E99F88}"/>
    <cellStyle name="Calculation 3 2" xfId="2217" xr:uid="{314A5F71-CA32-4F2E-972E-31919B2F44CB}"/>
    <cellStyle name="Calculation 3 3" xfId="2218" xr:uid="{190C6F92-BA6F-40F3-96D4-2826435546A2}"/>
    <cellStyle name="Calculation 3 4" xfId="2219" xr:uid="{1DE1C9D4-32EE-4D87-9DA4-D0317F8B1DD3}"/>
    <cellStyle name="Calculation 3 5" xfId="2220" xr:uid="{75093D16-1CC3-4FC5-8EFD-E9A0C9E5F342}"/>
    <cellStyle name="Calculation 3 6" xfId="2221" xr:uid="{DBF2A9F1-09A6-40AF-A7A8-9192A1172F85}"/>
    <cellStyle name="Calculation 3 7" xfId="2222" xr:uid="{28C36B18-7E59-4D6E-B005-1D3503362665}"/>
    <cellStyle name="Calculation 3 8" xfId="2223" xr:uid="{13FC55C9-9548-45FF-A1C5-C5144326B56F}"/>
    <cellStyle name="Calculation 3 9" xfId="2224" xr:uid="{1259F0CA-666B-44D6-B0A1-65CC7D7FAEF8}"/>
    <cellStyle name="Calculation 4" xfId="2225" xr:uid="{292E7CDE-0A66-4135-BBD5-15BA041F903C}"/>
    <cellStyle name="Calculation 4 10" xfId="2226" xr:uid="{365DD371-8EE3-49C3-9F0A-B754CFEC913E}"/>
    <cellStyle name="Calculation 4 2" xfId="2227" xr:uid="{63138F0D-2DB4-46DC-8D66-C71680ED8828}"/>
    <cellStyle name="Calculation 4 3" xfId="2228" xr:uid="{58EB31B1-3F88-4C29-8258-74123EAB673F}"/>
    <cellStyle name="Calculation 4 4" xfId="2229" xr:uid="{0EEBE739-2369-4048-8286-7AA4A1264F5F}"/>
    <cellStyle name="Calculation 4 5" xfId="2230" xr:uid="{12B7DCD1-B289-4DCE-97F1-FB0B56C6D7BB}"/>
    <cellStyle name="Calculation 4 6" xfId="2231" xr:uid="{ED62DC6D-3F7C-4521-9641-939F2A1493ED}"/>
    <cellStyle name="Calculation 4 7" xfId="2232" xr:uid="{05E93025-85C0-475B-B239-DAEBE8FBD833}"/>
    <cellStyle name="Calculation 4 8" xfId="2233" xr:uid="{1AA0FD15-741E-46E3-90D6-18B9A1F5453A}"/>
    <cellStyle name="Calculation 4 9" xfId="2234" xr:uid="{E25D9E29-C094-4BDE-8C46-8BF13D809473}"/>
    <cellStyle name="Calculation 5" xfId="2235" xr:uid="{A5C56C42-A3E8-4B54-B418-94E6C194CF99}"/>
    <cellStyle name="Calculation 5 10" xfId="2236" xr:uid="{09F37756-1F0E-46A2-BB56-9B9F662C25BD}"/>
    <cellStyle name="Calculation 5 2" xfId="2237" xr:uid="{D20BBA2F-7514-4328-A3DC-049FAEEB72EA}"/>
    <cellStyle name="Calculation 5 3" xfId="2238" xr:uid="{36E7D7E6-1120-4095-BA0C-FF6FA38E2A50}"/>
    <cellStyle name="Calculation 5 4" xfId="2239" xr:uid="{30916581-40C0-41B6-B09C-2F4C0AA71D12}"/>
    <cellStyle name="Calculation 5 5" xfId="2240" xr:uid="{58F13F0B-7AD6-4B1F-954F-2DF97CEB93E4}"/>
    <cellStyle name="Calculation 5 6" xfId="2241" xr:uid="{E9C3B9DE-D2AC-4966-8C50-14038A8A9222}"/>
    <cellStyle name="Calculation 5 7" xfId="2242" xr:uid="{CC81E310-117E-46C3-A62F-510674E57EDF}"/>
    <cellStyle name="Calculation 5 8" xfId="2243" xr:uid="{6422F292-D9CA-4A67-B640-E532BF6F0571}"/>
    <cellStyle name="Calculation 5 9" xfId="2244" xr:uid="{9E9BE3C7-998C-4F97-8D1E-CD8EFD2BBC3A}"/>
    <cellStyle name="Calculation 6 2" xfId="2245" xr:uid="{36F3C987-3D6B-4B95-8EEE-B7D6DB53198F}"/>
    <cellStyle name="Calculation 7 2" xfId="2246" xr:uid="{9D762E13-2532-4BE5-9281-229159BC5500}"/>
    <cellStyle name="Calculation 8" xfId="2247" xr:uid="{AA06B99C-BB33-474F-8364-4CBDC7D456A0}"/>
    <cellStyle name="Calculation 9" xfId="2248" xr:uid="{CB1F3FFB-42C1-44A7-A86D-00914DC7A845}"/>
    <cellStyle name="Check Cell" xfId="18" builtinId="23" customBuiltin="1"/>
    <cellStyle name="Check Cell 10" xfId="2249" xr:uid="{F667F493-A122-4556-B063-0C093C1513EA}"/>
    <cellStyle name="Check Cell 11" xfId="2250" xr:uid="{511379A2-B45D-4EF8-99D7-E1D0D778463C}"/>
    <cellStyle name="Check Cell 12" xfId="2251" xr:uid="{B8FAFAB7-384F-4DE7-8869-BCF9A59F150C}"/>
    <cellStyle name="Check Cell 13" xfId="2252" xr:uid="{B9436B4C-FF44-4849-8CAB-A93C10A9F5D9}"/>
    <cellStyle name="Check Cell 14" xfId="2253" xr:uid="{4D891713-5D79-4A02-8505-C2CE2477650C}"/>
    <cellStyle name="Check Cell 2 10" xfId="2254" xr:uid="{0928FFFB-B7F9-4D75-90F6-AE4BD323301E}"/>
    <cellStyle name="Check Cell 2 11" xfId="2255" xr:uid="{0831BD5D-FF28-43B4-930A-B848938B1396}"/>
    <cellStyle name="Check Cell 2 12" xfId="2256" xr:uid="{D0F35E2A-D1B9-42AA-BA61-1F22B80B781D}"/>
    <cellStyle name="Check Cell 2 13" xfId="2257" xr:uid="{4F1A5E1D-F052-480E-A247-CBA5167EDC0B}"/>
    <cellStyle name="Check Cell 2 2" xfId="2258" xr:uid="{99B5FA07-F4A1-447B-9307-A0C80F4A4E2F}"/>
    <cellStyle name="Check Cell 2 2 10" xfId="2259" xr:uid="{CE5B927E-91DD-4103-B8F6-1F375608FF00}"/>
    <cellStyle name="Check Cell 2 2 2" xfId="2260" xr:uid="{74873581-8DCD-4DAE-A907-02C08F665975}"/>
    <cellStyle name="Check Cell 2 2 2 2" xfId="2261" xr:uid="{DC06B69A-522F-45BE-A741-42F0F7441DA2}"/>
    <cellStyle name="Check Cell 2 2 3" xfId="2262" xr:uid="{B96CDF14-4DF5-4976-9B3D-7A4A73340277}"/>
    <cellStyle name="Check Cell 2 2 4" xfId="2263" xr:uid="{C8DB00EE-C37A-416C-914D-28117A41E003}"/>
    <cellStyle name="Check Cell 2 2 5" xfId="2264" xr:uid="{8DF3AE73-2BE8-43F8-9E63-CBBACEC97C9F}"/>
    <cellStyle name="Check Cell 2 2 6" xfId="2265" xr:uid="{B7B418BC-DA98-4E57-91DA-C462BB80BF9A}"/>
    <cellStyle name="Check Cell 2 2 7" xfId="2266" xr:uid="{7714F71D-1B46-42E1-8F5F-6A8500CF298E}"/>
    <cellStyle name="Check Cell 2 2 8" xfId="2267" xr:uid="{B28E5F6C-31C3-406E-986D-457C72516AE2}"/>
    <cellStyle name="Check Cell 2 2 9" xfId="2268" xr:uid="{6743A1A5-5A90-4036-9208-25A740A617F4}"/>
    <cellStyle name="Check Cell 2 3" xfId="2269" xr:uid="{ED69E36C-A4CB-4457-92B2-C9B4BB9DAF02}"/>
    <cellStyle name="Check Cell 2 3 2" xfId="2270" xr:uid="{00AA4C93-A898-4CD9-90D1-C27D6C69BF30}"/>
    <cellStyle name="Check Cell 2 4" xfId="2271" xr:uid="{8D3EBE32-22D3-4CE1-B3BC-6C4BAEEFCE6B}"/>
    <cellStyle name="Check Cell 2 4 2" xfId="2272" xr:uid="{4FDD0B3A-CDB2-432F-8ECE-A1BAC369FBA9}"/>
    <cellStyle name="Check Cell 2 5" xfId="2273" xr:uid="{3DB2E7B2-80E6-4F6F-AA4C-B38A70ACC86C}"/>
    <cellStyle name="Check Cell 2 6" xfId="2274" xr:uid="{85C36C99-CB77-4269-9786-D16C0DEFC519}"/>
    <cellStyle name="Check Cell 2 7" xfId="2275" xr:uid="{95D57F04-8435-4F1A-A5C3-DAD544DF97A1}"/>
    <cellStyle name="Check Cell 2 8" xfId="2276" xr:uid="{10609338-450D-40F9-AE06-5C24546F1CEF}"/>
    <cellStyle name="Check Cell 2 9" xfId="2277" xr:uid="{BB54F4AA-C3B1-470F-86D0-7808B493D0B9}"/>
    <cellStyle name="Check Cell 3" xfId="2278" xr:uid="{48E156D2-3C98-440D-BB23-AD80547FBE9F}"/>
    <cellStyle name="Check Cell 3 10" xfId="2279" xr:uid="{C21FF679-29DC-439C-917A-FDBAF0905328}"/>
    <cellStyle name="Check Cell 3 2" xfId="2280" xr:uid="{96AC925D-155B-4420-B705-C87B65E71D03}"/>
    <cellStyle name="Check Cell 3 3" xfId="2281" xr:uid="{B382F067-7EC8-477A-84D0-9C306C8CAEAA}"/>
    <cellStyle name="Check Cell 3 4" xfId="2282" xr:uid="{A5187F4A-0B83-4B62-ACBE-283F6AB98F95}"/>
    <cellStyle name="Check Cell 3 5" xfId="2283" xr:uid="{8255FCA2-0E1E-4183-935D-981FF174F0A8}"/>
    <cellStyle name="Check Cell 3 6" xfId="2284" xr:uid="{988382EE-02D3-43A0-A93F-FC0D822CF313}"/>
    <cellStyle name="Check Cell 3 7" xfId="2285" xr:uid="{92A29BDA-71DD-44B9-9D58-E02D918D0A8D}"/>
    <cellStyle name="Check Cell 3 8" xfId="2286" xr:uid="{476C76CB-546B-4A1E-8541-6DE05193F4FF}"/>
    <cellStyle name="Check Cell 3 9" xfId="2287" xr:uid="{2FAF0BB4-8B24-436E-A53F-55642191F0EE}"/>
    <cellStyle name="Check Cell 4" xfId="2288" xr:uid="{379878AA-C7CC-497F-BFA2-DC4BE6C5CF3E}"/>
    <cellStyle name="Check Cell 4 10" xfId="2289" xr:uid="{E609789D-1D2D-47F7-9DA9-FA46C030217D}"/>
    <cellStyle name="Check Cell 4 2" xfId="2290" xr:uid="{6784F481-5F12-4B5D-8584-6FB7114438B4}"/>
    <cellStyle name="Check Cell 4 3" xfId="2291" xr:uid="{C72A35F8-CA21-4B73-A84C-8C587C3DE198}"/>
    <cellStyle name="Check Cell 4 4" xfId="2292" xr:uid="{0F6D3B3F-66E7-41C4-A12F-424ED266802D}"/>
    <cellStyle name="Check Cell 4 5" xfId="2293" xr:uid="{7AF5CD78-2812-417C-9AED-DDD855EE73B7}"/>
    <cellStyle name="Check Cell 4 6" xfId="2294" xr:uid="{1E381D3A-DA90-4743-8D68-B42D6F29BDC1}"/>
    <cellStyle name="Check Cell 4 7" xfId="2295" xr:uid="{6BFA64DD-7E59-44BB-A962-A6167416FBF7}"/>
    <cellStyle name="Check Cell 4 8" xfId="2296" xr:uid="{973F7829-7925-4778-A235-0E16B6240B42}"/>
    <cellStyle name="Check Cell 4 9" xfId="2297" xr:uid="{A73F25DD-A205-43C5-8114-4533C712CC71}"/>
    <cellStyle name="Check Cell 5" xfId="2298" xr:uid="{78347A8C-3ABB-449D-A9A8-1BCD5B0CF854}"/>
    <cellStyle name="Check Cell 5 10" xfId="2299" xr:uid="{130A998A-4FC8-46CC-870B-1EF15CC59F79}"/>
    <cellStyle name="Check Cell 5 2" xfId="2300" xr:uid="{E27BFB1A-56E3-484B-B362-4221B157E92B}"/>
    <cellStyle name="Check Cell 5 3" xfId="2301" xr:uid="{95EC85D0-2418-4661-B7B3-D2EFE7EA3287}"/>
    <cellStyle name="Check Cell 5 4" xfId="2302" xr:uid="{4EBFC6C2-7580-429F-AC7A-29EFB5976937}"/>
    <cellStyle name="Check Cell 5 5" xfId="2303" xr:uid="{E81AFA0A-248C-450B-8517-D7EF0A557B52}"/>
    <cellStyle name="Check Cell 5 6" xfId="2304" xr:uid="{7E58EE40-6DF0-47DF-9D34-9E1AB76831FA}"/>
    <cellStyle name="Check Cell 5 7" xfId="2305" xr:uid="{9DCBBE7D-6BEB-4DAD-B5D9-EA1D986C709C}"/>
    <cellStyle name="Check Cell 5 8" xfId="2306" xr:uid="{BCE6E8B4-A817-47D7-A597-36B839F47E3D}"/>
    <cellStyle name="Check Cell 5 9" xfId="2307" xr:uid="{C211DE3A-C8C3-47A9-8192-D727A067AA11}"/>
    <cellStyle name="Check Cell 6 2" xfId="2308" xr:uid="{9801EFF8-AE3E-4030-95F1-45CB5C2C5EC4}"/>
    <cellStyle name="Check Cell 7 2" xfId="2309" xr:uid="{353B1006-6755-4DE0-A07D-5E2FAB20290C}"/>
    <cellStyle name="Check Cell 8" xfId="2310" xr:uid="{46821DD0-28F5-4C7D-B439-0C295CCF949E}"/>
    <cellStyle name="Check Cell 9" xfId="2311" xr:uid="{75EAF40F-C196-43B2-B711-537D22E1DBE1}"/>
    <cellStyle name="Comma" xfId="1" builtinId="3"/>
    <cellStyle name="Comma 10" xfId="16784" xr:uid="{C9C98203-331E-4A85-85BF-F58A1AE4A845}"/>
    <cellStyle name="Comma 2" xfId="46" xr:uid="{AF573426-42B4-4071-8DC7-EDD02CB99E15}"/>
    <cellStyle name="Comma 2 2" xfId="2312" xr:uid="{4EFC1B6D-04A2-400C-B095-27850BA94370}"/>
    <cellStyle name="Comma 3" xfId="48" xr:uid="{FAAAD0AF-4B68-45FB-AFFE-54AF33BACF7B}"/>
    <cellStyle name="Comma 3 2" xfId="2313" xr:uid="{FF53C9CF-84AE-4195-A1FF-D03874A0BA2D}"/>
    <cellStyle name="Comma 4" xfId="2314" xr:uid="{0A420BD6-DB7A-467F-A72F-84B326E81416}"/>
    <cellStyle name="Comma 4 2" xfId="16754" xr:uid="{18B2DB56-0D8B-47F4-BD9C-BFFAB609664D}"/>
    <cellStyle name="Comma 5" xfId="16741" xr:uid="{A016E266-D17E-4736-B907-8524C9087636}"/>
    <cellStyle name="Comma 6" xfId="16752" xr:uid="{4D604B9A-8FBC-457E-8419-29AD60247563}"/>
    <cellStyle name="Comma 6 2" xfId="16755" xr:uid="{8043358A-1E8D-4887-8852-907366C319AC}"/>
    <cellStyle name="Comma 7" xfId="2315" xr:uid="{EC7BD12D-53C6-435A-82F2-72CE85F4FB51}"/>
    <cellStyle name="Comma 8" xfId="16757" xr:uid="{693285FC-DC6E-43C6-AD3B-4ACFE824A390}"/>
    <cellStyle name="Comma 9" xfId="16769" xr:uid="{BDA6598C-A264-4A97-959E-349E2062A1B3}"/>
    <cellStyle name="Currency" xfId="2" builtinId="4"/>
    <cellStyle name="Currency 2" xfId="16774" xr:uid="{8B9D2940-B3DE-4849-B954-B083ED958B1D}"/>
    <cellStyle name="Explanatory Text" xfId="20" builtinId="53" customBuiltin="1"/>
    <cellStyle name="Explanatory Text 10" xfId="2316" xr:uid="{08B41B0C-BF83-4F3E-ACA8-B3E6E1B4F236}"/>
    <cellStyle name="Explanatory Text 11" xfId="2317" xr:uid="{0A56F3C7-4251-4D3B-B847-F1E3375090D5}"/>
    <cellStyle name="Explanatory Text 12" xfId="2318" xr:uid="{E064CEDC-AD08-4640-8F3F-05262D5FD3D8}"/>
    <cellStyle name="Explanatory Text 13" xfId="2319" xr:uid="{7D998F27-BF8E-4800-8563-C7B1FF6BF48E}"/>
    <cellStyle name="Explanatory Text 14" xfId="2320" xr:uid="{D35E76C2-9B16-4F76-A992-15D13FDB2198}"/>
    <cellStyle name="Explanatory Text 2 10" xfId="2321" xr:uid="{2AD22ECC-1EC3-4F19-B4D7-883BF6278FBE}"/>
    <cellStyle name="Explanatory Text 2 11" xfId="2322" xr:uid="{58D46AC1-CC1E-4992-98FA-25BCB2D0663D}"/>
    <cellStyle name="Explanatory Text 2 12" xfId="2323" xr:uid="{46B747B9-CFC9-41FE-8BA7-9639707A8A9B}"/>
    <cellStyle name="Explanatory Text 2 13" xfId="2324" xr:uid="{85B879DC-1CA0-4B97-8A0D-A5C7BDC03B78}"/>
    <cellStyle name="Explanatory Text 2 2" xfId="2325" xr:uid="{5C28CF0D-D056-47B7-B670-D61C9FBF8A99}"/>
    <cellStyle name="Explanatory Text 2 2 10" xfId="2326" xr:uid="{F743AA9F-5715-438C-BDD2-9EAABD704340}"/>
    <cellStyle name="Explanatory Text 2 2 2" xfId="2327" xr:uid="{CFEE353E-6334-4EC8-AE21-2F3D07AB8703}"/>
    <cellStyle name="Explanatory Text 2 2 2 2" xfId="2328" xr:uid="{F168B573-654C-49E5-B7FC-AD07F6C71652}"/>
    <cellStyle name="Explanatory Text 2 2 3" xfId="2329" xr:uid="{64C955F9-BC64-46C7-B54D-F83C0CD8D284}"/>
    <cellStyle name="Explanatory Text 2 2 4" xfId="2330" xr:uid="{B1045917-2E47-4ED9-AFBE-C19E4E13A2E9}"/>
    <cellStyle name="Explanatory Text 2 2 5" xfId="2331" xr:uid="{D97AB387-6E7A-4033-B4AF-3B78DF8A8C76}"/>
    <cellStyle name="Explanatory Text 2 2 6" xfId="2332" xr:uid="{1A6EFE29-9EBE-4045-8DCA-5BC55246FFE2}"/>
    <cellStyle name="Explanatory Text 2 2 7" xfId="2333" xr:uid="{7891DEB8-F972-48C4-9204-58E926F482E7}"/>
    <cellStyle name="Explanatory Text 2 2 8" xfId="2334" xr:uid="{ECF72B09-5953-402B-AE41-980948D09C90}"/>
    <cellStyle name="Explanatory Text 2 2 9" xfId="2335" xr:uid="{0E67576D-F7D0-4071-830A-F5FA385D42DE}"/>
    <cellStyle name="Explanatory Text 2 3" xfId="2336" xr:uid="{001067D6-DC31-472C-899A-DCAE692817D3}"/>
    <cellStyle name="Explanatory Text 2 3 2" xfId="2337" xr:uid="{991859C0-1638-46A0-95EE-0C6B9E80E95E}"/>
    <cellStyle name="Explanatory Text 2 4" xfId="2338" xr:uid="{0D217F42-2385-4254-9478-9F0E4E9A1B3C}"/>
    <cellStyle name="Explanatory Text 2 4 2" xfId="2339" xr:uid="{328E2692-099C-4C88-9CA8-F267245593D2}"/>
    <cellStyle name="Explanatory Text 2 5" xfId="2340" xr:uid="{4E9EA534-9943-40AA-B7EF-14BB3C67B1F7}"/>
    <cellStyle name="Explanatory Text 2 6" xfId="2341" xr:uid="{4685B2D4-54D6-434C-9F4B-5B87A59D50E9}"/>
    <cellStyle name="Explanatory Text 2 7" xfId="2342" xr:uid="{583A5DDC-E25F-47BD-B8F5-36EDECC853BB}"/>
    <cellStyle name="Explanatory Text 2 8" xfId="2343" xr:uid="{0A1634ED-C9C6-492B-81A9-8484E273C977}"/>
    <cellStyle name="Explanatory Text 2 9" xfId="2344" xr:uid="{CE81622A-88BF-48B6-AB36-3E264762DD4B}"/>
    <cellStyle name="Explanatory Text 3" xfId="2345" xr:uid="{E62FDE5A-DB07-4B3A-BB3B-616EA11E6DA3}"/>
    <cellStyle name="Explanatory Text 3 10" xfId="2346" xr:uid="{01321225-3F0B-4224-8EA8-E83BD1FF3B91}"/>
    <cellStyle name="Explanatory Text 3 2" xfId="2347" xr:uid="{B13D7CDF-BDCE-4EB3-8840-E4648EF09086}"/>
    <cellStyle name="Explanatory Text 3 3" xfId="2348" xr:uid="{C5F6E3F2-73E0-4285-BDA0-3FE173E6324E}"/>
    <cellStyle name="Explanatory Text 3 4" xfId="2349" xr:uid="{00597AFC-CB93-473E-9E3D-41D5C1D7D661}"/>
    <cellStyle name="Explanatory Text 3 5" xfId="2350" xr:uid="{E0FEC05A-0C1B-485F-90BA-D0C1C10CD14D}"/>
    <cellStyle name="Explanatory Text 3 6" xfId="2351" xr:uid="{AE6FA01D-950C-494A-ACAD-B758D7017F40}"/>
    <cellStyle name="Explanatory Text 3 7" xfId="2352" xr:uid="{97675533-11B5-462B-AEB1-92D61631EE85}"/>
    <cellStyle name="Explanatory Text 3 8" xfId="2353" xr:uid="{52C0C001-4BEE-4D24-8054-2FA23F27BD6C}"/>
    <cellStyle name="Explanatory Text 3 9" xfId="2354" xr:uid="{F4C43AE8-5A0F-458A-B7BC-8F9837947C39}"/>
    <cellStyle name="Explanatory Text 4" xfId="2355" xr:uid="{152B7876-B9D5-4D16-B781-8253D8F53E09}"/>
    <cellStyle name="Explanatory Text 4 10" xfId="2356" xr:uid="{0E7F1FC8-8129-403A-8E3E-6E2B5EC3D069}"/>
    <cellStyle name="Explanatory Text 4 2" xfId="2357" xr:uid="{9462908A-75DA-4189-A881-C1E0C9F8AFBC}"/>
    <cellStyle name="Explanatory Text 4 3" xfId="2358" xr:uid="{C879F1C4-F3A6-4473-A325-A4D241DE1224}"/>
    <cellStyle name="Explanatory Text 4 4" xfId="2359" xr:uid="{0FAE3098-A6F5-4B1A-9A95-AEEE107CDB36}"/>
    <cellStyle name="Explanatory Text 4 5" xfId="2360" xr:uid="{2D88702D-AA89-45D4-8D4E-655EF7BD9BCC}"/>
    <cellStyle name="Explanatory Text 4 6" xfId="2361" xr:uid="{D12AD755-23CD-46E0-9756-BA83ADC9A48A}"/>
    <cellStyle name="Explanatory Text 4 7" xfId="2362" xr:uid="{11898319-5527-4211-98FB-8D92F7FBD087}"/>
    <cellStyle name="Explanatory Text 4 8" xfId="2363" xr:uid="{5CA36A49-AF7B-4526-96A7-C885D42BC29F}"/>
    <cellStyle name="Explanatory Text 4 9" xfId="2364" xr:uid="{FF74CD29-D9B6-4B8E-BBB8-CC39F103D91D}"/>
    <cellStyle name="Explanatory Text 5" xfId="2365" xr:uid="{52943ACB-C88F-40B2-B58A-1555BC24F143}"/>
    <cellStyle name="Explanatory Text 5 10" xfId="2366" xr:uid="{A5D46C6F-DD90-40B7-B3F1-4DECE3995B25}"/>
    <cellStyle name="Explanatory Text 5 2" xfId="2367" xr:uid="{A6C0B942-4BE6-41D3-BC14-49EDC6428AEA}"/>
    <cellStyle name="Explanatory Text 5 3" xfId="2368" xr:uid="{B01EBEDD-EC1C-46B3-AC64-63583017CF33}"/>
    <cellStyle name="Explanatory Text 5 4" xfId="2369" xr:uid="{A7944F0E-AA60-41D9-BFE6-00F0662BB987}"/>
    <cellStyle name="Explanatory Text 5 5" xfId="2370" xr:uid="{2DDB37BD-EFCA-4125-9A4B-6D0642ADD8BA}"/>
    <cellStyle name="Explanatory Text 5 6" xfId="2371" xr:uid="{B1B1E118-2244-4BF3-B25D-8063856B1C71}"/>
    <cellStyle name="Explanatory Text 5 7" xfId="2372" xr:uid="{0A16A082-5665-417A-9AC5-FCBBC1BAA199}"/>
    <cellStyle name="Explanatory Text 5 8" xfId="2373" xr:uid="{226A2512-F04E-4348-B139-689258A6DFB0}"/>
    <cellStyle name="Explanatory Text 5 9" xfId="2374" xr:uid="{E7DFF9FC-E3A3-48A1-9F6D-EF0006C6D8C4}"/>
    <cellStyle name="Explanatory Text 6 2" xfId="2375" xr:uid="{6C8431FE-9389-410C-872A-A11C9CA5AABE}"/>
    <cellStyle name="Explanatory Text 7 2" xfId="2376" xr:uid="{724EBF3F-A3B9-4EB0-A5CB-FA413DAE05DB}"/>
    <cellStyle name="Explanatory Text 8" xfId="2377" xr:uid="{9314A64C-EBC4-4ADA-866E-622FA1FA3792}"/>
    <cellStyle name="Explanatory Text 9" xfId="2378" xr:uid="{FC3ED9B9-29EA-487F-B285-FDD1B94774BC}"/>
    <cellStyle name="Good" xfId="11" builtinId="26" customBuiltin="1"/>
    <cellStyle name="Good 10" xfId="2379" xr:uid="{3E4E3128-C253-4EFD-8EDC-642674730DFA}"/>
    <cellStyle name="Good 11" xfId="2380" xr:uid="{1E3DB8E2-4B60-40FB-95A2-A96A2FEB893F}"/>
    <cellStyle name="Good 12" xfId="2381" xr:uid="{D80D428C-08E1-4BF1-BA11-3D0C3DE6C144}"/>
    <cellStyle name="Good 13" xfId="2382" xr:uid="{1858C510-BAB1-4E11-BCF8-03FA9D6B085A}"/>
    <cellStyle name="Good 14" xfId="2383" xr:uid="{2087DC05-488F-4C1F-975F-B1E03214C7C5}"/>
    <cellStyle name="Good 2 10" xfId="2384" xr:uid="{ED67C280-BB6D-4394-BE36-1936A71A3781}"/>
    <cellStyle name="Good 2 11" xfId="2385" xr:uid="{EA67F151-1465-4DF6-A513-C7F44F61614C}"/>
    <cellStyle name="Good 2 12" xfId="2386" xr:uid="{A846A264-2EF3-4505-B444-2592E366BC4A}"/>
    <cellStyle name="Good 2 13" xfId="2387" xr:uid="{7AA2AC17-2CB2-4DB1-A048-E59638F8A03A}"/>
    <cellStyle name="Good 2 2" xfId="2388" xr:uid="{0B72B495-6D1E-4200-990A-754A5C553B8D}"/>
    <cellStyle name="Good 2 2 10" xfId="2389" xr:uid="{4EACB364-AAC9-4942-9B5B-5D7EC8B3D6A6}"/>
    <cellStyle name="Good 2 2 2" xfId="2390" xr:uid="{2E24714B-EF7B-4E71-A53B-32A2D19D7487}"/>
    <cellStyle name="Good 2 2 2 2" xfId="2391" xr:uid="{7BC6FE22-142D-483A-8049-943212C9635D}"/>
    <cellStyle name="Good 2 2 3" xfId="2392" xr:uid="{72729682-FFEE-4F7E-94A8-4AC81406D7D5}"/>
    <cellStyle name="Good 2 2 4" xfId="2393" xr:uid="{8E769BF1-751B-40D8-85C0-9EFAC6EAD7D9}"/>
    <cellStyle name="Good 2 2 5" xfId="2394" xr:uid="{8B363DDF-A0DF-42A9-BB7B-818EADDA1C82}"/>
    <cellStyle name="Good 2 2 6" xfId="2395" xr:uid="{40D518E0-51C2-48F3-AF16-7B9AA8580957}"/>
    <cellStyle name="Good 2 2 7" xfId="2396" xr:uid="{AE2B1236-7844-4899-9082-D72DB401C9ED}"/>
    <cellStyle name="Good 2 2 8" xfId="2397" xr:uid="{9481782E-AEA9-4AA3-8BAA-AEC21793E3DE}"/>
    <cellStyle name="Good 2 2 9" xfId="2398" xr:uid="{C97A4E5D-C44C-4F53-9B94-CC0922C07EAA}"/>
    <cellStyle name="Good 2 3" xfId="2399" xr:uid="{91B5EA72-822C-4E33-9036-0A5DA441DB10}"/>
    <cellStyle name="Good 2 3 2" xfId="2400" xr:uid="{422E3AE1-347F-4CA2-844C-EB0A268593D5}"/>
    <cellStyle name="Good 2 4" xfId="2401" xr:uid="{75C435B7-2EC1-4FED-BF17-4BF899010CAB}"/>
    <cellStyle name="Good 2 4 2" xfId="2402" xr:uid="{82CB12DF-D6E4-48AD-A712-657EFFEA0252}"/>
    <cellStyle name="Good 2 5" xfId="2403" xr:uid="{0ADFB633-34AA-46D8-B6AB-FD2BD8D2934E}"/>
    <cellStyle name="Good 2 6" xfId="2404" xr:uid="{FC116BD5-94DF-4B2F-A685-5E2016E12354}"/>
    <cellStyle name="Good 2 7" xfId="2405" xr:uid="{E2181556-A8CC-43D7-B753-F877080F43B8}"/>
    <cellStyle name="Good 2 8" xfId="2406" xr:uid="{1F86F851-6F89-497B-A672-9DC672345B25}"/>
    <cellStyle name="Good 2 9" xfId="2407" xr:uid="{D4FDE85B-67B1-41DD-B96B-3A2AB04642B6}"/>
    <cellStyle name="Good 3" xfId="2408" xr:uid="{0D46B371-60C1-4508-B650-38616DE91A33}"/>
    <cellStyle name="Good 3 10" xfId="2409" xr:uid="{F8E42572-689B-4782-B9BF-6715BCA87B2E}"/>
    <cellStyle name="Good 3 2" xfId="2410" xr:uid="{92453BB5-AAC0-44B6-8C20-35B969E0E183}"/>
    <cellStyle name="Good 3 3" xfId="2411" xr:uid="{2FB87270-CCC2-4BB2-BA6E-7EA6B50A7313}"/>
    <cellStyle name="Good 3 4" xfId="2412" xr:uid="{63184EB9-24FA-405D-BEC4-127470E48318}"/>
    <cellStyle name="Good 3 5" xfId="2413" xr:uid="{5AB9F8B5-6F03-4FF7-8A80-5CC8C2511428}"/>
    <cellStyle name="Good 3 6" xfId="2414" xr:uid="{15C0E642-100F-4F11-AF94-7ADB297004A3}"/>
    <cellStyle name="Good 3 7" xfId="2415" xr:uid="{F32AFC38-DCEB-4264-A8F3-FC1E8DD1444B}"/>
    <cellStyle name="Good 3 8" xfId="2416" xr:uid="{8E19FB0A-C24E-46AF-A96A-4EB70FCC9CA9}"/>
    <cellStyle name="Good 3 9" xfId="2417" xr:uid="{78A27820-FB6F-4376-AA92-2295BD8A6CC5}"/>
    <cellStyle name="Good 4" xfId="2418" xr:uid="{D966BF5C-4362-448E-884E-D75AD1945A4F}"/>
    <cellStyle name="Good 4 10" xfId="2419" xr:uid="{BD22C5E3-BE1B-4BEE-9DF0-0AF2E4D3A9B1}"/>
    <cellStyle name="Good 4 2" xfId="2420" xr:uid="{8A8F021A-2EF9-4A99-8C39-556F4BD72C37}"/>
    <cellStyle name="Good 4 3" xfId="2421" xr:uid="{032EFE70-B355-438E-9C77-1DC74BBFBC84}"/>
    <cellStyle name="Good 4 4" xfId="2422" xr:uid="{F25044EE-32F7-4539-A5E7-FDBB93B65EE2}"/>
    <cellStyle name="Good 4 5" xfId="2423" xr:uid="{D30353FC-F881-4122-AA31-5E0C1E78D908}"/>
    <cellStyle name="Good 4 6" xfId="2424" xr:uid="{2E8B66D2-95CC-498A-8424-68398E04C27B}"/>
    <cellStyle name="Good 4 7" xfId="2425" xr:uid="{7591C1CF-DEC5-4F57-95AF-FA37AB28C4CA}"/>
    <cellStyle name="Good 4 8" xfId="2426" xr:uid="{6EEFA805-762C-4EF5-96B2-B815A6782D5A}"/>
    <cellStyle name="Good 4 9" xfId="2427" xr:uid="{435B01A9-6BCC-45DE-929D-CD045C096B22}"/>
    <cellStyle name="Good 5" xfId="2428" xr:uid="{30BDF098-863C-4A38-948C-57F569AD6A1C}"/>
    <cellStyle name="Good 5 10" xfId="2429" xr:uid="{C34D68CA-C3F6-4180-BA54-0485A8A50A3E}"/>
    <cellStyle name="Good 5 2" xfId="2430" xr:uid="{9B94FE42-7A6A-4E26-825A-A10BDE94EF6E}"/>
    <cellStyle name="Good 5 3" xfId="2431" xr:uid="{66A3925A-386F-4522-AB6F-3BD4E8AD6697}"/>
    <cellStyle name="Good 5 4" xfId="2432" xr:uid="{FFB9C0CD-51BF-442B-B5F9-8AD13987F226}"/>
    <cellStyle name="Good 5 5" xfId="2433" xr:uid="{9877D7BB-6E54-4A37-9B5E-ADCBE5990394}"/>
    <cellStyle name="Good 5 6" xfId="2434" xr:uid="{8E7664D0-BDDF-4346-B3D6-906A471ED40C}"/>
    <cellStyle name="Good 5 7" xfId="2435" xr:uid="{C85B953D-07A7-470E-950A-A9198A21D064}"/>
    <cellStyle name="Good 5 8" xfId="2436" xr:uid="{AE05D88C-13BA-44FD-96CC-02AA89925DC8}"/>
    <cellStyle name="Good 5 9" xfId="2437" xr:uid="{78694353-BDA0-4A93-82D3-22CC27CD431F}"/>
    <cellStyle name="Good 6 2" xfId="2438" xr:uid="{ED0BF11C-B557-4318-9149-FBB6749FF4FC}"/>
    <cellStyle name="Good 7 2" xfId="2439" xr:uid="{D217D7E7-788A-49C0-BBD7-BB0A6D90DC0D}"/>
    <cellStyle name="Good 8" xfId="2440" xr:uid="{841FE857-A9BE-4744-AC3A-190636530C9F}"/>
    <cellStyle name="Good 9" xfId="2441" xr:uid="{79FFEAF3-0F96-4A86-A5EF-F22A4546E67C}"/>
    <cellStyle name="Heading 1" xfId="7" builtinId="16" customBuiltin="1"/>
    <cellStyle name="Heading 1 10" xfId="2442" xr:uid="{9842D489-6159-4A84-ADCE-8EA196E13F02}"/>
    <cellStyle name="Heading 1 11" xfId="2443" xr:uid="{BEDB8392-0BCE-4951-84EB-9225A3C03E8A}"/>
    <cellStyle name="Heading 1 12" xfId="2444" xr:uid="{D2C6FE25-EC88-44CF-ADE3-76B3E6DFB620}"/>
    <cellStyle name="Heading 1 13" xfId="2445" xr:uid="{BA5053FB-BFF2-4137-BA9F-D294F7D4CD57}"/>
    <cellStyle name="Heading 1 14" xfId="2446" xr:uid="{838A4D47-2F34-4BAD-AED8-95C1E9ACA2E7}"/>
    <cellStyle name="Heading 1 2 10" xfId="2447" xr:uid="{3B3FE71C-ED86-4131-B8B5-86922B1ECA64}"/>
    <cellStyle name="Heading 1 2 11" xfId="2448" xr:uid="{EB969DDF-3A4B-40A1-9136-E6F44CC50475}"/>
    <cellStyle name="Heading 1 2 12" xfId="2449" xr:uid="{335A351A-A0F4-44AB-B1FE-79EE965EB06E}"/>
    <cellStyle name="Heading 1 2 13" xfId="2450" xr:uid="{2C6200EB-9FF3-4EA4-9D83-EF34F00F98F9}"/>
    <cellStyle name="Heading 1 2 2" xfId="2451" xr:uid="{E6D8F711-4D23-4BB2-B7DC-D82E3907BBEE}"/>
    <cellStyle name="Heading 1 2 2 10" xfId="2452" xr:uid="{A62E7102-D919-400E-90B5-D1B9B7FFB0AD}"/>
    <cellStyle name="Heading 1 2 2 2" xfId="2453" xr:uid="{4D7ACDBC-BC29-4234-8627-A5682DD9498E}"/>
    <cellStyle name="Heading 1 2 2 2 2" xfId="2454" xr:uid="{CDB2E0E9-A3E3-4807-934E-016E8260C787}"/>
    <cellStyle name="Heading 1 2 2 3" xfId="2455" xr:uid="{9CB32E94-1DC0-448E-9FF1-FAF7BA343A0E}"/>
    <cellStyle name="Heading 1 2 2 4" xfId="2456" xr:uid="{EB7C9CA7-C977-478A-9443-6710226D8E58}"/>
    <cellStyle name="Heading 1 2 2 5" xfId="2457" xr:uid="{F5666C66-3C9D-4052-BC5D-60B103891995}"/>
    <cellStyle name="Heading 1 2 2 6" xfId="2458" xr:uid="{FFFA3937-03E0-4838-B94D-09DF7B29F0F1}"/>
    <cellStyle name="Heading 1 2 2 7" xfId="2459" xr:uid="{B84F1C7E-56D8-475A-A7EB-DEE9BCAE81FB}"/>
    <cellStyle name="Heading 1 2 2 8" xfId="2460" xr:uid="{B5BB57CF-6865-4886-A7A3-CB5ACF740270}"/>
    <cellStyle name="Heading 1 2 2 9" xfId="2461" xr:uid="{2E487DE6-03F9-494E-8D51-7DCB911FA72F}"/>
    <cellStyle name="Heading 1 2 3" xfId="2462" xr:uid="{604D6615-722E-4B86-AF5E-40EEFD842825}"/>
    <cellStyle name="Heading 1 2 3 2" xfId="2463" xr:uid="{75DB1D7B-F472-42E4-A408-B3CB242FA505}"/>
    <cellStyle name="Heading 1 2 4" xfId="2464" xr:uid="{999245BC-38AC-4A8A-9760-4DBC578E8277}"/>
    <cellStyle name="Heading 1 2 4 2" xfId="2465" xr:uid="{FF5867B2-2DCD-4F3B-97FE-3F80BFD9721D}"/>
    <cellStyle name="Heading 1 2 5" xfId="2466" xr:uid="{4E96FD06-E567-4FE4-AC6B-8BFF65323EC4}"/>
    <cellStyle name="Heading 1 2 6" xfId="2467" xr:uid="{A08A012C-FAE7-4780-9A76-208A361F2E9D}"/>
    <cellStyle name="Heading 1 2 7" xfId="2468" xr:uid="{56436DC9-E2CC-4826-97B3-2AABBA28B614}"/>
    <cellStyle name="Heading 1 2 8" xfId="2469" xr:uid="{3589010A-5875-4BC2-AA9F-B7E719D29123}"/>
    <cellStyle name="Heading 1 2 9" xfId="2470" xr:uid="{C47EEB96-4A43-4BBE-B854-880E4A88D1BB}"/>
    <cellStyle name="Heading 1 3" xfId="2471" xr:uid="{93B26ABB-4ACA-477D-B133-1B07CF6C3FD7}"/>
    <cellStyle name="Heading 1 3 10" xfId="2472" xr:uid="{400E9247-B736-4EFF-9D34-7047EC8B49FB}"/>
    <cellStyle name="Heading 1 3 2" xfId="2473" xr:uid="{D45DA4B8-C040-48D6-A722-EE453CE64A27}"/>
    <cellStyle name="Heading 1 3 3" xfId="2474" xr:uid="{B46D9CDD-FAD5-4994-A18D-3295ED20E21D}"/>
    <cellStyle name="Heading 1 3 4" xfId="2475" xr:uid="{D5E715BE-20D8-4035-A933-BF9E31938A2A}"/>
    <cellStyle name="Heading 1 3 5" xfId="2476" xr:uid="{977AE187-F18D-4F4A-B04D-E767C47C4DC3}"/>
    <cellStyle name="Heading 1 3 6" xfId="2477" xr:uid="{DE30F663-499C-43D5-8159-94CC29C32C22}"/>
    <cellStyle name="Heading 1 3 7" xfId="2478" xr:uid="{367FF213-6AB7-4976-B0B1-7936ABBC01CC}"/>
    <cellStyle name="Heading 1 3 8" xfId="2479" xr:uid="{054C9FBF-DB9E-4219-AF96-49ADF800EBE6}"/>
    <cellStyle name="Heading 1 3 9" xfId="2480" xr:uid="{9CEC7311-B357-4F7E-935B-5A39A2143E99}"/>
    <cellStyle name="Heading 1 4" xfId="2481" xr:uid="{CC64DFE0-5185-47D0-94C5-1C9C80082CF4}"/>
    <cellStyle name="Heading 1 4 10" xfId="2482" xr:uid="{F0107164-D77D-48FE-B558-26277FB58E96}"/>
    <cellStyle name="Heading 1 4 2" xfId="2483" xr:uid="{2D074FF8-052F-4877-9F06-4A64CA521B4F}"/>
    <cellStyle name="Heading 1 4 3" xfId="2484" xr:uid="{1E1FF723-B5A4-43D9-A222-11F29B122EA4}"/>
    <cellStyle name="Heading 1 4 4" xfId="2485" xr:uid="{282EEE79-D137-4FB4-A565-62A490F4B9A7}"/>
    <cellStyle name="Heading 1 4 5" xfId="2486" xr:uid="{9CD941A9-6C5E-4F8F-ADEC-216D912EA820}"/>
    <cellStyle name="Heading 1 4 6" xfId="2487" xr:uid="{6C47C4C2-1195-47CA-A54C-72A9E521498F}"/>
    <cellStyle name="Heading 1 4 7" xfId="2488" xr:uid="{CC9E626D-DEAB-4FFB-AF2C-80D5EDA17CC7}"/>
    <cellStyle name="Heading 1 4 8" xfId="2489" xr:uid="{1C59E8A3-8690-412A-881C-0311C3CF0F62}"/>
    <cellStyle name="Heading 1 4 9" xfId="2490" xr:uid="{C70A85AF-22BE-4FF1-A124-3584062D80BC}"/>
    <cellStyle name="Heading 1 5" xfId="2491" xr:uid="{B2916BB2-C8C3-4B89-9A6D-9D1B352E9B6F}"/>
    <cellStyle name="Heading 1 5 10" xfId="2492" xr:uid="{44E3CE20-D585-4A80-8700-32445C8AAE73}"/>
    <cellStyle name="Heading 1 5 2" xfId="2493" xr:uid="{4FFF13D4-041B-4526-AC09-BDEF9578798F}"/>
    <cellStyle name="Heading 1 5 3" xfId="2494" xr:uid="{DCA12F32-9BDE-46F1-8980-98BE559920A0}"/>
    <cellStyle name="Heading 1 5 4" xfId="2495" xr:uid="{E9B7A508-2060-4082-9071-002F3AE9C813}"/>
    <cellStyle name="Heading 1 5 5" xfId="2496" xr:uid="{D697EA5B-0D02-4CC2-A3AC-293F14421DB3}"/>
    <cellStyle name="Heading 1 5 6" xfId="2497" xr:uid="{50FE9A7A-F087-4FCA-93DF-FF57522D273B}"/>
    <cellStyle name="Heading 1 5 7" xfId="2498" xr:uid="{A3AC13E2-AC92-44C9-8968-D7B22D24B6A1}"/>
    <cellStyle name="Heading 1 5 8" xfId="2499" xr:uid="{DF7EDCC4-1366-4013-A4C8-FD7C0210E2E3}"/>
    <cellStyle name="Heading 1 5 9" xfId="2500" xr:uid="{24714E3C-17C7-4D41-A98F-3BCE0F4F65A5}"/>
    <cellStyle name="Heading 1 6 2" xfId="2501" xr:uid="{59370520-BD11-4422-873D-E17CCA866DDC}"/>
    <cellStyle name="Heading 1 7 2" xfId="2502" xr:uid="{9FD66B57-83FA-4225-A5DC-F79E2D96E4DE}"/>
    <cellStyle name="Heading 1 8" xfId="2503" xr:uid="{859A6883-4BED-4CA4-A9A2-94AA91B85A42}"/>
    <cellStyle name="Heading 1 9" xfId="2504" xr:uid="{BD8B62FB-97C5-4269-A069-637E7F312486}"/>
    <cellStyle name="Heading 2" xfId="8" builtinId="17" customBuiltin="1"/>
    <cellStyle name="Heading 2 10" xfId="2505" xr:uid="{34424424-6C59-4ED7-A5EA-2D6C089774EE}"/>
    <cellStyle name="Heading 2 11" xfId="2506" xr:uid="{569202DD-DACD-438B-9DAB-55C1C0247EE5}"/>
    <cellStyle name="Heading 2 12" xfId="2507" xr:uid="{3E82AE43-376D-4EB4-9C9D-4EE50B71F896}"/>
    <cellStyle name="Heading 2 13" xfId="2508" xr:uid="{42123E5C-117E-4D9F-A85B-1FD7E757A0E2}"/>
    <cellStyle name="Heading 2 14" xfId="2509" xr:uid="{ACBB54D4-0A48-4FB1-9217-3658A6160CBF}"/>
    <cellStyle name="Heading 2 2 10" xfId="2510" xr:uid="{44229635-1EF4-4DF3-8E43-3369B84FC434}"/>
    <cellStyle name="Heading 2 2 11" xfId="2511" xr:uid="{0912324F-E499-4883-B61C-D403D573E184}"/>
    <cellStyle name="Heading 2 2 12" xfId="2512" xr:uid="{3FBCC2B3-EF83-4F3D-8587-3E2B87645E58}"/>
    <cellStyle name="Heading 2 2 13" xfId="2513" xr:uid="{10C9AC63-95F7-4A08-B355-568651DCF08D}"/>
    <cellStyle name="Heading 2 2 2" xfId="2514" xr:uid="{F43E5487-6F9D-42B8-AB77-A3CFA5769ACB}"/>
    <cellStyle name="Heading 2 2 2 10" xfId="2515" xr:uid="{A38FCBCD-E7F9-47D0-BC97-23EF00D21741}"/>
    <cellStyle name="Heading 2 2 2 2" xfId="2516" xr:uid="{14735071-92CE-42D6-BA66-5A18E2DBCB49}"/>
    <cellStyle name="Heading 2 2 2 2 2" xfId="2517" xr:uid="{3EFB8C8D-E039-4E01-80F0-BB4A72BE2672}"/>
    <cellStyle name="Heading 2 2 2 3" xfId="2518" xr:uid="{1966037F-0B3E-4719-9DFA-56DAC982CE25}"/>
    <cellStyle name="Heading 2 2 2 4" xfId="2519" xr:uid="{F7101223-C1FC-4ED5-B5C2-17219A68869B}"/>
    <cellStyle name="Heading 2 2 2 5" xfId="2520" xr:uid="{649F2FBB-BBFB-493E-AF13-653FFBB97EC1}"/>
    <cellStyle name="Heading 2 2 2 6" xfId="2521" xr:uid="{5E70A194-1D1F-49FA-9522-5AA83510B17E}"/>
    <cellStyle name="Heading 2 2 2 7" xfId="2522" xr:uid="{24E43FC5-1F06-417C-AD31-B4B2EA6A814D}"/>
    <cellStyle name="Heading 2 2 2 8" xfId="2523" xr:uid="{44F0D840-6C81-49B2-AC7A-5DE6CAA33370}"/>
    <cellStyle name="Heading 2 2 2 9" xfId="2524" xr:uid="{10E099DA-29E3-49BD-8FB1-9E48AC1B7FAF}"/>
    <cellStyle name="Heading 2 2 3" xfId="2525" xr:uid="{68D32FB9-F28B-4A2D-9BF4-9364256674DE}"/>
    <cellStyle name="Heading 2 2 3 2" xfId="2526" xr:uid="{DBE900F9-FEFF-4CAB-B28A-DA1E84781C90}"/>
    <cellStyle name="Heading 2 2 4" xfId="2527" xr:uid="{B2E25A83-8505-491D-906E-70BCC6855765}"/>
    <cellStyle name="Heading 2 2 4 2" xfId="2528" xr:uid="{32A7DC7E-F99F-4395-BC84-1F072098F104}"/>
    <cellStyle name="Heading 2 2 5" xfId="2529" xr:uid="{F913B2EB-B21E-44F9-AFD7-760C4B74FA6F}"/>
    <cellStyle name="Heading 2 2 6" xfId="2530" xr:uid="{7F0D7402-1D59-4687-8619-A79493117FA9}"/>
    <cellStyle name="Heading 2 2 7" xfId="2531" xr:uid="{349946A3-C9CD-4C08-B1D2-B5BDBCF0C1C4}"/>
    <cellStyle name="Heading 2 2 8" xfId="2532" xr:uid="{EE04C583-7287-4D01-B6B4-6861930D7FC3}"/>
    <cellStyle name="Heading 2 2 9" xfId="2533" xr:uid="{F5ADEA37-0B70-49AA-9192-AC7EA5E560AD}"/>
    <cellStyle name="Heading 2 3" xfId="2534" xr:uid="{F2BE82B3-4FED-4358-9050-6D17F5EAAE33}"/>
    <cellStyle name="Heading 2 3 10" xfId="2535" xr:uid="{EB7F0D81-8ECF-437C-AB65-431F16C17425}"/>
    <cellStyle name="Heading 2 3 2" xfId="2536" xr:uid="{25CB890C-26A1-412E-9CE4-19579638717A}"/>
    <cellStyle name="Heading 2 3 3" xfId="2537" xr:uid="{F7F23F07-DF37-4BFB-9B43-1C22FE28D2BD}"/>
    <cellStyle name="Heading 2 3 4" xfId="2538" xr:uid="{5727BDA8-AA41-42C0-B437-C7DC98AE2DBD}"/>
    <cellStyle name="Heading 2 3 5" xfId="2539" xr:uid="{8608B824-D202-4DC5-B264-D031FE5BEA3D}"/>
    <cellStyle name="Heading 2 3 6" xfId="2540" xr:uid="{69001546-2535-4BC8-AEA5-3DA20211F2BE}"/>
    <cellStyle name="Heading 2 3 7" xfId="2541" xr:uid="{D055FC0C-F226-4F4A-81C5-07F47CBBBCBD}"/>
    <cellStyle name="Heading 2 3 8" xfId="2542" xr:uid="{50B3DEE2-5B1B-4399-BF9A-211C888546D3}"/>
    <cellStyle name="Heading 2 3 9" xfId="2543" xr:uid="{793E41D3-90D2-403B-B956-C205522432A4}"/>
    <cellStyle name="Heading 2 4" xfId="2544" xr:uid="{BF1E6E09-F5BA-4C87-A048-8EAB6952CA1D}"/>
    <cellStyle name="Heading 2 4 10" xfId="2545" xr:uid="{8B26DCDF-8B78-45CC-AEAB-D0341AF42947}"/>
    <cellStyle name="Heading 2 4 2" xfId="2546" xr:uid="{0D888BFF-02D8-457E-9D77-3D8D2D8691B5}"/>
    <cellStyle name="Heading 2 4 3" xfId="2547" xr:uid="{E3BB7395-A434-4853-9DEA-EFBB39A22A8C}"/>
    <cellStyle name="Heading 2 4 4" xfId="2548" xr:uid="{1DB883BC-625A-4506-B5E3-63BAA8F91385}"/>
    <cellStyle name="Heading 2 4 5" xfId="2549" xr:uid="{E812918E-944E-41F2-AB10-0FB481E37492}"/>
    <cellStyle name="Heading 2 4 6" xfId="2550" xr:uid="{847C869D-15F1-4C7E-B229-373FEF8B8212}"/>
    <cellStyle name="Heading 2 4 7" xfId="2551" xr:uid="{59F1C5F6-1C88-4B9D-AA99-A9DCEE8F29C7}"/>
    <cellStyle name="Heading 2 4 8" xfId="2552" xr:uid="{90D9C980-8D24-422C-832D-8DFCEC197678}"/>
    <cellStyle name="Heading 2 4 9" xfId="2553" xr:uid="{D290DBA6-DB9E-45C0-90D7-0FEF2AB3CE34}"/>
    <cellStyle name="Heading 2 5" xfId="2554" xr:uid="{BAA29FD2-C802-48AC-9AA5-41E379A5AB8A}"/>
    <cellStyle name="Heading 2 5 10" xfId="2555" xr:uid="{7F104E64-6263-4CAF-AB3C-94DB65ACC07E}"/>
    <cellStyle name="Heading 2 5 2" xfId="2556" xr:uid="{EC4E280B-F57C-47D6-A54C-20B845977994}"/>
    <cellStyle name="Heading 2 5 3" xfId="2557" xr:uid="{4B737725-1A49-422B-9E9D-0741E4C077CE}"/>
    <cellStyle name="Heading 2 5 4" xfId="2558" xr:uid="{DA0C6D56-4FC6-4474-A963-50AE7D4902E7}"/>
    <cellStyle name="Heading 2 5 5" xfId="2559" xr:uid="{B041A3B3-95AF-49CC-BF82-A0BDD0C64A52}"/>
    <cellStyle name="Heading 2 5 6" xfId="2560" xr:uid="{9E4E6BD9-71B9-48A3-8E3C-166889FC91A5}"/>
    <cellStyle name="Heading 2 5 7" xfId="2561" xr:uid="{6BC70364-8D51-4024-932C-D2E4EEAB4047}"/>
    <cellStyle name="Heading 2 5 8" xfId="2562" xr:uid="{B94CE83F-C6B4-471E-9E61-B8E368A6D911}"/>
    <cellStyle name="Heading 2 5 9" xfId="2563" xr:uid="{17A44CD0-B382-4AC2-B140-BE82BF58495F}"/>
    <cellStyle name="Heading 2 6 2" xfId="2564" xr:uid="{B94C803B-02E2-43DC-9105-6A7ACAB1BFAF}"/>
    <cellStyle name="Heading 2 7 2" xfId="2565" xr:uid="{43E5ACA1-025C-47FE-A1DD-D4A6D0A8511C}"/>
    <cellStyle name="Heading 2 8" xfId="2566" xr:uid="{F829E8AF-D22D-41EB-BB5C-05FD73F677B5}"/>
    <cellStyle name="Heading 2 9" xfId="2567" xr:uid="{4BDFA54C-6D6D-4845-9B18-BC5C49761733}"/>
    <cellStyle name="Heading 3" xfId="9" builtinId="18" customBuiltin="1"/>
    <cellStyle name="Heading 3 10" xfId="2568" xr:uid="{24E43BED-2C99-4121-8438-F80A049143F8}"/>
    <cellStyle name="Heading 3 11" xfId="2569" xr:uid="{50772E1A-C4DD-41E3-B682-45F9706F6A18}"/>
    <cellStyle name="Heading 3 12" xfId="2570" xr:uid="{E4968DAA-CD58-4968-B796-43539C630DED}"/>
    <cellStyle name="Heading 3 13" xfId="2571" xr:uid="{C7EE6756-6CE5-42C4-87E9-285981A94A70}"/>
    <cellStyle name="Heading 3 14" xfId="2572" xr:uid="{D75F7181-39C9-4571-9F13-A67C9193CE6F}"/>
    <cellStyle name="Heading 3 2 10" xfId="2573" xr:uid="{1980B367-8215-4B09-B9AD-E5AB6617B698}"/>
    <cellStyle name="Heading 3 2 11" xfId="2574" xr:uid="{B5BAEDFA-5774-45E7-A984-63D0927B0B24}"/>
    <cellStyle name="Heading 3 2 12" xfId="2575" xr:uid="{92275837-D3CC-4460-9394-187A5492B6D6}"/>
    <cellStyle name="Heading 3 2 13" xfId="2576" xr:uid="{281974A2-B1D7-4C1E-9D8D-5693D6D1109C}"/>
    <cellStyle name="Heading 3 2 2" xfId="2577" xr:uid="{930AD8F2-D4BE-4E9F-B0C7-D7D1CB8F518B}"/>
    <cellStyle name="Heading 3 2 2 10" xfId="2578" xr:uid="{27F74444-A233-4269-A24A-D9D51F77DE93}"/>
    <cellStyle name="Heading 3 2 2 2" xfId="2579" xr:uid="{84A20FBC-309E-4578-A764-A02C8CC35BA6}"/>
    <cellStyle name="Heading 3 2 2 2 2" xfId="2580" xr:uid="{AFAD99BD-825B-4D6A-8FA1-01E6AC7F8553}"/>
    <cellStyle name="Heading 3 2 2 3" xfId="2581" xr:uid="{ECA7C044-5996-4703-9049-9F880D8A305B}"/>
    <cellStyle name="Heading 3 2 2 4" xfId="2582" xr:uid="{79326D6B-E8A3-424C-88C3-A9F0B2A59AA5}"/>
    <cellStyle name="Heading 3 2 2 5" xfId="2583" xr:uid="{50345967-E63F-463D-A095-514176B1C427}"/>
    <cellStyle name="Heading 3 2 2 6" xfId="2584" xr:uid="{48A92671-41CD-4583-8701-C4243777F542}"/>
    <cellStyle name="Heading 3 2 2 7" xfId="2585" xr:uid="{6EDD9DDD-D818-4567-AB63-1F0C270B3D58}"/>
    <cellStyle name="Heading 3 2 2 8" xfId="2586" xr:uid="{3BEB4416-1E27-4D24-9ADE-EFB60DC7E61F}"/>
    <cellStyle name="Heading 3 2 2 9" xfId="2587" xr:uid="{6BB6780B-AFDB-42C6-8BAB-7CDABFBBAA30}"/>
    <cellStyle name="Heading 3 2 3" xfId="2588" xr:uid="{4BDA78D1-3F3E-49D7-AFC1-09000FDC9282}"/>
    <cellStyle name="Heading 3 2 3 2" xfId="2589" xr:uid="{6E635085-ED25-4235-993D-335EC6E62617}"/>
    <cellStyle name="Heading 3 2 4" xfId="2590" xr:uid="{C86A9B84-EC5D-4A8F-B041-90DABB156BF3}"/>
    <cellStyle name="Heading 3 2 4 2" xfId="2591" xr:uid="{4C40026D-DB19-4F46-9437-6C5A506C0DD5}"/>
    <cellStyle name="Heading 3 2 5" xfId="2592" xr:uid="{4979E912-2A4A-40AA-9997-4C54E9E19C54}"/>
    <cellStyle name="Heading 3 2 6" xfId="2593" xr:uid="{70161113-ACE4-4702-912D-7BE074CB2CDF}"/>
    <cellStyle name="Heading 3 2 7" xfId="2594" xr:uid="{93A2ECAF-B8AE-4829-85E6-9D2E5D4AC117}"/>
    <cellStyle name="Heading 3 2 8" xfId="2595" xr:uid="{575EB1DA-F955-46C8-88D2-C8810E39F754}"/>
    <cellStyle name="Heading 3 2 9" xfId="2596" xr:uid="{BAC963E0-5749-4F78-AC64-4217E4F2EDEE}"/>
    <cellStyle name="Heading 3 3" xfId="2597" xr:uid="{FDEA19C8-BD01-4382-8F2A-E7A0C559E498}"/>
    <cellStyle name="Heading 3 3 10" xfId="2598" xr:uid="{8EF0545C-B954-4EE9-8A5A-46BDAFDE4572}"/>
    <cellStyle name="Heading 3 3 2" xfId="2599" xr:uid="{3F24412D-B5CE-479D-99BF-B6C8178C2E90}"/>
    <cellStyle name="Heading 3 3 3" xfId="2600" xr:uid="{298C67C0-FFF2-4540-A660-5098645F041D}"/>
    <cellStyle name="Heading 3 3 4" xfId="2601" xr:uid="{B699DD87-DC4A-47DC-88B4-1AB38A67682A}"/>
    <cellStyle name="Heading 3 3 5" xfId="2602" xr:uid="{C265D1AD-F2BE-41C4-8C44-57922A34C97E}"/>
    <cellStyle name="Heading 3 3 6" xfId="2603" xr:uid="{08B24D59-60EC-452B-ADC6-F2A81097B8E5}"/>
    <cellStyle name="Heading 3 3 7" xfId="2604" xr:uid="{30661721-7FDD-4C6A-9D0C-5D2CE8BCD240}"/>
    <cellStyle name="Heading 3 3 8" xfId="2605" xr:uid="{FD26B2E7-8C1D-41D9-B00B-CD5E07AACD93}"/>
    <cellStyle name="Heading 3 3 9" xfId="2606" xr:uid="{B57AE765-C2DC-4A8C-8FD4-372BD734BCDA}"/>
    <cellStyle name="Heading 3 4" xfId="2607" xr:uid="{54151D2C-0FF5-4728-9334-23118CA4FA2A}"/>
    <cellStyle name="Heading 3 4 10" xfId="2608" xr:uid="{81A5589D-ACE6-40A3-9A02-C829BF0A73FA}"/>
    <cellStyle name="Heading 3 4 2" xfId="2609" xr:uid="{79DB063D-738C-42F1-B77D-A5FD2FC342AC}"/>
    <cellStyle name="Heading 3 4 3" xfId="2610" xr:uid="{A9135C6E-CE49-4D44-BDAE-5C87F7908176}"/>
    <cellStyle name="Heading 3 4 4" xfId="2611" xr:uid="{C0D4C107-F3AE-42BE-A2AB-BE7D84668EA4}"/>
    <cellStyle name="Heading 3 4 5" xfId="2612" xr:uid="{550BC150-47C6-4A5D-B782-1CEAB90EAE22}"/>
    <cellStyle name="Heading 3 4 6" xfId="2613" xr:uid="{1757CC7D-9483-4BA7-938F-8E95440F469D}"/>
    <cellStyle name="Heading 3 4 7" xfId="2614" xr:uid="{00D83932-1C4D-452B-8105-D335E2A5E208}"/>
    <cellStyle name="Heading 3 4 8" xfId="2615" xr:uid="{20A877D9-5C8C-488D-92C9-929356C0C571}"/>
    <cellStyle name="Heading 3 4 9" xfId="2616" xr:uid="{34532013-244C-41C8-A3D6-A2BD2780C31F}"/>
    <cellStyle name="Heading 3 5" xfId="2617" xr:uid="{CFB6F89A-E471-44C6-A3E3-4EBF022C171D}"/>
    <cellStyle name="Heading 3 5 10" xfId="2618" xr:uid="{44C87D9D-DFC5-41B0-80A0-1B584400D24E}"/>
    <cellStyle name="Heading 3 5 2" xfId="2619" xr:uid="{14C1F971-5BF9-4A90-A433-835837F72880}"/>
    <cellStyle name="Heading 3 5 3" xfId="2620" xr:uid="{B26E2A63-3101-4F25-81F3-7D71F516DDA8}"/>
    <cellStyle name="Heading 3 5 4" xfId="2621" xr:uid="{65C8BBDC-A47E-40C4-A344-10648FD2FE10}"/>
    <cellStyle name="Heading 3 5 5" xfId="2622" xr:uid="{F0014AE3-301C-4746-A455-0B184C05FBC6}"/>
    <cellStyle name="Heading 3 5 6" xfId="2623" xr:uid="{29BD5AB4-2336-4FBC-A726-29FDF641E7B1}"/>
    <cellStyle name="Heading 3 5 7" xfId="2624" xr:uid="{67F09A96-0990-43DE-88B7-D1E35E2A08BD}"/>
    <cellStyle name="Heading 3 5 8" xfId="2625" xr:uid="{771C5841-38A0-4E3C-A86C-A1A13A7F8F10}"/>
    <cellStyle name="Heading 3 5 9" xfId="2626" xr:uid="{E5CB1AB4-1C34-4453-B7B5-2F9573E61E3D}"/>
    <cellStyle name="Heading 3 6 2" xfId="2627" xr:uid="{0F1FC2C4-FFA0-49B5-B085-7DFD84912879}"/>
    <cellStyle name="Heading 3 7 2" xfId="2628" xr:uid="{2C822A54-3B6A-4E80-A501-B90443C1B9CF}"/>
    <cellStyle name="Heading 3 8" xfId="2629" xr:uid="{C8145DDD-CB2B-4A49-9E9D-3FB46B38CCBE}"/>
    <cellStyle name="Heading 3 9" xfId="2630" xr:uid="{B8483906-D26E-4AA9-8E8D-4D29BC4361D2}"/>
    <cellStyle name="Heading 4" xfId="10" builtinId="19" customBuiltin="1"/>
    <cellStyle name="Heading 4 10" xfId="2631" xr:uid="{9A1B5C02-1F7F-43D4-A769-9E284177F93B}"/>
    <cellStyle name="Heading 4 11" xfId="2632" xr:uid="{26C154D8-64B3-41D5-94B1-F1E5C66AF3FE}"/>
    <cellStyle name="Heading 4 12" xfId="2633" xr:uid="{E7E8CA37-732F-4043-BB27-DDE2F00A3000}"/>
    <cellStyle name="Heading 4 13" xfId="2634" xr:uid="{70753FD2-7544-47D6-99CB-CA988ED30E48}"/>
    <cellStyle name="Heading 4 14" xfId="2635" xr:uid="{84969628-87A6-44A5-B5E9-1132FCDCEC4E}"/>
    <cellStyle name="Heading 4 2 10" xfId="2636" xr:uid="{BBB20897-FBCF-4394-94E5-7E77443A83F8}"/>
    <cellStyle name="Heading 4 2 11" xfId="2637" xr:uid="{B78EB3EB-884A-45FB-B009-FF5A5986AECD}"/>
    <cellStyle name="Heading 4 2 12" xfId="2638" xr:uid="{FA2E7776-E80F-48B0-A333-0640B0635AA5}"/>
    <cellStyle name="Heading 4 2 13" xfId="2639" xr:uid="{B6906E05-7886-49C4-8F47-B62B739ABBCC}"/>
    <cellStyle name="Heading 4 2 2" xfId="2640" xr:uid="{50E04A42-DE79-4957-BCB1-3DB86942B357}"/>
    <cellStyle name="Heading 4 2 2 10" xfId="2641" xr:uid="{596794CB-02B9-4920-95C2-6078E96867D4}"/>
    <cellStyle name="Heading 4 2 2 2" xfId="2642" xr:uid="{1F3E3E8B-06DA-436F-80C8-60B2BDFED20C}"/>
    <cellStyle name="Heading 4 2 2 2 2" xfId="2643" xr:uid="{2BC36A87-B902-4D1C-89F1-B1B2056D8A3F}"/>
    <cellStyle name="Heading 4 2 2 3" xfId="2644" xr:uid="{7A333D62-CC66-4103-B5CF-B9C2E4F2B528}"/>
    <cellStyle name="Heading 4 2 2 4" xfId="2645" xr:uid="{05838D13-8C90-4E95-9693-CB23B1A749B6}"/>
    <cellStyle name="Heading 4 2 2 5" xfId="2646" xr:uid="{6D511EB6-1EF4-4019-8413-D53D9524D483}"/>
    <cellStyle name="Heading 4 2 2 6" xfId="2647" xr:uid="{BEE5DF51-D1F4-4231-A147-7D1D3AA02C0A}"/>
    <cellStyle name="Heading 4 2 2 7" xfId="2648" xr:uid="{2E83EC9D-FAD9-43E8-AC70-206CCBC001F3}"/>
    <cellStyle name="Heading 4 2 2 8" xfId="2649" xr:uid="{5E3C7F23-1CAE-466D-B99E-61D5834E7769}"/>
    <cellStyle name="Heading 4 2 2 9" xfId="2650" xr:uid="{14F623D5-851B-4F7E-983F-486459B8498B}"/>
    <cellStyle name="Heading 4 2 3" xfId="2651" xr:uid="{DEB13260-AB4D-4B5F-B6A9-F3F98C3C34FE}"/>
    <cellStyle name="Heading 4 2 3 2" xfId="2652" xr:uid="{757C4168-D888-4744-B41B-265451CF2107}"/>
    <cellStyle name="Heading 4 2 4" xfId="2653" xr:uid="{6AFD494F-2031-4654-AB78-EEF9069C201E}"/>
    <cellStyle name="Heading 4 2 4 2" xfId="2654" xr:uid="{D1688BF7-E7BE-492E-B213-6105B49377BA}"/>
    <cellStyle name="Heading 4 2 5" xfId="2655" xr:uid="{4A47370E-31A2-4356-90A5-24C4CA421E21}"/>
    <cellStyle name="Heading 4 2 6" xfId="2656" xr:uid="{F0B68010-F08A-4764-9B17-9969775D3DAC}"/>
    <cellStyle name="Heading 4 2 7" xfId="2657" xr:uid="{E677E3EC-391C-4BAB-9667-DC9E5AB0E84F}"/>
    <cellStyle name="Heading 4 2 8" xfId="2658" xr:uid="{06FFDFB6-4C15-4B55-978F-C552C41155BA}"/>
    <cellStyle name="Heading 4 2 9" xfId="2659" xr:uid="{735D5CA0-E6F9-4EA5-B13A-737E5CED5C65}"/>
    <cellStyle name="Heading 4 3" xfId="2660" xr:uid="{3273A55F-5119-419A-86A7-5A04D12192A4}"/>
    <cellStyle name="Heading 4 3 10" xfId="2661" xr:uid="{62627758-97B3-452A-859A-2874D58E0DD7}"/>
    <cellStyle name="Heading 4 3 2" xfId="2662" xr:uid="{5B19CCAC-399C-4297-81FE-35F45B77DD30}"/>
    <cellStyle name="Heading 4 3 3" xfId="2663" xr:uid="{8CFBA368-A2A0-437A-A385-6CD657416137}"/>
    <cellStyle name="Heading 4 3 4" xfId="2664" xr:uid="{1C31E5B4-5918-407A-BC7A-843DDA93684F}"/>
    <cellStyle name="Heading 4 3 5" xfId="2665" xr:uid="{A68DA5A9-C349-4A29-A52D-C694527C45C7}"/>
    <cellStyle name="Heading 4 3 6" xfId="2666" xr:uid="{FDAC73AA-6B5F-481F-86E3-A2F913E5F47C}"/>
    <cellStyle name="Heading 4 3 7" xfId="2667" xr:uid="{E0A2A6EE-3AE7-4C5F-919F-F8A79C84F6C9}"/>
    <cellStyle name="Heading 4 3 8" xfId="2668" xr:uid="{A824A08F-2AEE-4FCF-BA50-A5FAFE6F5D73}"/>
    <cellStyle name="Heading 4 3 9" xfId="2669" xr:uid="{F8CF4ED3-FDFD-42A7-BCCA-44501BD30807}"/>
    <cellStyle name="Heading 4 4" xfId="2670" xr:uid="{078EEC6D-51E2-4A10-90B9-0A4DCE76B975}"/>
    <cellStyle name="Heading 4 4 10" xfId="2671" xr:uid="{E4EAF6E7-667A-4A11-A345-5037B08C1272}"/>
    <cellStyle name="Heading 4 4 2" xfId="2672" xr:uid="{A6A8A534-4473-4B61-B9FD-C8B9122B6CC4}"/>
    <cellStyle name="Heading 4 4 3" xfId="2673" xr:uid="{5FF49210-4B9D-43DC-9DE3-3EE0C9CA6438}"/>
    <cellStyle name="Heading 4 4 4" xfId="2674" xr:uid="{7C6C670E-00E6-40D1-9DC1-410D00C8A772}"/>
    <cellStyle name="Heading 4 4 5" xfId="2675" xr:uid="{3278C6E0-8235-4710-96C6-E56C2886CD3F}"/>
    <cellStyle name="Heading 4 4 6" xfId="2676" xr:uid="{4078CEBF-6460-4B83-B05A-2D7C0F0628C6}"/>
    <cellStyle name="Heading 4 4 7" xfId="2677" xr:uid="{54D86898-02AE-42F0-BA8B-5C9D9272ECB4}"/>
    <cellStyle name="Heading 4 4 8" xfId="2678" xr:uid="{C35E8BC0-2C19-4351-B488-FCEB2158E060}"/>
    <cellStyle name="Heading 4 4 9" xfId="2679" xr:uid="{A238FC14-8731-4D39-97EC-8E5D3BD5D525}"/>
    <cellStyle name="Heading 4 5" xfId="2680" xr:uid="{B0E06FB4-83C1-4629-A7FC-53FE59742B6C}"/>
    <cellStyle name="Heading 4 5 10" xfId="2681" xr:uid="{EA7E53D4-9140-4DA9-ACCC-6299D94AB3FC}"/>
    <cellStyle name="Heading 4 5 2" xfId="2682" xr:uid="{5286C985-B13E-4DB0-AC3A-6B3D7C0834BC}"/>
    <cellStyle name="Heading 4 5 3" xfId="2683" xr:uid="{86B30868-E458-469B-8AF5-CA33651D3780}"/>
    <cellStyle name="Heading 4 5 4" xfId="2684" xr:uid="{C8F1C6B5-4CE7-4558-9DF7-266DA12FC298}"/>
    <cellStyle name="Heading 4 5 5" xfId="2685" xr:uid="{9CE56761-B191-4F41-A39B-7B86BA3B9DA2}"/>
    <cellStyle name="Heading 4 5 6" xfId="2686" xr:uid="{441EA46E-600A-4654-9455-F629753EDCFC}"/>
    <cellStyle name="Heading 4 5 7" xfId="2687" xr:uid="{D0249CE5-2CC1-4B5F-A954-F26678D95545}"/>
    <cellStyle name="Heading 4 5 8" xfId="2688" xr:uid="{7019527F-5CA8-4D8D-88D5-C6B54FFCC802}"/>
    <cellStyle name="Heading 4 5 9" xfId="2689" xr:uid="{BEAABC97-A125-456C-B378-056ABDD64960}"/>
    <cellStyle name="Heading 4 6 2" xfId="2690" xr:uid="{C2D8E1FD-78D9-4FA6-8F7B-EB87491F2E9D}"/>
    <cellStyle name="Heading 4 7 2" xfId="2691" xr:uid="{CCB99DD7-ABBA-47BA-BDCE-400881B2BB87}"/>
    <cellStyle name="Heading 4 8" xfId="2692" xr:uid="{0BB96EDE-7750-408E-B1D9-A5E6A6CFE267}"/>
    <cellStyle name="Heading 4 9" xfId="2693" xr:uid="{48D24CD1-25FF-43A5-B4DF-2B35C6106BA2}"/>
    <cellStyle name="Hyperlink" xfId="3" builtinId="8"/>
    <cellStyle name="Hyperlink 2" xfId="16742" xr:uid="{C96D6AA6-F4D9-4B3B-B046-BE251B2CA6CB}"/>
    <cellStyle name="Hyperlink 2 2" xfId="2694" xr:uid="{61F4932F-52FC-4B05-A949-D2B6E8807A6F}"/>
    <cellStyle name="Hyperlink 2 3" xfId="2695" xr:uid="{A8FA0597-FD00-490E-B493-B8D8B23F5010}"/>
    <cellStyle name="Hyperlink 2 4" xfId="2696" xr:uid="{52B78203-F626-4BF9-9B40-16053387F61B}"/>
    <cellStyle name="Hyperlink 3" xfId="2697" xr:uid="{CC233ED8-EC84-4510-9F97-B110B074675B}"/>
    <cellStyle name="Hyperlink 4" xfId="16770" xr:uid="{27E2F654-3076-4E0B-AF42-567F9C285BCB}"/>
    <cellStyle name="Hyperlink 5" xfId="16751" xr:uid="{D9D63AE4-5E57-4C71-92EC-521D988CC26F}"/>
    <cellStyle name="Input" xfId="14" builtinId="20" customBuiltin="1"/>
    <cellStyle name="Input 10" xfId="2698" xr:uid="{B54BFE75-A7EF-400A-A0B0-753C38666231}"/>
    <cellStyle name="Input 11" xfId="2699" xr:uid="{CDBA117E-BD9D-43A3-BBF9-0B6ADFCB699B}"/>
    <cellStyle name="Input 12" xfId="2700" xr:uid="{67435F27-8737-4420-9FC7-22E12EEE0029}"/>
    <cellStyle name="Input 13" xfId="2701" xr:uid="{4BE1B87C-BFC7-4CA7-BFD0-930C05BF50BE}"/>
    <cellStyle name="Input 14" xfId="2702" xr:uid="{E6B80EB2-AC6F-4FA4-AB1E-9F5C7216CC6F}"/>
    <cellStyle name="Input 2 10" xfId="2703" xr:uid="{B0E8A526-C626-4B9E-8E50-D9645CC05389}"/>
    <cellStyle name="Input 2 11" xfId="2704" xr:uid="{16A7DEA6-9783-46CB-930C-617425AA6BDF}"/>
    <cellStyle name="Input 2 12" xfId="2705" xr:uid="{A7F425F8-F768-4EC6-934E-E70625ECD433}"/>
    <cellStyle name="Input 2 13" xfId="2706" xr:uid="{69E15C39-0786-4D38-87F7-9884D14AD699}"/>
    <cellStyle name="Input 2 2" xfId="2707" xr:uid="{FAEE8C61-5DDB-4CF9-8181-A95A754C5481}"/>
    <cellStyle name="Input 2 2 10" xfId="2708" xr:uid="{C3090074-CA2D-4691-998F-04A4FB4CCF4E}"/>
    <cellStyle name="Input 2 2 2" xfId="2709" xr:uid="{54B942F7-70AC-49F7-B2A9-07A52C15ABCA}"/>
    <cellStyle name="Input 2 2 2 2" xfId="2710" xr:uid="{F1D1A0D3-5BA4-4DCF-93BE-625F7306F842}"/>
    <cellStyle name="Input 2 2 3" xfId="2711" xr:uid="{71349783-4878-4F2F-8F62-D605DE8AC49D}"/>
    <cellStyle name="Input 2 2 4" xfId="2712" xr:uid="{049E4DAF-6B94-44DD-AF9D-632C79B0AFBE}"/>
    <cellStyle name="Input 2 2 5" xfId="2713" xr:uid="{D08F41A9-9A11-4893-BC74-6B0A74F5C559}"/>
    <cellStyle name="Input 2 2 6" xfId="2714" xr:uid="{5E683497-F288-49AC-BCA0-D9A782286FBA}"/>
    <cellStyle name="Input 2 2 7" xfId="2715" xr:uid="{F88F45DA-BCAD-44C7-9667-63217ECE63AE}"/>
    <cellStyle name="Input 2 2 8" xfId="2716" xr:uid="{60519E57-13DE-45A3-9924-AB309D20B7EF}"/>
    <cellStyle name="Input 2 2 9" xfId="2717" xr:uid="{4E76E53B-47BD-4DDC-9C0C-FF986E644DDF}"/>
    <cellStyle name="Input 2 3" xfId="2718" xr:uid="{1D41BB97-2A4A-46EB-8F99-A26F210B04E4}"/>
    <cellStyle name="Input 2 3 2" xfId="2719" xr:uid="{269A1F29-3E6E-40C8-95BD-AD57A1BC6A9E}"/>
    <cellStyle name="Input 2 4" xfId="2720" xr:uid="{1133E0CF-0FDE-4120-839C-60E6053F5463}"/>
    <cellStyle name="Input 2 4 2" xfId="2721" xr:uid="{475D6891-EE22-4A9A-8A81-F8304A5F3448}"/>
    <cellStyle name="Input 2 5" xfId="2722" xr:uid="{FEFEE0B0-17C7-43B1-8071-B7750C4DCADA}"/>
    <cellStyle name="Input 2 6" xfId="2723" xr:uid="{EC0ADAAA-E2B8-4849-A7AA-BC9844D6B0CB}"/>
    <cellStyle name="Input 2 7" xfId="2724" xr:uid="{992C004F-816B-46D8-960F-47EE50239691}"/>
    <cellStyle name="Input 2 8" xfId="2725" xr:uid="{B5FFD2C6-A648-465B-9BC3-0DE64FA83092}"/>
    <cellStyle name="Input 2 9" xfId="2726" xr:uid="{C12A4DCA-91F7-4B30-92CD-B6611DE57420}"/>
    <cellStyle name="Input 3" xfId="2727" xr:uid="{4C9BE1C1-C7ED-44A4-B568-F5C820B2710C}"/>
    <cellStyle name="Input 3 10" xfId="2728" xr:uid="{7C97C807-816D-4C11-84C6-497F48AE6134}"/>
    <cellStyle name="Input 3 2" xfId="2729" xr:uid="{82836FC1-7CA9-49CE-8FD8-4526612A325B}"/>
    <cellStyle name="Input 3 3" xfId="2730" xr:uid="{14DF4BBA-DC59-4FBE-8B46-C0A2560999D4}"/>
    <cellStyle name="Input 3 4" xfId="2731" xr:uid="{8863C09B-F759-4628-B310-13E5511B5763}"/>
    <cellStyle name="Input 3 5" xfId="2732" xr:uid="{B0F159DC-B559-450E-B728-2F4C77B2C03A}"/>
    <cellStyle name="Input 3 6" xfId="2733" xr:uid="{A638CBEE-D297-4F7A-BDC0-2843FEBB8734}"/>
    <cellStyle name="Input 3 7" xfId="2734" xr:uid="{4F9DAEBB-791F-458C-9653-6467677BA3E7}"/>
    <cellStyle name="Input 3 8" xfId="2735" xr:uid="{DBD65A80-B806-4008-A4BC-4A949334CE20}"/>
    <cellStyle name="Input 3 9" xfId="2736" xr:uid="{5BA928E6-E86E-4EEF-9965-3A2A45F82991}"/>
    <cellStyle name="Input 4" xfId="2737" xr:uid="{69013AD2-1D1C-4F34-BC37-D3D906D79E61}"/>
    <cellStyle name="Input 4 10" xfId="2738" xr:uid="{01493CA4-52D5-4AC0-9AC6-59F3A2E9F036}"/>
    <cellStyle name="Input 4 2" xfId="2739" xr:uid="{026AB175-5F4A-41D7-A4DE-0FB700A7C72C}"/>
    <cellStyle name="Input 4 3" xfId="2740" xr:uid="{4345AC68-BA9A-45DF-8B9A-FE637381EBE1}"/>
    <cellStyle name="Input 4 4" xfId="2741" xr:uid="{094F16D4-DE78-47C6-BE91-71747C50C122}"/>
    <cellStyle name="Input 4 5" xfId="2742" xr:uid="{97B849F1-E888-4767-8BA8-082BE5DED8DD}"/>
    <cellStyle name="Input 4 6" xfId="2743" xr:uid="{85E6E9B5-B136-46A4-A888-F9FB366A67C5}"/>
    <cellStyle name="Input 4 7" xfId="2744" xr:uid="{0D8A21C4-16FE-4BCE-917D-EA602986370C}"/>
    <cellStyle name="Input 4 8" xfId="2745" xr:uid="{EAE0BCDA-F88F-43E6-B500-850E1DCD9ADE}"/>
    <cellStyle name="Input 4 9" xfId="2746" xr:uid="{99B7B1EE-CC64-484E-8CD1-5E3346B9BA7D}"/>
    <cellStyle name="Input 5" xfId="2747" xr:uid="{560AF0E5-9A0D-47F4-8EA8-7A6CFA215B84}"/>
    <cellStyle name="Input 5 10" xfId="2748" xr:uid="{A2B7CAE8-950A-48C4-A654-CAA873C86D69}"/>
    <cellStyle name="Input 5 2" xfId="2749" xr:uid="{55E2FC59-0D5F-4709-9123-D21E24A39109}"/>
    <cellStyle name="Input 5 3" xfId="2750" xr:uid="{B0F8584B-E2BE-40AF-8017-8AECFC0884C8}"/>
    <cellStyle name="Input 5 4" xfId="2751" xr:uid="{7A9BFB1A-B4AF-413A-B7AC-71DAB01B3B05}"/>
    <cellStyle name="Input 5 5" xfId="2752" xr:uid="{184041C6-A76B-435C-AA06-39762288BC8C}"/>
    <cellStyle name="Input 5 6" xfId="2753" xr:uid="{AFEE5B9B-7DC2-4D57-8CD5-61A6DA65510A}"/>
    <cellStyle name="Input 5 7" xfId="2754" xr:uid="{2346F33E-E5DF-4F4C-A1B9-80305C9B834F}"/>
    <cellStyle name="Input 5 8" xfId="2755" xr:uid="{18508C0B-EE0F-4405-A303-3F10FCE4971D}"/>
    <cellStyle name="Input 5 9" xfId="2756" xr:uid="{4A3CC394-BB4C-4E21-8CC1-B6F04D55D9E8}"/>
    <cellStyle name="Input 6 2" xfId="2757" xr:uid="{E58ABBE8-1BF3-4834-A8F6-02ABA58F49BE}"/>
    <cellStyle name="Input 7 2" xfId="2758" xr:uid="{0A8E823F-E887-46A6-9335-9A48D0DBB0EF}"/>
    <cellStyle name="Input 8" xfId="2759" xr:uid="{6B741E0A-4CA8-4E5C-B2AD-F8B0B68B40AC}"/>
    <cellStyle name="Input 9" xfId="2760" xr:uid="{D4C26629-7CE9-4916-A94D-1F53CDD58A9D}"/>
    <cellStyle name="Linked Cell" xfId="17" builtinId="24" customBuiltin="1"/>
    <cellStyle name="Linked Cell 10" xfId="2761" xr:uid="{D21B06FF-089F-4A61-BE1A-4E08371D59CC}"/>
    <cellStyle name="Linked Cell 11" xfId="2762" xr:uid="{46D5FC8B-D91A-449A-A8CF-9324F5DC469D}"/>
    <cellStyle name="Linked Cell 12" xfId="2763" xr:uid="{C300BD60-F475-49E7-997E-CE7FBDC90273}"/>
    <cellStyle name="Linked Cell 13" xfId="2764" xr:uid="{8ABD28DE-1643-4680-83BB-4C29ED595601}"/>
    <cellStyle name="Linked Cell 14" xfId="2765" xr:uid="{F0B9BBFB-6713-4B5F-83E5-56C63BB5A37F}"/>
    <cellStyle name="Linked Cell 2 10" xfId="2766" xr:uid="{2EE95854-BB79-412A-816F-B1865F2D32BE}"/>
    <cellStyle name="Linked Cell 2 11" xfId="2767" xr:uid="{DFBEAA7B-67E1-4230-BB3A-CCD105F14528}"/>
    <cellStyle name="Linked Cell 2 12" xfId="2768" xr:uid="{A539A048-84AC-456A-9B90-353A032E8D21}"/>
    <cellStyle name="Linked Cell 2 13" xfId="2769" xr:uid="{8083E24D-9903-4436-95E0-7C663E9C41EF}"/>
    <cellStyle name="Linked Cell 2 2" xfId="2770" xr:uid="{CEA02354-8F83-40B3-A503-2FC3F8D99B28}"/>
    <cellStyle name="Linked Cell 2 2 10" xfId="2771" xr:uid="{A0D06A29-E092-48BE-8585-FDE5485AEB20}"/>
    <cellStyle name="Linked Cell 2 2 2" xfId="2772" xr:uid="{C4CFE216-4435-4E8C-A8DE-8D5730F05CC1}"/>
    <cellStyle name="Linked Cell 2 2 2 2" xfId="2773" xr:uid="{109A4BC5-F2B2-421D-A3BC-F9599AE64D12}"/>
    <cellStyle name="Linked Cell 2 2 3" xfId="2774" xr:uid="{F19AA98A-77D5-407E-8DC9-D10BDB953579}"/>
    <cellStyle name="Linked Cell 2 2 4" xfId="2775" xr:uid="{8005A84E-AB0B-4522-B9C8-A6E5210866D7}"/>
    <cellStyle name="Linked Cell 2 2 5" xfId="2776" xr:uid="{FA78C027-EAA1-4E74-AE36-E33DAC5772D1}"/>
    <cellStyle name="Linked Cell 2 2 6" xfId="2777" xr:uid="{2BFE03E1-661C-4238-A7BF-FC1BEE9C7D09}"/>
    <cellStyle name="Linked Cell 2 2 7" xfId="2778" xr:uid="{4532B56A-20E2-42AE-BC8F-69D130458619}"/>
    <cellStyle name="Linked Cell 2 2 8" xfId="2779" xr:uid="{C26BC3B3-A7F8-4EE1-9365-501391EC3C7F}"/>
    <cellStyle name="Linked Cell 2 2 9" xfId="2780" xr:uid="{65FA657B-30B9-4B6A-8E57-ADE368E74359}"/>
    <cellStyle name="Linked Cell 2 3" xfId="2781" xr:uid="{853E5CC0-2FB8-47FA-A934-ABB2DE2236CD}"/>
    <cellStyle name="Linked Cell 2 3 2" xfId="2782" xr:uid="{B9F6E7CD-FDC2-4A7E-9C16-F44534DC4F9E}"/>
    <cellStyle name="Linked Cell 2 4" xfId="2783" xr:uid="{E9EA364E-4487-4515-8F06-09DEDFC72252}"/>
    <cellStyle name="Linked Cell 2 4 2" xfId="2784" xr:uid="{8F85D416-7D75-4247-B1B8-7C2A1185B9EE}"/>
    <cellStyle name="Linked Cell 2 5" xfId="2785" xr:uid="{176BDFDB-9AD7-40F0-9E74-5F6C1CC0551E}"/>
    <cellStyle name="Linked Cell 2 6" xfId="2786" xr:uid="{8613304B-1762-478D-BBDA-EA0B79531F89}"/>
    <cellStyle name="Linked Cell 2 7" xfId="2787" xr:uid="{AB629D43-FC93-4B82-A76A-AC707267183F}"/>
    <cellStyle name="Linked Cell 2 8" xfId="2788" xr:uid="{4A0338BC-793B-41A5-9FFD-472435E53D68}"/>
    <cellStyle name="Linked Cell 2 9" xfId="2789" xr:uid="{47EF8568-AA5E-4417-B084-3767E0F3F289}"/>
    <cellStyle name="Linked Cell 3" xfId="2790" xr:uid="{D95D4146-5DE8-4425-AD0C-5099CEDD0149}"/>
    <cellStyle name="Linked Cell 3 10" xfId="2791" xr:uid="{04BC1859-7595-41CC-8EAE-92B31C4C9C7F}"/>
    <cellStyle name="Linked Cell 3 2" xfId="2792" xr:uid="{8B4BA92C-DD13-4337-B83A-BDF407AA6115}"/>
    <cellStyle name="Linked Cell 3 3" xfId="2793" xr:uid="{ADF66CC7-35AB-47F7-A664-24911E8E7759}"/>
    <cellStyle name="Linked Cell 3 4" xfId="2794" xr:uid="{C7EE6DE5-E88F-43D8-BDA8-BA5D412731A2}"/>
    <cellStyle name="Linked Cell 3 5" xfId="2795" xr:uid="{CF17466E-27B5-407F-861D-D30DDBAB1A97}"/>
    <cellStyle name="Linked Cell 3 6" xfId="2796" xr:uid="{B1364FB7-6138-40E5-A044-4C87919C3EAE}"/>
    <cellStyle name="Linked Cell 3 7" xfId="2797" xr:uid="{EFCF12E1-B8EB-4E1C-8311-C05B1CB7A7A8}"/>
    <cellStyle name="Linked Cell 3 8" xfId="2798" xr:uid="{A34A6D61-E5D7-4872-8E35-96EDC7912EDE}"/>
    <cellStyle name="Linked Cell 3 9" xfId="2799" xr:uid="{44B82F4C-4692-40B3-9462-876EE5A56512}"/>
    <cellStyle name="Linked Cell 4" xfId="2800" xr:uid="{D7382B7A-A40A-42F0-8D4F-E108144C95E0}"/>
    <cellStyle name="Linked Cell 4 10" xfId="2801" xr:uid="{BCAD4252-77EE-445B-91EC-DB7AF9525484}"/>
    <cellStyle name="Linked Cell 4 2" xfId="2802" xr:uid="{917C6A6E-D376-43D0-ACF6-F90011DB626A}"/>
    <cellStyle name="Linked Cell 4 3" xfId="2803" xr:uid="{AB3C991E-E8BA-40B5-AC61-0E709E50594F}"/>
    <cellStyle name="Linked Cell 4 4" xfId="2804" xr:uid="{415F1222-71DF-4165-B521-1404D3FEE0B3}"/>
    <cellStyle name="Linked Cell 4 5" xfId="2805" xr:uid="{4BAA76B2-2222-4CD1-B2E1-CE242FF2E303}"/>
    <cellStyle name="Linked Cell 4 6" xfId="2806" xr:uid="{7A4A8890-2268-46AB-8C37-B4FA6562EA48}"/>
    <cellStyle name="Linked Cell 4 7" xfId="2807" xr:uid="{792EAAB2-551F-40DF-A7BE-042B85E9347E}"/>
    <cellStyle name="Linked Cell 4 8" xfId="2808" xr:uid="{CC239311-8600-4C8A-BE4D-D9AC4156FA50}"/>
    <cellStyle name="Linked Cell 4 9" xfId="2809" xr:uid="{88CCF89D-842D-4C60-822D-0F8334484587}"/>
    <cellStyle name="Linked Cell 5" xfId="2810" xr:uid="{C97B5B9A-2DED-480C-860A-F1D89D1EF3F1}"/>
    <cellStyle name="Linked Cell 5 10" xfId="2811" xr:uid="{A31CFC90-64AF-4093-8D26-C9BC8DAD038F}"/>
    <cellStyle name="Linked Cell 5 2" xfId="2812" xr:uid="{519AC9E1-5A39-4FCF-B118-2084885938FD}"/>
    <cellStyle name="Linked Cell 5 3" xfId="2813" xr:uid="{7380A42B-B614-4547-AC3B-7DEB9824FB9B}"/>
    <cellStyle name="Linked Cell 5 4" xfId="2814" xr:uid="{66317521-166F-4232-B69F-60F848169680}"/>
    <cellStyle name="Linked Cell 5 5" xfId="2815" xr:uid="{CFF1E646-A212-44DF-A8CB-5AB0FBA3EA76}"/>
    <cellStyle name="Linked Cell 5 6" xfId="2816" xr:uid="{34A30BFF-6E24-49AC-9BAD-829559B514C9}"/>
    <cellStyle name="Linked Cell 5 7" xfId="2817" xr:uid="{C480600B-367E-4B01-8650-9A53A7531419}"/>
    <cellStyle name="Linked Cell 5 8" xfId="2818" xr:uid="{3D8D3847-5116-48BF-804E-B65DD96140DC}"/>
    <cellStyle name="Linked Cell 5 9" xfId="2819" xr:uid="{251243EC-315A-4206-8D36-7FA5284E2384}"/>
    <cellStyle name="Linked Cell 6 2" xfId="2820" xr:uid="{DA593D64-8B78-4041-B390-9DBAA116A1C3}"/>
    <cellStyle name="Linked Cell 7 2" xfId="2821" xr:uid="{482D2B39-48D3-4707-ACE4-3C0BB3284116}"/>
    <cellStyle name="Linked Cell 8" xfId="2822" xr:uid="{7CC4811A-6630-4A81-AED0-1EEF0CF27694}"/>
    <cellStyle name="Linked Cell 9" xfId="2823" xr:uid="{B28A9C74-4410-4DD6-A2E1-96E104C0DC8A}"/>
    <cellStyle name="Neutral" xfId="13" builtinId="28" customBuiltin="1"/>
    <cellStyle name="Neutral 10" xfId="2824" xr:uid="{30FEBE7A-EA1B-42AE-8E39-A89460BBB91D}"/>
    <cellStyle name="Neutral 11" xfId="2825" xr:uid="{B173D9E7-CD0A-4117-9025-3A84A511CDCA}"/>
    <cellStyle name="Neutral 12" xfId="2826" xr:uid="{F34440FC-8FB8-43B9-93B3-A84D9B7A3DF4}"/>
    <cellStyle name="Neutral 13" xfId="2827" xr:uid="{916C808B-D1BC-48D7-ACD7-F12B24579FD6}"/>
    <cellStyle name="Neutral 14" xfId="2828" xr:uid="{0D8D05B2-1B0C-45DF-8117-D537352EBDFE}"/>
    <cellStyle name="Neutral 2" xfId="16743" xr:uid="{B13A9A5C-A793-481D-80D5-D222AD9CA7ED}"/>
    <cellStyle name="Neutral 2 10" xfId="2829" xr:uid="{5D913548-DDF5-4341-BCE8-2548F4C0FC21}"/>
    <cellStyle name="Neutral 2 11" xfId="2830" xr:uid="{21E77EFC-E920-40CF-BEC3-F81A5650EA2A}"/>
    <cellStyle name="Neutral 2 12" xfId="2831" xr:uid="{37BF66D5-9E15-4A93-9FCD-3A2A4A3B6BE1}"/>
    <cellStyle name="Neutral 2 13" xfId="2832" xr:uid="{FFAA2359-F4A4-460A-882D-9B536BB8DB77}"/>
    <cellStyle name="Neutral 2 2" xfId="2833" xr:uid="{525B2245-1395-43E7-ABB3-6E235CB11CA6}"/>
    <cellStyle name="Neutral 2 2 10" xfId="2834" xr:uid="{C3A29F31-8546-430D-AE3D-2702E96EC800}"/>
    <cellStyle name="Neutral 2 2 2" xfId="2835" xr:uid="{C537A7AC-CB68-420B-A859-B9A9D16A0D49}"/>
    <cellStyle name="Neutral 2 2 2 2" xfId="2836" xr:uid="{EEEB8CEB-B3BE-4319-8A2A-CC8FD713505F}"/>
    <cellStyle name="Neutral 2 2 3" xfId="2837" xr:uid="{CA96C95B-996C-471D-9CDD-507BA13E3DBB}"/>
    <cellStyle name="Neutral 2 2 4" xfId="2838" xr:uid="{5579CB3F-32D4-4266-8058-225DC94477B7}"/>
    <cellStyle name="Neutral 2 2 5" xfId="2839" xr:uid="{2DFE597C-3238-45B0-B86A-89BCE9404F79}"/>
    <cellStyle name="Neutral 2 2 6" xfId="2840" xr:uid="{29AFB91B-ABA6-4AEA-AC36-A183CE480C66}"/>
    <cellStyle name="Neutral 2 2 7" xfId="2841" xr:uid="{521B195D-72F0-4CF3-B2DA-4DFB59172785}"/>
    <cellStyle name="Neutral 2 2 8" xfId="2842" xr:uid="{C9CDC1AA-3838-41B8-BF6D-45E61B29565E}"/>
    <cellStyle name="Neutral 2 2 9" xfId="2843" xr:uid="{D57FC4D8-931D-4D5D-8CAE-7E74D2ECD859}"/>
    <cellStyle name="Neutral 2 3" xfId="2844" xr:uid="{838F0D57-5EF8-4F8A-B276-68E0C6D86FF1}"/>
    <cellStyle name="Neutral 2 3 2" xfId="2845" xr:uid="{B4ECA1B5-B493-4E7C-A0E2-60514D205971}"/>
    <cellStyle name="Neutral 2 4" xfId="2846" xr:uid="{EE57D12F-FE6E-4F5F-B060-AE9BF21259E9}"/>
    <cellStyle name="Neutral 2 4 2" xfId="2847" xr:uid="{69B32546-6DE9-423D-A95C-76447C5FE403}"/>
    <cellStyle name="Neutral 2 5" xfId="2848" xr:uid="{8FB3CAF4-82EA-49C8-A7F4-B50A6AB3BCCD}"/>
    <cellStyle name="Neutral 2 6" xfId="2849" xr:uid="{B6E7BE95-EB8B-4743-8853-2EBBE1867A3F}"/>
    <cellStyle name="Neutral 2 7" xfId="2850" xr:uid="{AE0CAEBE-C557-4204-8CAC-09471D7804D7}"/>
    <cellStyle name="Neutral 2 8" xfId="2851" xr:uid="{DF82FEE8-5C94-4E88-8FD7-B2872009659D}"/>
    <cellStyle name="Neutral 2 9" xfId="2852" xr:uid="{2D1A6037-84F7-4481-ABD3-C4BF469D245B}"/>
    <cellStyle name="Neutral 3" xfId="2853" xr:uid="{2CE1F37B-3F05-46AD-8272-8318FDCF69AE}"/>
    <cellStyle name="Neutral 3 10" xfId="2854" xr:uid="{5434A5F7-4E9E-4F9E-BF6E-B5B5E92AB306}"/>
    <cellStyle name="Neutral 3 2" xfId="2855" xr:uid="{D41CFD66-8166-4841-ADF7-1C79B04FFB8C}"/>
    <cellStyle name="Neutral 3 3" xfId="2856" xr:uid="{8BCEFBE2-8364-4052-8820-C8D2B5B82422}"/>
    <cellStyle name="Neutral 3 4" xfId="2857" xr:uid="{96498A2B-D648-4FE0-BD8B-73DBCCE6D182}"/>
    <cellStyle name="Neutral 3 5" xfId="2858" xr:uid="{CB5FC56D-2CC4-4148-B8C6-518E82F65E04}"/>
    <cellStyle name="Neutral 3 6" xfId="2859" xr:uid="{F661466D-D170-4F03-AE0C-5FB70AB83DD4}"/>
    <cellStyle name="Neutral 3 7" xfId="2860" xr:uid="{1092635E-EBED-43BB-A9A9-DD1A3599CD75}"/>
    <cellStyle name="Neutral 3 8" xfId="2861" xr:uid="{E7312E68-E4C5-48F4-AA46-750ECBE24B2A}"/>
    <cellStyle name="Neutral 3 9" xfId="2862" xr:uid="{E15BB526-43AD-44F4-BBFC-8B52025E17A0}"/>
    <cellStyle name="Neutral 4" xfId="2863" xr:uid="{88F97EC3-CA1F-4EB5-93FB-62A745FFB663}"/>
    <cellStyle name="Neutral 4 10" xfId="2864" xr:uid="{C3F04D4C-9666-4A38-A289-F252FC47C708}"/>
    <cellStyle name="Neutral 4 2" xfId="2865" xr:uid="{32970CE4-FAE4-4DE0-86D5-C47E42246582}"/>
    <cellStyle name="Neutral 4 3" xfId="2866" xr:uid="{03C88526-3DB2-4B13-8364-F33A803E0D8A}"/>
    <cellStyle name="Neutral 4 4" xfId="2867" xr:uid="{2D7C9CD5-CD81-4DD4-944D-07134C957BED}"/>
    <cellStyle name="Neutral 4 5" xfId="2868" xr:uid="{1B2EAAB7-D5D6-4F61-A504-B72D9E77FF16}"/>
    <cellStyle name="Neutral 4 6" xfId="2869" xr:uid="{2B87DA2A-9CC3-4F49-860A-5F8A753638F6}"/>
    <cellStyle name="Neutral 4 7" xfId="2870" xr:uid="{D206215F-811B-4B49-BE85-DD93C88BD9CC}"/>
    <cellStyle name="Neutral 4 8" xfId="2871" xr:uid="{37323233-4B47-4787-B780-CF350253A7E9}"/>
    <cellStyle name="Neutral 4 9" xfId="2872" xr:uid="{FAACB9E4-A2A3-4BA8-A3E8-9DD0CE2898C3}"/>
    <cellStyle name="Neutral 5" xfId="2873" xr:uid="{113CBAAD-742F-42ED-8B22-27E4A988C78D}"/>
    <cellStyle name="Neutral 5 10" xfId="2874" xr:uid="{0B287EF4-BE54-4B3A-82CF-1FCB466FE406}"/>
    <cellStyle name="Neutral 5 2" xfId="2875" xr:uid="{B986C47C-A7D3-4379-9995-01D0BA87DA4F}"/>
    <cellStyle name="Neutral 5 3" xfId="2876" xr:uid="{9A897800-FDDA-413B-A364-BA89F6048A7D}"/>
    <cellStyle name="Neutral 5 4" xfId="2877" xr:uid="{4A71E8B0-01F2-495A-AE69-051549F1CCE1}"/>
    <cellStyle name="Neutral 5 5" xfId="2878" xr:uid="{8C03056E-D45D-4FC0-8203-43E90619345A}"/>
    <cellStyle name="Neutral 5 6" xfId="2879" xr:uid="{D9D585A3-1733-493D-8310-1B1B3B49AD0C}"/>
    <cellStyle name="Neutral 5 7" xfId="2880" xr:uid="{585CAB33-72AC-47A4-80BF-6B801100E6E2}"/>
    <cellStyle name="Neutral 5 8" xfId="2881" xr:uid="{64EBA7B8-DCE6-44D9-8D80-C69A5910C3BD}"/>
    <cellStyle name="Neutral 5 9" xfId="2882" xr:uid="{D18627EB-F85D-493B-B415-0E65615D33E8}"/>
    <cellStyle name="Neutral 6 2" xfId="2883" xr:uid="{B9436943-BD33-42B5-89EC-72411DF5D065}"/>
    <cellStyle name="Neutral 7 2" xfId="2884" xr:uid="{C5F1C916-6649-487B-B39C-11B4FA766FDD}"/>
    <cellStyle name="Neutral 8" xfId="2885" xr:uid="{B139EBDE-E8C6-4F5F-B5CE-6AE7D2BDC17D}"/>
    <cellStyle name="Neutral 9" xfId="2886" xr:uid="{476E5E04-BDD1-4E10-A30E-3F1883FF72A2}"/>
    <cellStyle name="Normal" xfId="0" builtinId="0"/>
    <cellStyle name="Normal 10" xfId="2887" xr:uid="{BC3AF4E1-078A-420B-B0E3-2FB1AFC3EE7A}"/>
    <cellStyle name="Normal 10 10" xfId="2888" xr:uid="{90E306D1-283C-46F2-AEC7-DCBB359D76A6}"/>
    <cellStyle name="Normal 10 11" xfId="2889" xr:uid="{F06F0A3A-9A62-4843-95EC-31199F3EE9CB}"/>
    <cellStyle name="Normal 10 12" xfId="2890" xr:uid="{CD2AC7D2-FA69-4068-9EEE-0DDBA897BDE8}"/>
    <cellStyle name="Normal 10 13" xfId="2891" xr:uid="{60CD2316-A79A-4DFD-9381-8F9D198DCE1D}"/>
    <cellStyle name="Normal 10 14" xfId="2892" xr:uid="{9BF57320-7131-460A-88FC-2A15E68554FD}"/>
    <cellStyle name="Normal 10 15" xfId="2893" xr:uid="{08B388AF-FF2E-4D0C-B303-816FD49E4A7A}"/>
    <cellStyle name="Normal 10 16" xfId="2894" xr:uid="{F2D6040B-EEFA-47AE-B918-D4965D9C4E59}"/>
    <cellStyle name="Normal 10 17" xfId="2895" xr:uid="{4DFFDAA0-3291-4D5F-A3D3-7CD2527C5B1E}"/>
    <cellStyle name="Normal 10 18" xfId="2896" xr:uid="{B4A73534-E90C-4E4F-91A0-A9F1EFF30716}"/>
    <cellStyle name="Normal 10 19" xfId="2897" xr:uid="{40F50338-4F6C-4A9C-B45B-F69C0B42842E}"/>
    <cellStyle name="Normal 10 2" xfId="2898" xr:uid="{6FE0020A-1C27-409C-BE17-5E0C7006449B}"/>
    <cellStyle name="Normal 10 2 10" xfId="2899" xr:uid="{14DBB2ED-7D5E-4602-83D1-E242D57B201C}"/>
    <cellStyle name="Normal 10 2 11" xfId="2900" xr:uid="{26DD5AF8-B053-4C6F-ADC3-07725694EE30}"/>
    <cellStyle name="Normal 10 2 12" xfId="2901" xr:uid="{E95683EF-4D28-477F-A0C7-EC2E5D773752}"/>
    <cellStyle name="Normal 10 2 13" xfId="2902" xr:uid="{DE33361C-6B7F-41CC-8334-FBA4F19DAE28}"/>
    <cellStyle name="Normal 10 2 14" xfId="2903" xr:uid="{429F9606-736D-4521-9F17-3106A6DCAAC7}"/>
    <cellStyle name="Normal 10 2 15" xfId="2904" xr:uid="{2F1CAF29-BC2F-4B33-A726-C8A09CA0C165}"/>
    <cellStyle name="Normal 10 2 16" xfId="2905" xr:uid="{751C764B-6ACC-4EB7-B0D5-13AC71C283A2}"/>
    <cellStyle name="Normal 10 2 17" xfId="2906" xr:uid="{45C8F5C7-5499-4AE4-B2F4-C419606196D2}"/>
    <cellStyle name="Normal 10 2 18" xfId="2907" xr:uid="{4C1D2EEB-7B87-4D81-8581-46C3C007D4CE}"/>
    <cellStyle name="Normal 10 2 19" xfId="2908" xr:uid="{C6859B7E-8488-4169-A716-D0D6E49076F3}"/>
    <cellStyle name="Normal 10 2 2" xfId="2909" xr:uid="{92A76A82-AF5F-432C-AC5D-56A18FCC6718}"/>
    <cellStyle name="Normal 10 2 2 10" xfId="2910" xr:uid="{62D14515-BA9F-47BD-837D-DC9037DB0438}"/>
    <cellStyle name="Normal 10 2 2 11" xfId="2911" xr:uid="{B7085E23-652D-4B00-9A8C-448162CCAD4B}"/>
    <cellStyle name="Normal 10 2 2 12" xfId="2912" xr:uid="{24C0240C-8543-4531-B0DF-DFCE96A767AC}"/>
    <cellStyle name="Normal 10 2 2 13" xfId="2913" xr:uid="{66A4EF41-60E0-41AA-90CA-CA8A4C93F066}"/>
    <cellStyle name="Normal 10 2 2 14" xfId="2914" xr:uid="{FF6C2C4E-90EF-4BB9-BB36-26EE9935985A}"/>
    <cellStyle name="Normal 10 2 2 15" xfId="2915" xr:uid="{FBCE4ADE-5529-4B9A-90FE-46212C30938A}"/>
    <cellStyle name="Normal 10 2 2 16" xfId="2916" xr:uid="{27C6345A-4D90-4BB2-84B7-38209625CEF1}"/>
    <cellStyle name="Normal 10 2 2 17" xfId="2917" xr:uid="{467AB11C-C9D5-4212-A171-F5AD4C96EA9E}"/>
    <cellStyle name="Normal 10 2 2 18" xfId="2918" xr:uid="{9D6CF973-54AC-4336-B3D8-33093792F598}"/>
    <cellStyle name="Normal 10 2 2 19" xfId="2919" xr:uid="{E337418C-95F4-417B-A336-99E12240A78B}"/>
    <cellStyle name="Normal 10 2 2 2" xfId="2920" xr:uid="{E7D76B7B-876A-4E76-BFBF-5BEDA349DA95}"/>
    <cellStyle name="Normal 10 2 2 2 10" xfId="2921" xr:uid="{5CD49876-F330-4166-A3ED-26CA8BBD6381}"/>
    <cellStyle name="Normal 10 2 2 2 11" xfId="2922" xr:uid="{E6005581-7AB6-4F7C-8102-7AB0CB6FF4BB}"/>
    <cellStyle name="Normal 10 2 2 2 12" xfId="2923" xr:uid="{3484A683-09A4-4AD2-AE47-0B0698B8B019}"/>
    <cellStyle name="Normal 10 2 2 2 13" xfId="2924" xr:uid="{25473CD8-3A66-428E-B32C-FA1576CB85A5}"/>
    <cellStyle name="Normal 10 2 2 2 14" xfId="2925" xr:uid="{300D8D06-6B32-48CD-B232-F4912658B317}"/>
    <cellStyle name="Normal 10 2 2 2 15" xfId="2926" xr:uid="{0A7D892D-AEF8-4690-8677-1B3AF01CFA49}"/>
    <cellStyle name="Normal 10 2 2 2 16" xfId="2927" xr:uid="{70BC1464-9F57-4BEA-90E0-B70C7249EFA7}"/>
    <cellStyle name="Normal 10 2 2 2 17" xfId="2928" xr:uid="{33FBF592-F482-45FC-BBDF-31AF685DEB82}"/>
    <cellStyle name="Normal 10 2 2 2 18" xfId="2929" xr:uid="{87085EEE-3D4A-49B6-82B2-548B6DA4474E}"/>
    <cellStyle name="Normal 10 2 2 2 19" xfId="2930" xr:uid="{00B8DB93-5D3F-4496-BEBD-9491E0C2C595}"/>
    <cellStyle name="Normal 10 2 2 2 2" xfId="2931" xr:uid="{5533E1FB-910A-430D-ACAD-B117B5F648E6}"/>
    <cellStyle name="Normal 10 2 2 2 2 10" xfId="2932" xr:uid="{E8346E98-A709-4EDB-9F8A-F654D992859F}"/>
    <cellStyle name="Normal 10 2 2 2 2 11" xfId="2933" xr:uid="{F78BC7F0-F127-40D6-AE01-F51B80171A34}"/>
    <cellStyle name="Normal 10 2 2 2 2 12" xfId="2934" xr:uid="{74811920-743E-45FA-BC7E-43996639A7B7}"/>
    <cellStyle name="Normal 10 2 2 2 2 13" xfId="2935" xr:uid="{E12741BE-88D7-4525-80FE-B5BB036ADC7A}"/>
    <cellStyle name="Normal 10 2 2 2 2 14" xfId="2936" xr:uid="{AE193E8F-3D11-48CF-84DA-A01E572306F4}"/>
    <cellStyle name="Normal 10 2 2 2 2 15" xfId="2937" xr:uid="{3107BB01-908A-403F-A1A4-267585FF63E7}"/>
    <cellStyle name="Normal 10 2 2 2 2 16" xfId="2938" xr:uid="{4058E35A-DFEC-405D-A7AC-32DC8560818F}"/>
    <cellStyle name="Normal 10 2 2 2 2 17" xfId="2939" xr:uid="{F1E80039-F028-4F15-8D15-57EADBE1B7A0}"/>
    <cellStyle name="Normal 10 2 2 2 2 18" xfId="2940" xr:uid="{29DB915A-603D-47E5-B1A6-80C80289BC93}"/>
    <cellStyle name="Normal 10 2 2 2 2 19" xfId="2941" xr:uid="{D635A187-300E-4AA0-9663-8076CA54D226}"/>
    <cellStyle name="Normal 10 2 2 2 2 2" xfId="2942" xr:uid="{7198F809-98FA-439B-AD63-40BAE9CFB8BF}"/>
    <cellStyle name="Normal 10 2 2 2 2 20" xfId="2943" xr:uid="{085B85CD-727D-43B6-BDEF-2A3100F28F71}"/>
    <cellStyle name="Normal 10 2 2 2 2 21" xfId="2944" xr:uid="{C55C1548-55D2-4868-BE52-46483953553D}"/>
    <cellStyle name="Normal 10 2 2 2 2 22" xfId="2945" xr:uid="{09190CA1-B0D0-466E-A9F1-E16AC694B7AA}"/>
    <cellStyle name="Normal 10 2 2 2 2 23" xfId="2946" xr:uid="{E9F0906D-C2D5-414C-9624-2B4E5C09173B}"/>
    <cellStyle name="Normal 10 2 2 2 2 24" xfId="2947" xr:uid="{8275CF0A-ACB3-4385-BAD6-A6FA906D81D8}"/>
    <cellStyle name="Normal 10 2 2 2 2 25" xfId="2948" xr:uid="{F35C86EF-1080-4706-AD52-14DBFE5A2742}"/>
    <cellStyle name="Normal 10 2 2 2 2 26" xfId="2949" xr:uid="{A7143658-5FBE-4EE2-8906-80F847CCD289}"/>
    <cellStyle name="Normal 10 2 2 2 2 27" xfId="2950" xr:uid="{1EEC8689-3F73-4F05-8D98-E0CEAA096D75}"/>
    <cellStyle name="Normal 10 2 2 2 2 28" xfId="2951" xr:uid="{42699D8B-C3BB-4BC6-8D43-8592828AA140}"/>
    <cellStyle name="Normal 10 2 2 2 2 29" xfId="2952" xr:uid="{0352291D-91CC-4E99-B6B2-D07BCAE9B1E3}"/>
    <cellStyle name="Normal 10 2 2 2 2 3" xfId="2953" xr:uid="{7A36941B-E613-4740-BAF3-6CF585D94402}"/>
    <cellStyle name="Normal 10 2 2 2 2 30" xfId="2954" xr:uid="{EADB5EA5-FF71-4A3F-843D-2E2F9122B0B7}"/>
    <cellStyle name="Normal 10 2 2 2 2 31" xfId="2955" xr:uid="{E1ADA90D-95DB-4938-AC0C-966B27A3B69B}"/>
    <cellStyle name="Normal 10 2 2 2 2 32" xfId="2956" xr:uid="{3FE025DF-5FB9-43AD-B2D7-72040A26E9A7}"/>
    <cellStyle name="Normal 10 2 2 2 2 33" xfId="2957" xr:uid="{3B4E8C82-7EEE-4E2C-B254-03633EEF73C1}"/>
    <cellStyle name="Normal 10 2 2 2 2 34" xfId="2958" xr:uid="{D5533B33-45D8-42BC-A975-3E3215D618E3}"/>
    <cellStyle name="Normal 10 2 2 2 2 35" xfId="2959" xr:uid="{C73B8689-3981-47E3-8414-EF01449ABDFE}"/>
    <cellStyle name="Normal 10 2 2 2 2 36" xfId="2960" xr:uid="{22453C75-6D51-47EB-A40D-F2EAEFA9D32E}"/>
    <cellStyle name="Normal 10 2 2 2 2 37" xfId="2961" xr:uid="{0B9EE31D-D0FB-4465-8F3B-4A2FB9DBEEA4}"/>
    <cellStyle name="Normal 10 2 2 2 2 38" xfId="2962" xr:uid="{EBB2BF7C-86CF-4001-B360-AE32BA6D7BBC}"/>
    <cellStyle name="Normal 10 2 2 2 2 4" xfId="2963" xr:uid="{5C4C3B39-567B-4152-8A99-63B0EFBFEE8C}"/>
    <cellStyle name="Normal 10 2 2 2 2 5" xfId="2964" xr:uid="{C9BB9FC8-A3EA-4839-B093-C4091899CE53}"/>
    <cellStyle name="Normal 10 2 2 2 2 6" xfId="2965" xr:uid="{966610AB-8361-45AD-9927-6BE3BE2BB068}"/>
    <cellStyle name="Normal 10 2 2 2 2 7" xfId="2966" xr:uid="{819A28A5-5BDF-40E8-A46B-AE90A773B7B8}"/>
    <cellStyle name="Normal 10 2 2 2 2 8" xfId="2967" xr:uid="{42877784-C32C-4209-B856-E76FCD72CCDD}"/>
    <cellStyle name="Normal 10 2 2 2 2 9" xfId="2968" xr:uid="{670D210A-89A8-4974-BEF3-82CDB1A8FAF4}"/>
    <cellStyle name="Normal 10 2 2 2 20" xfId="2969" xr:uid="{39056927-204F-4C82-AC8E-7BA5DB2B90C3}"/>
    <cellStyle name="Normal 10 2 2 2 21" xfId="2970" xr:uid="{1C7FA731-3346-42C7-99E9-BC3CC99C37C1}"/>
    <cellStyle name="Normal 10 2 2 2 22" xfId="2971" xr:uid="{8430BA73-05F3-4622-ABB5-17E406317A69}"/>
    <cellStyle name="Normal 10 2 2 2 23" xfId="2972" xr:uid="{7A08445E-5EEA-41B1-B1C5-CE871683A1FA}"/>
    <cellStyle name="Normal 10 2 2 2 24" xfId="2973" xr:uid="{38E1A435-747A-48F3-9B7D-88CEACE9AF4E}"/>
    <cellStyle name="Normal 10 2 2 2 25" xfId="2974" xr:uid="{2552124B-6630-4410-AB2B-F834EE7ECDA2}"/>
    <cellStyle name="Normal 10 2 2 2 26" xfId="2975" xr:uid="{8A54446C-2506-40B1-AF49-9C7E972B1925}"/>
    <cellStyle name="Normal 10 2 2 2 27" xfId="2976" xr:uid="{9A0AE9E7-EBBE-4A88-8158-9EF6B3B8048E}"/>
    <cellStyle name="Normal 10 2 2 2 28" xfId="2977" xr:uid="{63DC9353-B981-412B-ABF9-C097BD2D69B5}"/>
    <cellStyle name="Normal 10 2 2 2 29" xfId="2978" xr:uid="{9283D443-68A2-4E86-8DB1-251C3B2F5CF3}"/>
    <cellStyle name="Normal 10 2 2 2 3" xfId="2979" xr:uid="{59A4DF77-039F-4E89-9AB6-1CE234D11426}"/>
    <cellStyle name="Normal 10 2 2 2 30" xfId="2980" xr:uid="{41D8E626-81A0-4BDB-979D-CE4238C18022}"/>
    <cellStyle name="Normal 10 2 2 2 31" xfId="2981" xr:uid="{B7AD0506-4664-4363-8F21-D46078E64AE5}"/>
    <cellStyle name="Normal 10 2 2 2 32" xfId="2982" xr:uid="{B38D388E-ADAD-4B67-9946-C8D70397E821}"/>
    <cellStyle name="Normal 10 2 2 2 33" xfId="2983" xr:uid="{2ED98C54-2161-43C7-AF63-E2EA55ACE9A9}"/>
    <cellStyle name="Normal 10 2 2 2 34" xfId="2984" xr:uid="{CC874E35-9735-4750-BCB6-E413A5E432D3}"/>
    <cellStyle name="Normal 10 2 2 2 35" xfId="2985" xr:uid="{79340B68-8C5B-4874-89BD-29E15075B230}"/>
    <cellStyle name="Normal 10 2 2 2 36" xfId="2986" xr:uid="{E60E6C7D-5CBE-46FD-956E-DA19920E41CB}"/>
    <cellStyle name="Normal 10 2 2 2 37" xfId="2987" xr:uid="{962742CC-2927-4C9E-8EBC-549DF7F57A96}"/>
    <cellStyle name="Normal 10 2 2 2 38" xfId="2988" xr:uid="{194AB2FB-2B99-4B60-B926-207DF60EC2D2}"/>
    <cellStyle name="Normal 10 2 2 2 4" xfId="2989" xr:uid="{C01B503B-1A7E-4C09-9C48-2B5968662283}"/>
    <cellStyle name="Normal 10 2 2 2 5" xfId="2990" xr:uid="{7A3A18C8-DA09-488D-9F2D-13E6B3755595}"/>
    <cellStyle name="Normal 10 2 2 2 6" xfId="2991" xr:uid="{2DF099D2-2952-4780-90F3-AF059ACA16B4}"/>
    <cellStyle name="Normal 10 2 2 2 7" xfId="2992" xr:uid="{B08DBF99-6CBC-4F2F-B60D-1945E796ECF9}"/>
    <cellStyle name="Normal 10 2 2 2 8" xfId="2993" xr:uid="{EA3E46C3-0C13-4E6A-AF10-F8338F523355}"/>
    <cellStyle name="Normal 10 2 2 2 9" xfId="2994" xr:uid="{5C47822C-A5A3-47E3-B9FD-49E34023E8E0}"/>
    <cellStyle name="Normal 10 2 2 20" xfId="2995" xr:uid="{12D0F56B-B6C5-41FE-8F87-BA55CCDD67F7}"/>
    <cellStyle name="Normal 10 2 2 21" xfId="2996" xr:uid="{4FB64C18-7655-4CBB-9178-A7C6F400BC2F}"/>
    <cellStyle name="Normal 10 2 2 22" xfId="2997" xr:uid="{9CECB944-F78F-404B-BED4-4B911799622E}"/>
    <cellStyle name="Normal 10 2 2 23" xfId="2998" xr:uid="{ED4225D5-02F6-4E9C-97AF-29FACF253C91}"/>
    <cellStyle name="Normal 10 2 2 24" xfId="2999" xr:uid="{543E1554-0587-4289-8C66-27ED61B0D7A6}"/>
    <cellStyle name="Normal 10 2 2 25" xfId="3000" xr:uid="{63CBBE7D-45B0-48B7-9030-1909C08EA325}"/>
    <cellStyle name="Normal 10 2 2 26" xfId="3001" xr:uid="{20A8D064-74D3-43C3-8B91-B666F7B1D585}"/>
    <cellStyle name="Normal 10 2 2 27" xfId="3002" xr:uid="{AE2FD88B-B1E5-4ACF-8333-1C95F0FFD1CB}"/>
    <cellStyle name="Normal 10 2 2 28" xfId="3003" xr:uid="{5901964A-14CF-41E7-B662-4340F7ED2910}"/>
    <cellStyle name="Normal 10 2 2 29" xfId="3004" xr:uid="{E5542866-D2D4-4FB6-8069-423B133EA789}"/>
    <cellStyle name="Normal 10 2 2 3" xfId="3005" xr:uid="{B1A91AC0-901A-48D9-AAC3-9632453519C4}"/>
    <cellStyle name="Normal 10 2 2 30" xfId="3006" xr:uid="{0CE92307-B2E9-4BB8-B87C-41C78DE3C3F2}"/>
    <cellStyle name="Normal 10 2 2 31" xfId="3007" xr:uid="{873FAC20-B155-4DCD-9DBE-07C97C5D175A}"/>
    <cellStyle name="Normal 10 2 2 32" xfId="3008" xr:uid="{9FAA65EC-90CE-44FD-91A5-FA7EC6232C6B}"/>
    <cellStyle name="Normal 10 2 2 33" xfId="3009" xr:uid="{55ECA5C0-8A42-464A-8D1B-3DD51F68A5B0}"/>
    <cellStyle name="Normal 10 2 2 34" xfId="3010" xr:uid="{8526C547-7D3C-4B93-83C3-AEE381309714}"/>
    <cellStyle name="Normal 10 2 2 35" xfId="3011" xr:uid="{95C41221-4E37-40D4-AC8C-E64A511D0DC9}"/>
    <cellStyle name="Normal 10 2 2 36" xfId="3012" xr:uid="{52E06A30-AE34-4E6C-91AF-5BCB61274613}"/>
    <cellStyle name="Normal 10 2 2 37" xfId="3013" xr:uid="{D2BEA7F9-7550-47AA-A3D5-AACA4C8ED266}"/>
    <cellStyle name="Normal 10 2 2 38" xfId="3014" xr:uid="{CE1D40BA-0AB2-4BCC-BE83-AF11E5628912}"/>
    <cellStyle name="Normal 10 2 2 39" xfId="3015" xr:uid="{D8EE8F0D-AFF7-4677-9F15-CD839BE0735F}"/>
    <cellStyle name="Normal 10 2 2 4" xfId="3016" xr:uid="{57A8EEE7-55B1-4DC0-B128-DF204646FE58}"/>
    <cellStyle name="Normal 10 2 2 40" xfId="3017" xr:uid="{3665E613-6173-4EC8-9DD8-BFD00D885B76}"/>
    <cellStyle name="Normal 10 2 2 5" xfId="3018" xr:uid="{B433A3EF-8698-484E-A743-4920473BF922}"/>
    <cellStyle name="Normal 10 2 2 6" xfId="3019" xr:uid="{C7E8E959-8189-4BBD-969E-48DCB662E017}"/>
    <cellStyle name="Normal 10 2 2 7" xfId="3020" xr:uid="{408B9F37-82CC-4D29-8970-3729F3D7B0FA}"/>
    <cellStyle name="Normal 10 2 2 8" xfId="3021" xr:uid="{13673DC0-5D41-476E-BEDD-6001C90666E0}"/>
    <cellStyle name="Normal 10 2 2 9" xfId="3022" xr:uid="{4D3FFBE9-5DE8-413C-9F2E-4788DE8A8D88}"/>
    <cellStyle name="Normal 10 2 20" xfId="3023" xr:uid="{0383FEFF-8C8D-4566-87AE-D3C1B4372A08}"/>
    <cellStyle name="Normal 10 2 21" xfId="3024" xr:uid="{BA54E3C7-E56A-4ACB-998A-9C506CF7110D}"/>
    <cellStyle name="Normal 10 2 22" xfId="3025" xr:uid="{5C1B77FC-FFC0-4C5F-A303-050AB529A837}"/>
    <cellStyle name="Normal 10 2 23" xfId="3026" xr:uid="{365683E7-CCE0-43C7-9CA8-DF61C483AF33}"/>
    <cellStyle name="Normal 10 2 24" xfId="3027" xr:uid="{A35B4D11-61EA-427C-B417-7E0489D13057}"/>
    <cellStyle name="Normal 10 2 25" xfId="3028" xr:uid="{AAAF73AA-8C35-450B-84C5-A66CC97BFBB9}"/>
    <cellStyle name="Normal 10 2 26" xfId="3029" xr:uid="{FA228FF3-23B4-464C-AE5C-BB6DBD5ADE6D}"/>
    <cellStyle name="Normal 10 2 27" xfId="3030" xr:uid="{B30459DF-9F1A-416F-B1A9-388C30B30D88}"/>
    <cellStyle name="Normal 10 2 28" xfId="3031" xr:uid="{3A69C928-5104-4444-8D52-0E6F312EA78C}"/>
    <cellStyle name="Normal 10 2 29" xfId="3032" xr:uid="{08106DC4-A63D-41F5-B416-92B51E86D996}"/>
    <cellStyle name="Normal 10 2 3" xfId="3033" xr:uid="{3616BC46-9DD5-488D-9B83-BD3ABBFA6344}"/>
    <cellStyle name="Normal 10 2 3 10" xfId="3034" xr:uid="{DDD5D1DC-CC4D-49EF-926E-E34A20C4A4EE}"/>
    <cellStyle name="Normal 10 2 3 11" xfId="3035" xr:uid="{6D843D79-FB8E-4DE2-BE2A-EA5B2A1319EA}"/>
    <cellStyle name="Normal 10 2 3 12" xfId="3036" xr:uid="{24266FF8-3A4E-4EB8-B8E1-0A002D3D6AB6}"/>
    <cellStyle name="Normal 10 2 3 13" xfId="3037" xr:uid="{B98F19C8-7775-48BA-A7F6-679C0DEE5F6D}"/>
    <cellStyle name="Normal 10 2 3 14" xfId="3038" xr:uid="{D9BD0EED-A7BC-4198-AE62-7E3CA56A13D2}"/>
    <cellStyle name="Normal 10 2 3 15" xfId="3039" xr:uid="{2D007013-5A12-4DA2-AE13-8633AF81D3B3}"/>
    <cellStyle name="Normal 10 2 3 16" xfId="3040" xr:uid="{34E24F30-E795-465C-B0A0-022838235ACE}"/>
    <cellStyle name="Normal 10 2 3 17" xfId="3041" xr:uid="{33E96C7A-4E1F-46F2-AFF9-7E7C61498D9B}"/>
    <cellStyle name="Normal 10 2 3 18" xfId="3042" xr:uid="{93F1C861-66D9-4034-A860-91161B3C6614}"/>
    <cellStyle name="Normal 10 2 3 19" xfId="3043" xr:uid="{9315DD12-A84F-42A1-A9D5-F57157BAAD49}"/>
    <cellStyle name="Normal 10 2 3 2" xfId="3044" xr:uid="{1B8FA452-0E5E-4738-96E2-09B56587CE34}"/>
    <cellStyle name="Normal 10 2 3 2 10" xfId="3045" xr:uid="{50A65483-228C-4AA9-93B7-F2AAF2BE9115}"/>
    <cellStyle name="Normal 10 2 3 2 11" xfId="3046" xr:uid="{314C97A7-1686-4CA8-8D19-655316562705}"/>
    <cellStyle name="Normal 10 2 3 2 12" xfId="3047" xr:uid="{1A7C647A-C4AF-4DF2-9872-738269B86C9B}"/>
    <cellStyle name="Normal 10 2 3 2 13" xfId="3048" xr:uid="{FCE09FDF-1250-44F6-BE85-C31A6C3E2A89}"/>
    <cellStyle name="Normal 10 2 3 2 14" xfId="3049" xr:uid="{AB821F82-6285-466D-9565-F4995D64620C}"/>
    <cellStyle name="Normal 10 2 3 2 15" xfId="3050" xr:uid="{9810CB31-7D8B-4757-900B-1F37CADD074E}"/>
    <cellStyle name="Normal 10 2 3 2 16" xfId="3051" xr:uid="{9C547398-1468-4CCB-B1C8-7890372DF8C9}"/>
    <cellStyle name="Normal 10 2 3 2 17" xfId="3052" xr:uid="{184613D0-CE40-4816-A483-144BCEB99547}"/>
    <cellStyle name="Normal 10 2 3 2 18" xfId="3053" xr:uid="{0BACDFD2-91E6-48BC-A9AA-D2380F1D4841}"/>
    <cellStyle name="Normal 10 2 3 2 19" xfId="3054" xr:uid="{1CAE9494-7A83-452E-B4BC-27EAC4661365}"/>
    <cellStyle name="Normal 10 2 3 2 2" xfId="3055" xr:uid="{DC314D62-F4EE-4C25-9DF8-2B514F43F297}"/>
    <cellStyle name="Normal 10 2 3 2 20" xfId="3056" xr:uid="{33B2552B-D901-4C92-9D55-F4754BEC316F}"/>
    <cellStyle name="Normal 10 2 3 2 21" xfId="3057" xr:uid="{BA8588C8-7EAF-4EF8-8379-754902CCA9BC}"/>
    <cellStyle name="Normal 10 2 3 2 22" xfId="3058" xr:uid="{DFBB2A9F-C727-47E9-8703-BC6F15F3116A}"/>
    <cellStyle name="Normal 10 2 3 2 23" xfId="3059" xr:uid="{D5290424-36F0-4D04-B88D-B1F4C60CA30A}"/>
    <cellStyle name="Normal 10 2 3 2 24" xfId="3060" xr:uid="{26D9D2C5-12AD-47F6-8E89-ED59BE397868}"/>
    <cellStyle name="Normal 10 2 3 2 25" xfId="3061" xr:uid="{DECF9534-732B-464F-A64B-9B619550E590}"/>
    <cellStyle name="Normal 10 2 3 2 26" xfId="3062" xr:uid="{317AC308-A974-4231-BD18-A5FC9D3118BA}"/>
    <cellStyle name="Normal 10 2 3 2 27" xfId="3063" xr:uid="{DB36C588-CE54-4102-8EC0-C6C8F54BD0A1}"/>
    <cellStyle name="Normal 10 2 3 2 28" xfId="3064" xr:uid="{0A8B4711-853D-4DE5-A0C2-FA8C29EF8BBF}"/>
    <cellStyle name="Normal 10 2 3 2 29" xfId="3065" xr:uid="{7D19EF06-444B-48CD-9362-3A2263557823}"/>
    <cellStyle name="Normal 10 2 3 2 3" xfId="3066" xr:uid="{541748AD-04B1-482B-8957-F2E7809FB86C}"/>
    <cellStyle name="Normal 10 2 3 2 30" xfId="3067" xr:uid="{9FF1FD24-C1C3-4E9E-9742-E8E5005F560A}"/>
    <cellStyle name="Normal 10 2 3 2 31" xfId="3068" xr:uid="{D2D033CE-3A3D-4EA6-9B15-AB7489E27803}"/>
    <cellStyle name="Normal 10 2 3 2 32" xfId="3069" xr:uid="{C52433D2-3608-498D-AF49-599063057FD9}"/>
    <cellStyle name="Normal 10 2 3 2 33" xfId="3070" xr:uid="{FE31C9B4-94EC-4D19-AA4F-EA495390B59D}"/>
    <cellStyle name="Normal 10 2 3 2 34" xfId="3071" xr:uid="{C37B9CD9-9280-4E8C-A6AE-6AE359E25199}"/>
    <cellStyle name="Normal 10 2 3 2 35" xfId="3072" xr:uid="{149D96C6-B29D-4678-B64D-14441B75127C}"/>
    <cellStyle name="Normal 10 2 3 2 36" xfId="3073" xr:uid="{A13862CC-DAEA-4C23-A053-416E16F164D9}"/>
    <cellStyle name="Normal 10 2 3 2 37" xfId="3074" xr:uid="{0EA08CD0-626C-4271-9856-E5BADBD17064}"/>
    <cellStyle name="Normal 10 2 3 2 38" xfId="3075" xr:uid="{8326D337-D7E0-4CBF-AF18-572477144806}"/>
    <cellStyle name="Normal 10 2 3 2 4" xfId="3076" xr:uid="{DCFCEE05-9987-4949-B835-E93CD4A776C5}"/>
    <cellStyle name="Normal 10 2 3 2 5" xfId="3077" xr:uid="{9A071F3C-0305-4813-AF41-C610F1CC4361}"/>
    <cellStyle name="Normal 10 2 3 2 6" xfId="3078" xr:uid="{85C409D6-987B-44EA-BE82-5192784E97B4}"/>
    <cellStyle name="Normal 10 2 3 2 7" xfId="3079" xr:uid="{25C74A72-491E-43D9-8641-EA193F8F34CC}"/>
    <cellStyle name="Normal 10 2 3 2 8" xfId="3080" xr:uid="{7703B946-EB24-4D2F-AA7B-82F798E6A43F}"/>
    <cellStyle name="Normal 10 2 3 2 9" xfId="3081" xr:uid="{D516482D-640F-41DA-B913-53CE3C28FE7F}"/>
    <cellStyle name="Normal 10 2 3 20" xfId="3082" xr:uid="{718A5B3F-169E-4C0F-B17F-8F0A8E833B8E}"/>
    <cellStyle name="Normal 10 2 3 21" xfId="3083" xr:uid="{EA70BF02-A58D-4462-9693-AE74FA58169C}"/>
    <cellStyle name="Normal 10 2 3 22" xfId="3084" xr:uid="{DFD5384C-62CC-405C-958A-118C2624C026}"/>
    <cellStyle name="Normal 10 2 3 23" xfId="3085" xr:uid="{3A80379E-1CB4-4058-9974-F3DAA5EF414F}"/>
    <cellStyle name="Normal 10 2 3 24" xfId="3086" xr:uid="{BBDE3F45-1E53-4A74-B097-428D46D87714}"/>
    <cellStyle name="Normal 10 2 3 25" xfId="3087" xr:uid="{D6803E2C-FF2A-4FD0-A877-C84C190207EF}"/>
    <cellStyle name="Normal 10 2 3 26" xfId="3088" xr:uid="{9716FED1-150F-4A7B-BE56-B599407B7036}"/>
    <cellStyle name="Normal 10 2 3 27" xfId="3089" xr:uid="{C54E40AC-0573-42F4-84D1-15B19107F98B}"/>
    <cellStyle name="Normal 10 2 3 28" xfId="3090" xr:uid="{0A3F18B7-679E-486F-88A7-A52A5EDC58E5}"/>
    <cellStyle name="Normal 10 2 3 29" xfId="3091" xr:uid="{1E93C39E-4A2A-465B-A6AC-77B0AD95D2B9}"/>
    <cellStyle name="Normal 10 2 3 3" xfId="3092" xr:uid="{71FF4175-9673-45D2-90DA-D4D5C3E56DFE}"/>
    <cellStyle name="Normal 10 2 3 30" xfId="3093" xr:uid="{574FB94A-0546-4335-8595-20344D542E78}"/>
    <cellStyle name="Normal 10 2 3 31" xfId="3094" xr:uid="{CE588D09-7BE9-4E1B-AED7-1D4CC248B605}"/>
    <cellStyle name="Normal 10 2 3 32" xfId="3095" xr:uid="{B9D1D2EB-08A7-400A-ABDA-96CE6089F7D4}"/>
    <cellStyle name="Normal 10 2 3 33" xfId="3096" xr:uid="{FCBA2E87-6237-4017-9771-3DB03A1CFCB2}"/>
    <cellStyle name="Normal 10 2 3 34" xfId="3097" xr:uid="{7C1CDF1B-ACC0-473F-A4CC-36FDD18902F7}"/>
    <cellStyle name="Normal 10 2 3 35" xfId="3098" xr:uid="{EC78B022-3E88-49E1-AFB1-FDF446021C93}"/>
    <cellStyle name="Normal 10 2 3 36" xfId="3099" xr:uid="{BE7EEFAE-373E-4E28-9EA3-79427644DDE1}"/>
    <cellStyle name="Normal 10 2 3 37" xfId="3100" xr:uid="{05D08A23-2AEC-41FC-BAAD-9D9BE880D959}"/>
    <cellStyle name="Normal 10 2 3 38" xfId="3101" xr:uid="{D3A539AC-CD60-4D1C-8E59-FB0764C1D836}"/>
    <cellStyle name="Normal 10 2 3 4" xfId="3102" xr:uid="{170BEE32-7D07-4F9D-BDC6-712BE6D83DA3}"/>
    <cellStyle name="Normal 10 2 3 5" xfId="3103" xr:uid="{5AF06278-7A75-4FE0-AA7D-1169019AD53B}"/>
    <cellStyle name="Normal 10 2 3 6" xfId="3104" xr:uid="{AEE043A5-A75B-4993-B62E-88037A51A6F8}"/>
    <cellStyle name="Normal 10 2 3 7" xfId="3105" xr:uid="{584836E6-1940-414A-BE89-994CAE5E8ACC}"/>
    <cellStyle name="Normal 10 2 3 8" xfId="3106" xr:uid="{86FF1CBE-D9F7-467B-BD8D-F19D531511FD}"/>
    <cellStyle name="Normal 10 2 3 9" xfId="3107" xr:uid="{A2BB0BBE-F88B-46F0-AA09-E0266795E0DC}"/>
    <cellStyle name="Normal 10 2 30" xfId="3108" xr:uid="{15AB8BE8-5E9D-4B33-BE88-1CCE4096B183}"/>
    <cellStyle name="Normal 10 2 31" xfId="3109" xr:uid="{EFD0B299-E6DE-4BE2-A777-7D26E24630B7}"/>
    <cellStyle name="Normal 10 2 32" xfId="3110" xr:uid="{B9322415-A81F-4A30-BADC-A6EE3B19019F}"/>
    <cellStyle name="Normal 10 2 33" xfId="3111" xr:uid="{A7BEE59C-206B-4501-992F-02F14CEF664D}"/>
    <cellStyle name="Normal 10 2 34" xfId="3112" xr:uid="{923C64CB-4FCA-4716-9EDF-E5D3974ED089}"/>
    <cellStyle name="Normal 10 2 35" xfId="3113" xr:uid="{63B68666-1196-4918-9EAF-EFD7F3356D2B}"/>
    <cellStyle name="Normal 10 2 36" xfId="3114" xr:uid="{119F9BA1-5595-48DE-853C-60FAA21DBDA3}"/>
    <cellStyle name="Normal 10 2 37" xfId="3115" xr:uid="{68E9274E-7E5C-4E10-9B08-7D7C0EEE991C}"/>
    <cellStyle name="Normal 10 2 38" xfId="3116" xr:uid="{0A163054-C593-42AA-8BEA-C95ED9F24A8D}"/>
    <cellStyle name="Normal 10 2 39" xfId="3117" xr:uid="{102DFF9F-CA7F-4CEB-BD9B-7FF9BC8445FB}"/>
    <cellStyle name="Normal 10 2 4" xfId="3118" xr:uid="{76F57D8A-44D8-4E74-BB10-5A13126A77D8}"/>
    <cellStyle name="Normal 10 2 40" xfId="3119" xr:uid="{E77A81AF-7ECC-40CF-9546-1C4C0B689750}"/>
    <cellStyle name="Normal 10 2 5" xfId="3120" xr:uid="{D943CF43-BCE2-409A-AFCF-EBE9CCDFEACA}"/>
    <cellStyle name="Normal 10 2 6" xfId="3121" xr:uid="{234B607F-45E6-469D-A69B-8482904AF5CB}"/>
    <cellStyle name="Normal 10 2 7" xfId="3122" xr:uid="{C9FEB436-B52F-434F-817F-C7BC6E1AA125}"/>
    <cellStyle name="Normal 10 2 8" xfId="3123" xr:uid="{F602ADB6-1958-4C30-B33B-C2F077647F46}"/>
    <cellStyle name="Normal 10 2 9" xfId="3124" xr:uid="{C61FE4E2-FF2E-4D49-9506-252BF4968048}"/>
    <cellStyle name="Normal 10 20" xfId="3125" xr:uid="{B39CC4C3-1FCF-4B4E-AA02-5FDCE5DCFBCB}"/>
    <cellStyle name="Normal 10 21" xfId="3126" xr:uid="{352E9817-DED5-4019-BFC7-8E29C50C04D4}"/>
    <cellStyle name="Normal 10 22" xfId="3127" xr:uid="{6B6104DE-99F8-4265-936C-4AEF1341D139}"/>
    <cellStyle name="Normal 10 23" xfId="3128" xr:uid="{8F89F5A2-FB3E-4479-9901-1B03F9679134}"/>
    <cellStyle name="Normal 10 24" xfId="3129" xr:uid="{6869A35A-F314-4B6F-BB3A-044F6308CA58}"/>
    <cellStyle name="Normal 10 25" xfId="3130" xr:uid="{BCBF08F9-7F0D-432D-BF38-DA140763D374}"/>
    <cellStyle name="Normal 10 26" xfId="3131" xr:uid="{A8F69443-7BE6-45D1-8DD2-C7F7DD04BB89}"/>
    <cellStyle name="Normal 10 27" xfId="3132" xr:uid="{6AD2A0B5-99B7-45F1-A5CC-A60E780C67BF}"/>
    <cellStyle name="Normal 10 28" xfId="3133" xr:uid="{18DCD9EF-94A8-4220-B4FA-A040E234CA93}"/>
    <cellStyle name="Normal 10 29" xfId="3134" xr:uid="{0FAF89C0-14EB-40A5-9267-AF27BDB1F4A2}"/>
    <cellStyle name="Normal 10 3" xfId="3135" xr:uid="{691064FC-2EE4-4687-8EB7-5876270F95CF}"/>
    <cellStyle name="Normal 10 30" xfId="3136" xr:uid="{51322A9C-CDCD-4BCB-9873-31A1182D38C9}"/>
    <cellStyle name="Normal 10 31" xfId="3137" xr:uid="{73FBF848-935F-4BC3-9E4F-20A2A94D5F6D}"/>
    <cellStyle name="Normal 10 32" xfId="3138" xr:uid="{44406AB4-22A4-4C4F-8474-DC60536E542E}"/>
    <cellStyle name="Normal 10 33" xfId="3139" xr:uid="{86813B4B-5A0E-4028-9055-CCBB04F62BA8}"/>
    <cellStyle name="Normal 10 34" xfId="3140" xr:uid="{997E5CF1-0629-47A4-8D74-FE0DEC0FF773}"/>
    <cellStyle name="Normal 10 35" xfId="3141" xr:uid="{F5E1D30B-6FF5-46E8-A14F-6F1C3B4CA0D4}"/>
    <cellStyle name="Normal 10 36" xfId="3142" xr:uid="{85B15AB5-633D-4CE3-BFF5-3E46F1E81340}"/>
    <cellStyle name="Normal 10 37" xfId="3143" xr:uid="{64C145A8-2E52-48DD-AA6D-2B10A045BB79}"/>
    <cellStyle name="Normal 10 38" xfId="3144" xr:uid="{CDF33E88-11D1-4F1C-8BDA-F2923AB3F30A}"/>
    <cellStyle name="Normal 10 39" xfId="3145" xr:uid="{CA3309F3-38FD-43E5-A4DF-276BD31C6121}"/>
    <cellStyle name="Normal 10 4" xfId="3146" xr:uid="{7D5CE690-9A0C-4F77-B7F5-3B977F6B3602}"/>
    <cellStyle name="Normal 10 40" xfId="3147" xr:uid="{CF306CFC-B9F7-4EAD-86F3-B16B079B9743}"/>
    <cellStyle name="Normal 10 41" xfId="3148" xr:uid="{7A981826-B8BD-435D-A024-D13A49F04C28}"/>
    <cellStyle name="Normal 10 42" xfId="3149" xr:uid="{1A1DFB5B-9F55-402A-91FA-8F1B10EFA6B8}"/>
    <cellStyle name="Normal 10 43" xfId="3150" xr:uid="{EDA96E4B-8292-4BA7-B5D6-AE14CDE01CD6}"/>
    <cellStyle name="Normal 10 44" xfId="3151" xr:uid="{BDBBB3F5-70E8-489C-9B06-9A7B7C827831}"/>
    <cellStyle name="Normal 10 45" xfId="3152" xr:uid="{67480CA3-D6AD-48FD-8FD2-C40A6531DF57}"/>
    <cellStyle name="Normal 10 46" xfId="3153" xr:uid="{CF643465-0890-4FB3-8B31-F96B5A7E1C90}"/>
    <cellStyle name="Normal 10 47" xfId="3154" xr:uid="{C94C9374-413C-4D15-948B-AB653CD50F53}"/>
    <cellStyle name="Normal 10 48" xfId="3155" xr:uid="{E5EB0EFA-A608-461E-AE32-F3B3EED9E484}"/>
    <cellStyle name="Normal 10 49" xfId="3156" xr:uid="{F4C15740-1CB8-4AA8-815E-04A12418A59E}"/>
    <cellStyle name="Normal 10 5" xfId="3157" xr:uid="{3710DE36-7F09-460A-AF49-76DCD8D94457}"/>
    <cellStyle name="Normal 10 50" xfId="3158" xr:uid="{81F7FA38-97DE-435E-B0A4-1E19DC6B6367}"/>
    <cellStyle name="Normal 10 51" xfId="3159" xr:uid="{29063DA6-386D-446A-9191-1694D3999CE2}"/>
    <cellStyle name="Normal 10 52" xfId="3160" xr:uid="{C0555A94-3610-424D-AD00-8F7F41AE1CF8}"/>
    <cellStyle name="Normal 10 53" xfId="3161" xr:uid="{242BB287-2115-4934-A6C9-ADEBE5E7C334}"/>
    <cellStyle name="Normal 10 6" xfId="3162" xr:uid="{554ED01A-9CAC-45CB-AA11-2DE10178DBDF}"/>
    <cellStyle name="Normal 10 7" xfId="3163" xr:uid="{6156F684-6EE4-4B0A-BC9A-A50A5851D351}"/>
    <cellStyle name="Normal 10 8" xfId="3164" xr:uid="{89653D1A-E73D-4C0C-BF59-90DC18A14E8D}"/>
    <cellStyle name="Normal 10 9" xfId="3165" xr:uid="{A3D52430-BEA3-4888-96D0-1712EE949B0E}"/>
    <cellStyle name="Normal 11" xfId="3166" xr:uid="{51BAE0C8-52A6-43D1-85AA-7125A5765F2C}"/>
    <cellStyle name="Normal 11 10" xfId="3167" xr:uid="{28BCC5A4-7C51-4A55-93F7-234CA2F21DC4}"/>
    <cellStyle name="Normal 11 11" xfId="3168" xr:uid="{CFF73147-E776-4FAC-A645-34BB1EF350EA}"/>
    <cellStyle name="Normal 11 12" xfId="3169" xr:uid="{F1C013DA-38BC-4FBD-B9F8-A5262E0C6A10}"/>
    <cellStyle name="Normal 11 13" xfId="3170" xr:uid="{127A465C-E975-44A2-948E-2DABAFBDDB83}"/>
    <cellStyle name="Normal 11 14" xfId="3171" xr:uid="{31C8BF31-6070-49D2-A1E8-E9DDF2381425}"/>
    <cellStyle name="Normal 11 15" xfId="3172" xr:uid="{7ABAFB34-AE73-4902-864B-F586694BC0D1}"/>
    <cellStyle name="Normal 11 16" xfId="3173" xr:uid="{01E96DD1-040F-49D6-8F78-832D55B7A351}"/>
    <cellStyle name="Normal 11 17" xfId="3174" xr:uid="{1F156375-37BE-4D76-800C-07C7165CCF4E}"/>
    <cellStyle name="Normal 11 18" xfId="3175" xr:uid="{874D6BDB-0C37-4DA9-8E59-B0A736A0BDB0}"/>
    <cellStyle name="Normal 11 19" xfId="3176" xr:uid="{371F8659-FE5C-4053-BC0A-DCBF842272EB}"/>
    <cellStyle name="Normal 11 2" xfId="3177" xr:uid="{9E263976-DC0C-4210-96C4-537EF1A1DB26}"/>
    <cellStyle name="Normal 11 2 10" xfId="3178" xr:uid="{D579ECBF-404C-443B-8E23-A7E1BFA1CEF7}"/>
    <cellStyle name="Normal 11 2 11" xfId="3179" xr:uid="{2B434631-4844-4157-B45F-75413A5BE4B3}"/>
    <cellStyle name="Normal 11 2 12" xfId="3180" xr:uid="{FF134BDD-863B-426D-BFC1-1C00365F4A64}"/>
    <cellStyle name="Normal 11 2 13" xfId="3181" xr:uid="{C915F1BE-6F9E-417B-8438-30AEFD6CDE61}"/>
    <cellStyle name="Normal 11 2 14" xfId="3182" xr:uid="{63FB3D47-0998-404F-89F1-C738EA964205}"/>
    <cellStyle name="Normal 11 2 15" xfId="3183" xr:uid="{E936B355-5997-4F8E-AA80-41476E259C9E}"/>
    <cellStyle name="Normal 11 2 16" xfId="3184" xr:uid="{CF3AC163-E5FF-4558-AEEC-40F2F39B3B7D}"/>
    <cellStyle name="Normal 11 2 17" xfId="3185" xr:uid="{9F35E2BF-B945-46D5-9A7D-C2B2D1916BFA}"/>
    <cellStyle name="Normal 11 2 18" xfId="3186" xr:uid="{79FB2B26-96AA-4880-BD51-4697FB055499}"/>
    <cellStyle name="Normal 11 2 19" xfId="3187" xr:uid="{85400B08-46CF-4190-8628-05CE06CA3FC3}"/>
    <cellStyle name="Normal 11 2 2" xfId="3188" xr:uid="{920CD8B1-4349-423B-826E-3F42B917096C}"/>
    <cellStyle name="Normal 11 2 2 10" xfId="3189" xr:uid="{A85AC5D6-C3B0-4CF4-B565-9A05CE7D4D82}"/>
    <cellStyle name="Normal 11 2 2 11" xfId="3190" xr:uid="{D1503B1F-382C-49C9-90B1-32DBBC170AE9}"/>
    <cellStyle name="Normal 11 2 2 12" xfId="3191" xr:uid="{20679804-A10D-4677-9AD2-C696FF33CFE8}"/>
    <cellStyle name="Normal 11 2 2 13" xfId="3192" xr:uid="{7E4D5CB7-A975-4C2B-B60D-5B249783C7C0}"/>
    <cellStyle name="Normal 11 2 2 14" xfId="3193" xr:uid="{3306AB67-B31D-4654-8030-019D15FA3953}"/>
    <cellStyle name="Normal 11 2 2 15" xfId="3194" xr:uid="{4A6D6689-B2AF-42EA-89A8-7D1224A31536}"/>
    <cellStyle name="Normal 11 2 2 16" xfId="3195" xr:uid="{00019EB4-4B92-477D-ADD1-FBAF3C9752E9}"/>
    <cellStyle name="Normal 11 2 2 17" xfId="3196" xr:uid="{A429CC3B-B4B5-4571-A5FE-A963A1E24AC6}"/>
    <cellStyle name="Normal 11 2 2 18" xfId="3197" xr:uid="{1D1D0FF1-04C3-4A4C-935B-5015EFF18E8B}"/>
    <cellStyle name="Normal 11 2 2 19" xfId="3198" xr:uid="{5223A964-16C8-4CD2-BBBE-68FE67D6B133}"/>
    <cellStyle name="Normal 11 2 2 2" xfId="3199" xr:uid="{C481D395-266C-42D3-88D7-A5B2B4CA09BB}"/>
    <cellStyle name="Normal 11 2 2 2 10" xfId="3200" xr:uid="{0FEAA36D-61C1-4BB4-85B2-99BC9828CB12}"/>
    <cellStyle name="Normal 11 2 2 2 11" xfId="3201" xr:uid="{E3DEC2C9-CB62-42A7-A235-60D89BC1CC21}"/>
    <cellStyle name="Normal 11 2 2 2 12" xfId="3202" xr:uid="{B8765571-3079-44E8-8739-3E52313ED4B3}"/>
    <cellStyle name="Normal 11 2 2 2 13" xfId="3203" xr:uid="{605C47E7-054E-4E54-A7E0-EEC77DDDB4D3}"/>
    <cellStyle name="Normal 11 2 2 2 14" xfId="3204" xr:uid="{A7D76E01-FE64-4DD8-AAD9-F1294F2AB474}"/>
    <cellStyle name="Normal 11 2 2 2 15" xfId="3205" xr:uid="{C61EE1F8-FD6E-4C69-8912-B787B7005C17}"/>
    <cellStyle name="Normal 11 2 2 2 16" xfId="3206" xr:uid="{FB0A7330-D9A5-4086-903D-30FB115B2B5E}"/>
    <cellStyle name="Normal 11 2 2 2 17" xfId="3207" xr:uid="{16631D34-AD21-4E5B-99DF-A5F71A0446D1}"/>
    <cellStyle name="Normal 11 2 2 2 18" xfId="3208" xr:uid="{9DADAD57-6EF1-4FC4-B5E2-F0DB6A11E71E}"/>
    <cellStyle name="Normal 11 2 2 2 19" xfId="3209" xr:uid="{688B6791-FB45-4F21-9663-E2C37328B367}"/>
    <cellStyle name="Normal 11 2 2 2 2" xfId="3210" xr:uid="{077DBFE0-4AF8-47F2-8163-9FE95D5C47B3}"/>
    <cellStyle name="Normal 11 2 2 2 2 10" xfId="3211" xr:uid="{AE71E1FD-581D-4505-893B-9B7B3E5C6E34}"/>
    <cellStyle name="Normal 11 2 2 2 2 11" xfId="3212" xr:uid="{3FC49055-781E-4AB6-9B04-7A12150E4AC8}"/>
    <cellStyle name="Normal 11 2 2 2 2 12" xfId="3213" xr:uid="{72C339C0-95ED-4DFF-B96B-5AE8A4FD26F2}"/>
    <cellStyle name="Normal 11 2 2 2 2 13" xfId="3214" xr:uid="{D0293339-3ECD-4EED-A56E-A171D92C8FFC}"/>
    <cellStyle name="Normal 11 2 2 2 2 14" xfId="3215" xr:uid="{42F2E84B-1A44-46D7-8D45-B196B49855B7}"/>
    <cellStyle name="Normal 11 2 2 2 2 15" xfId="3216" xr:uid="{6B0B80AA-E391-4372-A698-C3A18235BB9C}"/>
    <cellStyle name="Normal 11 2 2 2 2 16" xfId="3217" xr:uid="{FA9D01FD-609C-4B5E-B1EC-313306523A51}"/>
    <cellStyle name="Normal 11 2 2 2 2 17" xfId="3218" xr:uid="{8666A678-1886-49CA-8991-2AC4DA4E4B8A}"/>
    <cellStyle name="Normal 11 2 2 2 2 18" xfId="3219" xr:uid="{5FB48A9F-43E2-4F26-B36A-527275042336}"/>
    <cellStyle name="Normal 11 2 2 2 2 19" xfId="3220" xr:uid="{87D12D8B-EB84-45E3-BAA6-EC6A88BC4859}"/>
    <cellStyle name="Normal 11 2 2 2 2 2" xfId="3221" xr:uid="{9502BED0-372C-4E37-BFFA-F4A8C6C38898}"/>
    <cellStyle name="Normal 11 2 2 2 2 20" xfId="3222" xr:uid="{063BB932-B969-4298-9668-E9DD1C898BB5}"/>
    <cellStyle name="Normal 11 2 2 2 2 21" xfId="3223" xr:uid="{D220DFA1-BA45-4A57-B9FD-294855EB0C80}"/>
    <cellStyle name="Normal 11 2 2 2 2 22" xfId="3224" xr:uid="{E25C5774-0521-4878-8A80-0321209F3106}"/>
    <cellStyle name="Normal 11 2 2 2 2 23" xfId="3225" xr:uid="{B61856A1-16CE-4733-808A-472BB28B4F1E}"/>
    <cellStyle name="Normal 11 2 2 2 2 24" xfId="3226" xr:uid="{AED217C9-298B-4168-8657-7F647DF7CCCC}"/>
    <cellStyle name="Normal 11 2 2 2 2 25" xfId="3227" xr:uid="{C106918C-E70E-4990-B4DD-DC0944ED1F96}"/>
    <cellStyle name="Normal 11 2 2 2 2 26" xfId="3228" xr:uid="{77072D38-F35D-4714-AEFA-27C50AD93F36}"/>
    <cellStyle name="Normal 11 2 2 2 2 27" xfId="3229" xr:uid="{52568699-2CE3-428F-A41E-0DCFA45BF3E9}"/>
    <cellStyle name="Normal 11 2 2 2 2 28" xfId="3230" xr:uid="{2BA05601-00FA-4A92-9356-B0BA78E9EC9C}"/>
    <cellStyle name="Normal 11 2 2 2 2 29" xfId="3231" xr:uid="{7B181353-A042-4E18-BA87-C054C6E5658C}"/>
    <cellStyle name="Normal 11 2 2 2 2 3" xfId="3232" xr:uid="{D04CCD5C-013A-4E74-8259-3CD9ECEFA373}"/>
    <cellStyle name="Normal 11 2 2 2 2 30" xfId="3233" xr:uid="{070B1105-1F19-4478-969C-32C2716EA4DA}"/>
    <cellStyle name="Normal 11 2 2 2 2 31" xfId="3234" xr:uid="{8F037E67-79BA-4F36-9F71-AA152375EF57}"/>
    <cellStyle name="Normal 11 2 2 2 2 32" xfId="3235" xr:uid="{906555C1-9138-4B04-9BBE-C1253D201A6D}"/>
    <cellStyle name="Normal 11 2 2 2 2 33" xfId="3236" xr:uid="{069E88F9-0C90-4BE0-B594-357BA685427D}"/>
    <cellStyle name="Normal 11 2 2 2 2 34" xfId="3237" xr:uid="{76546622-8872-4CB0-85E7-992BF592E2DC}"/>
    <cellStyle name="Normal 11 2 2 2 2 35" xfId="3238" xr:uid="{7A76816C-CAAB-4BE7-9EB5-0BE0927DCB14}"/>
    <cellStyle name="Normal 11 2 2 2 2 36" xfId="3239" xr:uid="{4C5D2DEC-7934-411D-9F19-2BF6C639C4ED}"/>
    <cellStyle name="Normal 11 2 2 2 2 37" xfId="3240" xr:uid="{55AA2A76-CC05-4B79-8F10-2CFF19B182D5}"/>
    <cellStyle name="Normal 11 2 2 2 2 38" xfId="3241" xr:uid="{E4FFC08F-109F-45CC-985C-FF789E5C58D9}"/>
    <cellStyle name="Normal 11 2 2 2 2 4" xfId="3242" xr:uid="{C657E252-59AB-4A96-B61C-712F00386069}"/>
    <cellStyle name="Normal 11 2 2 2 2 5" xfId="3243" xr:uid="{1D6FA4E0-5FCE-4BD7-AE07-7A9B2E7EB51E}"/>
    <cellStyle name="Normal 11 2 2 2 2 6" xfId="3244" xr:uid="{81D9ADF8-0163-4855-9A02-CAFC66515E42}"/>
    <cellStyle name="Normal 11 2 2 2 2 7" xfId="3245" xr:uid="{2D17A58C-6B52-448C-9434-FDAD19D36203}"/>
    <cellStyle name="Normal 11 2 2 2 2 8" xfId="3246" xr:uid="{F41E79A9-F922-4EB8-9E5A-FD44B5A4875A}"/>
    <cellStyle name="Normal 11 2 2 2 2 9" xfId="3247" xr:uid="{9D186407-A068-40AC-A4B1-AD96F5DD34A4}"/>
    <cellStyle name="Normal 11 2 2 2 20" xfId="3248" xr:uid="{F40E0C05-B6B9-4E1A-8216-65099B74DC02}"/>
    <cellStyle name="Normal 11 2 2 2 21" xfId="3249" xr:uid="{AC27CA53-DE5A-44C6-81BA-014DE97CA0E3}"/>
    <cellStyle name="Normal 11 2 2 2 22" xfId="3250" xr:uid="{D187FA93-D331-4FBB-BA1D-88793C0B191F}"/>
    <cellStyle name="Normal 11 2 2 2 23" xfId="3251" xr:uid="{D3746A94-1130-45FD-B289-DC1408704CC6}"/>
    <cellStyle name="Normal 11 2 2 2 24" xfId="3252" xr:uid="{53C1CF1D-F8B2-4334-80A1-387A94D3E3D3}"/>
    <cellStyle name="Normal 11 2 2 2 25" xfId="3253" xr:uid="{993FD528-B311-4B05-A022-4B74E00E43B6}"/>
    <cellStyle name="Normal 11 2 2 2 26" xfId="3254" xr:uid="{3859F797-E729-4619-9118-9E538836B896}"/>
    <cellStyle name="Normal 11 2 2 2 27" xfId="3255" xr:uid="{37DCE8FA-3C0D-4078-8F34-79F692BBD70D}"/>
    <cellStyle name="Normal 11 2 2 2 28" xfId="3256" xr:uid="{E430F4DE-48F5-4536-A328-741A79ABAD57}"/>
    <cellStyle name="Normal 11 2 2 2 29" xfId="3257" xr:uid="{37A90FD5-40CE-4D80-96D0-F8F0C4564C1C}"/>
    <cellStyle name="Normal 11 2 2 2 3" xfId="3258" xr:uid="{B26D80B1-7FD8-41FE-8E33-F773901B6140}"/>
    <cellStyle name="Normal 11 2 2 2 30" xfId="3259" xr:uid="{3AAEA32A-E5B3-4407-9E2D-EB4CD855FCE1}"/>
    <cellStyle name="Normal 11 2 2 2 31" xfId="3260" xr:uid="{2B36D37A-94F1-4D91-8E93-F5DE7C5789F3}"/>
    <cellStyle name="Normal 11 2 2 2 32" xfId="3261" xr:uid="{C1F82224-62F4-49EA-B71D-D37A8A7436E6}"/>
    <cellStyle name="Normal 11 2 2 2 33" xfId="3262" xr:uid="{7C1335D4-7095-416D-9A06-AD7ED7851B48}"/>
    <cellStyle name="Normal 11 2 2 2 34" xfId="3263" xr:uid="{1BAC9613-2856-41AD-90BC-F5393FEC398B}"/>
    <cellStyle name="Normal 11 2 2 2 35" xfId="3264" xr:uid="{C1E6A8B3-BAE4-4FE5-80C4-B9C968E1291A}"/>
    <cellStyle name="Normal 11 2 2 2 36" xfId="3265" xr:uid="{17EB879E-CE30-481E-92CD-8AA897A3A8F1}"/>
    <cellStyle name="Normal 11 2 2 2 37" xfId="3266" xr:uid="{C9BF4CE7-72F6-46CA-BD29-FAA0302376A4}"/>
    <cellStyle name="Normal 11 2 2 2 38" xfId="3267" xr:uid="{DCD0E644-F9CD-4A86-9A78-86016BFB449D}"/>
    <cellStyle name="Normal 11 2 2 2 4" xfId="3268" xr:uid="{34F08710-7CD3-4D20-8417-C7A588346850}"/>
    <cellStyle name="Normal 11 2 2 2 5" xfId="3269" xr:uid="{4122D1B5-49F7-4D56-A522-A1F24F86FEAD}"/>
    <cellStyle name="Normal 11 2 2 2 6" xfId="3270" xr:uid="{869946DE-0EEB-42B5-AAF3-E92726002EB1}"/>
    <cellStyle name="Normal 11 2 2 2 7" xfId="3271" xr:uid="{6437C2FE-1109-4BA8-B2FD-ACDAB90C6497}"/>
    <cellStyle name="Normal 11 2 2 2 8" xfId="3272" xr:uid="{3DF02DD5-4DF0-4EA3-AC56-863D191FA5B6}"/>
    <cellStyle name="Normal 11 2 2 2 9" xfId="3273" xr:uid="{34D8A971-3E5A-4B48-8014-2B7CBDCCA15C}"/>
    <cellStyle name="Normal 11 2 2 20" xfId="3274" xr:uid="{55BAF897-81F3-49AA-8449-8F3A33743018}"/>
    <cellStyle name="Normal 11 2 2 21" xfId="3275" xr:uid="{F7B01A99-FFC7-44A9-AA8C-62AE4F5C05E4}"/>
    <cellStyle name="Normal 11 2 2 22" xfId="3276" xr:uid="{E2BFE361-27BC-4B27-A480-433514D69EF4}"/>
    <cellStyle name="Normal 11 2 2 23" xfId="3277" xr:uid="{57621D7C-158C-43AC-A164-F8859DEA7AE4}"/>
    <cellStyle name="Normal 11 2 2 24" xfId="3278" xr:uid="{4441EBF3-C790-4660-9484-25068CE301AA}"/>
    <cellStyle name="Normal 11 2 2 25" xfId="3279" xr:uid="{EB3B2056-C924-44A0-A0D2-92485296287A}"/>
    <cellStyle name="Normal 11 2 2 26" xfId="3280" xr:uid="{22F34D72-6A69-49EE-A610-33C882944627}"/>
    <cellStyle name="Normal 11 2 2 27" xfId="3281" xr:uid="{6B107A98-E3DA-4051-B889-280A3FC5DF5A}"/>
    <cellStyle name="Normal 11 2 2 28" xfId="3282" xr:uid="{21054BCC-FFE1-4342-863D-91B077B954E1}"/>
    <cellStyle name="Normal 11 2 2 29" xfId="3283" xr:uid="{10D71DD1-E0AB-4F76-AC20-49B5B2C9D286}"/>
    <cellStyle name="Normal 11 2 2 3" xfId="3284" xr:uid="{E985C36D-EC99-434F-9897-F6D87B1F1576}"/>
    <cellStyle name="Normal 11 2 2 30" xfId="3285" xr:uid="{742F949B-ABE8-4F72-84D6-8DC92C9F488F}"/>
    <cellStyle name="Normal 11 2 2 31" xfId="3286" xr:uid="{D9DD0274-FCBC-4A5E-B302-7212B67DFC5C}"/>
    <cellStyle name="Normal 11 2 2 32" xfId="3287" xr:uid="{47544FB5-6107-4C9B-8CFF-BF2F9E515CAB}"/>
    <cellStyle name="Normal 11 2 2 33" xfId="3288" xr:uid="{CB3FF140-A675-4402-81EA-B8D3EACA1E17}"/>
    <cellStyle name="Normal 11 2 2 34" xfId="3289" xr:uid="{61FF1DF0-DAB8-4739-A566-21453D226948}"/>
    <cellStyle name="Normal 11 2 2 35" xfId="3290" xr:uid="{9F4243F4-CDB9-4FE7-B185-97268E3F70A1}"/>
    <cellStyle name="Normal 11 2 2 36" xfId="3291" xr:uid="{5DBBE69C-F014-4524-A465-C0E1A5A140EC}"/>
    <cellStyle name="Normal 11 2 2 37" xfId="3292" xr:uid="{CF38A147-7FD2-4500-A92C-4AB7B2AC9462}"/>
    <cellStyle name="Normal 11 2 2 38" xfId="3293" xr:uid="{58A61707-1C6D-41B6-A8DB-B3B4A2D0B8CB}"/>
    <cellStyle name="Normal 11 2 2 39" xfId="3294" xr:uid="{6039AF58-8C3F-4D33-B675-64CD53FF89F4}"/>
    <cellStyle name="Normal 11 2 2 4" xfId="3295" xr:uid="{442465C1-92F4-42FB-9FE6-424C38A2117A}"/>
    <cellStyle name="Normal 11 2 2 40" xfId="3296" xr:uid="{881779B6-E57E-43B2-88EF-657707407F04}"/>
    <cellStyle name="Normal 11 2 2 5" xfId="3297" xr:uid="{BDB64505-A3BA-49F7-941B-CE2CD79DC762}"/>
    <cellStyle name="Normal 11 2 2 6" xfId="3298" xr:uid="{44D4ECFE-CDA7-4822-936C-74F646613FF4}"/>
    <cellStyle name="Normal 11 2 2 7" xfId="3299" xr:uid="{FA374D76-55AD-485A-9B3F-D2A768D3D6DE}"/>
    <cellStyle name="Normal 11 2 2 8" xfId="3300" xr:uid="{A643CB5F-6456-4035-AB30-A7CF979D54F3}"/>
    <cellStyle name="Normal 11 2 2 9" xfId="3301" xr:uid="{1DBE2238-3FA4-4CFA-80F7-9E92FA942EAC}"/>
    <cellStyle name="Normal 11 2 20" xfId="3302" xr:uid="{83030DA8-EA41-43FA-B0E3-5DEEA9DDD54D}"/>
    <cellStyle name="Normal 11 2 21" xfId="3303" xr:uid="{BADB75F6-C2D5-41BA-B5ED-C3F457E1B162}"/>
    <cellStyle name="Normal 11 2 22" xfId="3304" xr:uid="{CD4CC2F3-4C30-496E-9A64-3F078BE69CF9}"/>
    <cellStyle name="Normal 11 2 23" xfId="3305" xr:uid="{4E70476E-9604-4C2F-8733-8A8EEB89E00B}"/>
    <cellStyle name="Normal 11 2 24" xfId="3306" xr:uid="{66596AE4-12F4-478B-BA23-D7239649A22F}"/>
    <cellStyle name="Normal 11 2 25" xfId="3307" xr:uid="{89414557-7B01-4CF3-B988-2B422DA39470}"/>
    <cellStyle name="Normal 11 2 26" xfId="3308" xr:uid="{A1DFB7BF-11AE-4D87-BAF3-91B1A9BF8F8C}"/>
    <cellStyle name="Normal 11 2 27" xfId="3309" xr:uid="{2F7D11BA-D486-421D-8F3D-ABD3EEB7923E}"/>
    <cellStyle name="Normal 11 2 28" xfId="3310" xr:uid="{3C5173DF-4479-4B19-A683-5D987B397811}"/>
    <cellStyle name="Normal 11 2 29" xfId="3311" xr:uid="{42C83A80-B4AE-4CF3-BFF7-AF5BE71D1141}"/>
    <cellStyle name="Normal 11 2 3" xfId="3312" xr:uid="{8D41D3E9-93F8-4682-A554-4EAA8C5483E8}"/>
    <cellStyle name="Normal 11 2 3 10" xfId="3313" xr:uid="{35C921D3-352A-491D-838D-B20EA970A1B7}"/>
    <cellStyle name="Normal 11 2 3 11" xfId="3314" xr:uid="{EE9041B6-E545-4C39-A52E-87FB8213E5E9}"/>
    <cellStyle name="Normal 11 2 3 12" xfId="3315" xr:uid="{188A966F-97BD-4C5C-80F3-77DC8437C562}"/>
    <cellStyle name="Normal 11 2 3 13" xfId="3316" xr:uid="{B3CC9012-31CE-4E6B-8F13-2BD18B5DA216}"/>
    <cellStyle name="Normal 11 2 3 14" xfId="3317" xr:uid="{FE09ABF3-6CC0-4924-8751-0203C8DBEA9B}"/>
    <cellStyle name="Normal 11 2 3 15" xfId="3318" xr:uid="{200DA7F2-BE06-4436-87FC-CC40DE1C9CA2}"/>
    <cellStyle name="Normal 11 2 3 16" xfId="3319" xr:uid="{DABFE4E8-BF14-4B42-BA99-E9221219FDB7}"/>
    <cellStyle name="Normal 11 2 3 17" xfId="3320" xr:uid="{04C79E68-DDE8-44EC-9344-C26197579908}"/>
    <cellStyle name="Normal 11 2 3 18" xfId="3321" xr:uid="{AE311304-090B-4E92-A55C-688D6047E84F}"/>
    <cellStyle name="Normal 11 2 3 19" xfId="3322" xr:uid="{2D174548-3299-4FF4-A64C-0D37D7EBB555}"/>
    <cellStyle name="Normal 11 2 3 2" xfId="3323" xr:uid="{A796F88F-150B-461C-993C-96689CF60120}"/>
    <cellStyle name="Normal 11 2 3 2 10" xfId="3324" xr:uid="{DAFCF6AB-6F8F-4078-91EA-D076F4CA772C}"/>
    <cellStyle name="Normal 11 2 3 2 11" xfId="3325" xr:uid="{C9A7A3A2-3116-42C2-A0DE-32553A79FAD0}"/>
    <cellStyle name="Normal 11 2 3 2 12" xfId="3326" xr:uid="{C1DBA5FD-3A36-44DB-AE3E-8B56B5C17146}"/>
    <cellStyle name="Normal 11 2 3 2 13" xfId="3327" xr:uid="{354BDF0F-C96E-4AAE-85D8-69588A1CD2F3}"/>
    <cellStyle name="Normal 11 2 3 2 14" xfId="3328" xr:uid="{B2D8BC4C-82F2-4EB8-8441-754E3B2E6865}"/>
    <cellStyle name="Normal 11 2 3 2 15" xfId="3329" xr:uid="{57C701E5-4620-4903-802A-347CCE6F40DF}"/>
    <cellStyle name="Normal 11 2 3 2 16" xfId="3330" xr:uid="{36958B3A-DA28-4F69-A3ED-A37B2BD47E4F}"/>
    <cellStyle name="Normal 11 2 3 2 17" xfId="3331" xr:uid="{3D6F8453-CB4E-4B79-873C-5394EB40BBE6}"/>
    <cellStyle name="Normal 11 2 3 2 18" xfId="3332" xr:uid="{CA9A1457-C2DA-4F2D-AE8B-CEDEB5E5D52D}"/>
    <cellStyle name="Normal 11 2 3 2 19" xfId="3333" xr:uid="{46DEE114-4047-452C-9D86-DAE567993A57}"/>
    <cellStyle name="Normal 11 2 3 2 2" xfId="3334" xr:uid="{0692E8CA-8B95-4FFF-B5E3-F5CEE75987B9}"/>
    <cellStyle name="Normal 11 2 3 2 20" xfId="3335" xr:uid="{D0EF800C-9DBE-4772-A9BF-6335B2C74C13}"/>
    <cellStyle name="Normal 11 2 3 2 21" xfId="3336" xr:uid="{24AA43FA-9F20-4B33-9B18-F3C55C057681}"/>
    <cellStyle name="Normal 11 2 3 2 22" xfId="3337" xr:uid="{6B16519D-22AB-44EA-9F08-7B3819D72EBC}"/>
    <cellStyle name="Normal 11 2 3 2 23" xfId="3338" xr:uid="{F300DC45-E732-4BFB-A7C5-95EF44FCD650}"/>
    <cellStyle name="Normal 11 2 3 2 24" xfId="3339" xr:uid="{B5424406-090D-4317-931F-491D6F96468B}"/>
    <cellStyle name="Normal 11 2 3 2 25" xfId="3340" xr:uid="{82348C68-C125-433A-8142-B9F577C7BA5B}"/>
    <cellStyle name="Normal 11 2 3 2 26" xfId="3341" xr:uid="{70AEB491-963E-4AD2-B4F6-26F0D20A7EB9}"/>
    <cellStyle name="Normal 11 2 3 2 27" xfId="3342" xr:uid="{29ED85C9-45A4-4983-B671-9A3D5C69C456}"/>
    <cellStyle name="Normal 11 2 3 2 28" xfId="3343" xr:uid="{3CDEF198-B923-48A3-9F04-9907AB3CED9A}"/>
    <cellStyle name="Normal 11 2 3 2 29" xfId="3344" xr:uid="{37ADF3CF-DDDB-45A8-8806-0B13519CA78A}"/>
    <cellStyle name="Normal 11 2 3 2 3" xfId="3345" xr:uid="{0196C5BA-2818-427E-A91E-AF971A6B041B}"/>
    <cellStyle name="Normal 11 2 3 2 30" xfId="3346" xr:uid="{CC964A1F-337A-4737-9AF1-47DF6C3A632E}"/>
    <cellStyle name="Normal 11 2 3 2 31" xfId="3347" xr:uid="{5F8F6587-EC1C-409A-BF34-7737C9E63EBD}"/>
    <cellStyle name="Normal 11 2 3 2 32" xfId="3348" xr:uid="{33190389-E1E4-4186-9F22-DEF332A7870E}"/>
    <cellStyle name="Normal 11 2 3 2 33" xfId="3349" xr:uid="{22497BC7-5725-435B-A8CA-EC9AF8060212}"/>
    <cellStyle name="Normal 11 2 3 2 34" xfId="3350" xr:uid="{CAA9D736-4AF8-4B2A-B345-6D8CCE5BEE0A}"/>
    <cellStyle name="Normal 11 2 3 2 35" xfId="3351" xr:uid="{5F8C5FC9-8DB1-4740-A198-77828AB34314}"/>
    <cellStyle name="Normal 11 2 3 2 36" xfId="3352" xr:uid="{362CAB14-A4F2-4378-B3CF-3BA7C4791125}"/>
    <cellStyle name="Normal 11 2 3 2 37" xfId="3353" xr:uid="{0A18FE25-4A7B-4185-9C75-8211AF012E5A}"/>
    <cellStyle name="Normal 11 2 3 2 38" xfId="3354" xr:uid="{C9E4FEAF-CAEA-43CB-800C-4E14C387B948}"/>
    <cellStyle name="Normal 11 2 3 2 4" xfId="3355" xr:uid="{21AB95B2-A99F-4A35-9C0E-D71A91698C89}"/>
    <cellStyle name="Normal 11 2 3 2 5" xfId="3356" xr:uid="{BBC9169D-04C1-4679-9DAD-0CD40091D25A}"/>
    <cellStyle name="Normal 11 2 3 2 6" xfId="3357" xr:uid="{DA39B2F8-B96B-4745-9E9F-2D5E777EC6B1}"/>
    <cellStyle name="Normal 11 2 3 2 7" xfId="3358" xr:uid="{E48CD246-5E08-419B-B1B3-5F6B14291BEC}"/>
    <cellStyle name="Normal 11 2 3 2 8" xfId="3359" xr:uid="{8A1470CD-11AC-49B5-8BEA-765A72D4B7DE}"/>
    <cellStyle name="Normal 11 2 3 2 9" xfId="3360" xr:uid="{07730C7E-62E2-444C-BEA6-5B86FE3C2D71}"/>
    <cellStyle name="Normal 11 2 3 20" xfId="3361" xr:uid="{7978F608-9A46-42F2-8282-6EC6F3428487}"/>
    <cellStyle name="Normal 11 2 3 21" xfId="3362" xr:uid="{87D23565-EC20-4BAE-AF50-CD204C68DEBD}"/>
    <cellStyle name="Normal 11 2 3 22" xfId="3363" xr:uid="{091BAE20-24B4-43BC-96CA-36B7A8DA5D0D}"/>
    <cellStyle name="Normal 11 2 3 23" xfId="3364" xr:uid="{D0C7C7D2-36F2-4B80-8C97-DB06ECDF6F48}"/>
    <cellStyle name="Normal 11 2 3 24" xfId="3365" xr:uid="{3E5FB2DC-6F73-4EF5-9803-8C9A8F996787}"/>
    <cellStyle name="Normal 11 2 3 25" xfId="3366" xr:uid="{4C9EE89D-2BB3-4D05-800E-4083546EB898}"/>
    <cellStyle name="Normal 11 2 3 26" xfId="3367" xr:uid="{DFF4A340-5198-45F8-894F-D85E36BCA665}"/>
    <cellStyle name="Normal 11 2 3 27" xfId="3368" xr:uid="{34F99508-7B5C-4E89-B407-B5BCE7F26FD0}"/>
    <cellStyle name="Normal 11 2 3 28" xfId="3369" xr:uid="{26AA5A94-76CD-4D8F-AD68-4DA861C497EA}"/>
    <cellStyle name="Normal 11 2 3 29" xfId="3370" xr:uid="{3F8F640E-4783-4705-BD02-447BDCDD94D6}"/>
    <cellStyle name="Normal 11 2 3 3" xfId="3371" xr:uid="{E10F0AC6-7592-4DA5-9DED-C7A0C39830EC}"/>
    <cellStyle name="Normal 11 2 3 30" xfId="3372" xr:uid="{019F8826-C095-441C-BE5B-33AD31CF411F}"/>
    <cellStyle name="Normal 11 2 3 31" xfId="3373" xr:uid="{C13C1293-79A4-4893-BDF7-916CB7C4D2E9}"/>
    <cellStyle name="Normal 11 2 3 32" xfId="3374" xr:uid="{B70EB03D-8EFF-4707-86EE-A2DE09B88BD6}"/>
    <cellStyle name="Normal 11 2 3 33" xfId="3375" xr:uid="{D93CD7BA-C847-43A1-B574-0D424496B9E8}"/>
    <cellStyle name="Normal 11 2 3 34" xfId="3376" xr:uid="{0AF8BFAF-C507-4313-82F1-B7D3E04208F5}"/>
    <cellStyle name="Normal 11 2 3 35" xfId="3377" xr:uid="{37DCA6D5-7F90-4897-AB65-74682FAA1752}"/>
    <cellStyle name="Normal 11 2 3 36" xfId="3378" xr:uid="{72288E81-E8D9-43B2-BBE8-1011B8A131B5}"/>
    <cellStyle name="Normal 11 2 3 37" xfId="3379" xr:uid="{1195A418-12D2-4535-AD97-D50D78831A75}"/>
    <cellStyle name="Normal 11 2 3 38" xfId="3380" xr:uid="{AA81F2EF-0221-4255-BCFF-9109305EC84F}"/>
    <cellStyle name="Normal 11 2 3 4" xfId="3381" xr:uid="{51CE67CD-72E9-4B1D-8F9F-3533D2056376}"/>
    <cellStyle name="Normal 11 2 3 5" xfId="3382" xr:uid="{900539F1-72A3-4FC7-B473-19B5DE382764}"/>
    <cellStyle name="Normal 11 2 3 6" xfId="3383" xr:uid="{C27EAC44-4E44-4332-8FC4-68D26A129335}"/>
    <cellStyle name="Normal 11 2 3 7" xfId="3384" xr:uid="{82998039-6FAA-4E41-A31C-CF925773415F}"/>
    <cellStyle name="Normal 11 2 3 8" xfId="3385" xr:uid="{B3222598-ACCD-471D-AEAB-489792164289}"/>
    <cellStyle name="Normal 11 2 3 9" xfId="3386" xr:uid="{751D16B7-4C02-4F8A-AD54-9D3867A9B255}"/>
    <cellStyle name="Normal 11 2 30" xfId="3387" xr:uid="{E2672224-F356-4681-97F8-D9AAFD6B117F}"/>
    <cellStyle name="Normal 11 2 31" xfId="3388" xr:uid="{3F10F7A0-AB4F-4F6F-AE1E-D4AA11E4DE15}"/>
    <cellStyle name="Normal 11 2 32" xfId="3389" xr:uid="{E723B827-93C1-436A-8E8D-6457E1CF9659}"/>
    <cellStyle name="Normal 11 2 33" xfId="3390" xr:uid="{CED7AA8E-B22E-4C7D-BF72-E3E8F506CEF7}"/>
    <cellStyle name="Normal 11 2 34" xfId="3391" xr:uid="{24757E85-11C6-49AB-9ED0-3E06BCE2864D}"/>
    <cellStyle name="Normal 11 2 35" xfId="3392" xr:uid="{7FE1017D-4BAF-4EC9-85D0-89FAC11B035A}"/>
    <cellStyle name="Normal 11 2 36" xfId="3393" xr:uid="{424317B2-8431-4EBB-8778-2C5AE2CC37EC}"/>
    <cellStyle name="Normal 11 2 37" xfId="3394" xr:uid="{8A39401D-FDBE-40AD-8DEC-BA739D1047C7}"/>
    <cellStyle name="Normal 11 2 38" xfId="3395" xr:uid="{57E96A55-EE4C-4EFD-897F-A6D6A3FB1BCF}"/>
    <cellStyle name="Normal 11 2 39" xfId="3396" xr:uid="{0D4A35F5-12A2-48E4-B0EF-72DEE90261B5}"/>
    <cellStyle name="Normal 11 2 4" xfId="3397" xr:uid="{6FF8692F-5EB5-4566-9024-A43B56DFBA69}"/>
    <cellStyle name="Normal 11 2 40" xfId="3398" xr:uid="{694BD103-8BD9-41FD-B0A5-B4ACB180C74E}"/>
    <cellStyle name="Normal 11 2 5" xfId="3399" xr:uid="{F8397808-8737-40B3-9A4E-C3BFF5E0B52E}"/>
    <cellStyle name="Normal 11 2 6" xfId="3400" xr:uid="{0458310C-D10B-4F3E-9F03-31BBD929CC53}"/>
    <cellStyle name="Normal 11 2 7" xfId="3401" xr:uid="{00121DCC-3C8F-4EDC-B3BF-AEBC259CD159}"/>
    <cellStyle name="Normal 11 2 8" xfId="3402" xr:uid="{8D72C362-AA1E-4EE4-9CEC-2EF0929E4AFC}"/>
    <cellStyle name="Normal 11 2 9" xfId="3403" xr:uid="{FFE5AA19-7967-425D-9E0D-2EAEF2DCA0A1}"/>
    <cellStyle name="Normal 11 20" xfId="3404" xr:uid="{6F7967E4-3166-4108-AF42-5A7C40325C67}"/>
    <cellStyle name="Normal 11 21" xfId="3405" xr:uid="{D29A91DE-D4FA-413E-AB61-F86527AD0821}"/>
    <cellStyle name="Normal 11 22" xfId="3406" xr:uid="{7F7290AA-D9BC-41EC-B2A6-DDA1545CF8DE}"/>
    <cellStyle name="Normal 11 23" xfId="3407" xr:uid="{BDD1E7E6-A300-4376-93BE-7491DC7A80E7}"/>
    <cellStyle name="Normal 11 24" xfId="3408" xr:uid="{82C685C0-33DF-47EE-98ED-EE161B6413CA}"/>
    <cellStyle name="Normal 11 25" xfId="3409" xr:uid="{CDCAC71E-D8C8-4FEB-BEC5-6B3ADFE48334}"/>
    <cellStyle name="Normal 11 26" xfId="3410" xr:uid="{DEE72EE1-7C3A-4D35-98BC-427D606749A5}"/>
    <cellStyle name="Normal 11 27" xfId="3411" xr:uid="{5891269A-D91B-4D78-BD0F-F66B7CA63B70}"/>
    <cellStyle name="Normal 11 28" xfId="3412" xr:uid="{48B57C26-0DDE-4BC9-9555-B0E9169388BC}"/>
    <cellStyle name="Normal 11 29" xfId="3413" xr:uid="{AE3BC082-1DD3-4C93-AAE5-C8B208F079D1}"/>
    <cellStyle name="Normal 11 3" xfId="3414" xr:uid="{96EF751E-451F-424E-82DF-F695F5B88006}"/>
    <cellStyle name="Normal 11 3 10" xfId="3415" xr:uid="{125E7A7F-14F4-4972-97EB-0FE6362E3747}"/>
    <cellStyle name="Normal 11 3 11" xfId="3416" xr:uid="{09C9BE70-0DE2-4FD7-B40B-8AC7B152AEAE}"/>
    <cellStyle name="Normal 11 3 12" xfId="3417" xr:uid="{DE97F949-92F3-4BB0-80D3-CF82A49FD716}"/>
    <cellStyle name="Normal 11 3 13" xfId="3418" xr:uid="{B418CDF3-E94D-4DEC-A910-FA6BE027995A}"/>
    <cellStyle name="Normal 11 3 14" xfId="3419" xr:uid="{7568AB51-872E-4285-9C6E-7A9389AED9D6}"/>
    <cellStyle name="Normal 11 3 15" xfId="3420" xr:uid="{DC64565D-A97C-4CA9-899B-AFFE5C68FE42}"/>
    <cellStyle name="Normal 11 3 16" xfId="3421" xr:uid="{03E41AC8-8A4D-40FE-B0D1-4A99F85F90DB}"/>
    <cellStyle name="Normal 11 3 17" xfId="3422" xr:uid="{87728D4F-3251-4E6B-856F-BD7DFF8FE1B4}"/>
    <cellStyle name="Normal 11 3 18" xfId="3423" xr:uid="{B19B0B5B-B7E1-4D8A-86CE-C341CF751D69}"/>
    <cellStyle name="Normal 11 3 19" xfId="3424" xr:uid="{D6C3D1AE-21DF-48E1-9E1D-31A37CAC296A}"/>
    <cellStyle name="Normal 11 3 2" xfId="3425" xr:uid="{DF2BDA7F-C076-4FD6-9FEF-4C4D00AE423F}"/>
    <cellStyle name="Normal 11 3 2 10" xfId="3426" xr:uid="{4C1BA1DD-21BF-43B0-A6FB-9109E9D22F5F}"/>
    <cellStyle name="Normal 11 3 2 11" xfId="3427" xr:uid="{8E6BAECD-AA1D-4AC9-B5AE-F9277E1425CA}"/>
    <cellStyle name="Normal 11 3 2 12" xfId="3428" xr:uid="{DC34CE2C-BA95-40FC-8D66-5390173512D9}"/>
    <cellStyle name="Normal 11 3 2 13" xfId="3429" xr:uid="{CECD1807-E3C2-4E4A-AD50-33B219911892}"/>
    <cellStyle name="Normal 11 3 2 14" xfId="3430" xr:uid="{CA9C5401-1CE4-4575-973D-27209760888C}"/>
    <cellStyle name="Normal 11 3 2 15" xfId="3431" xr:uid="{32D6DC7F-82B6-4E26-A1E9-24D21FE85115}"/>
    <cellStyle name="Normal 11 3 2 16" xfId="3432" xr:uid="{269568AB-A61E-4B63-91EA-F47721BBF03A}"/>
    <cellStyle name="Normal 11 3 2 17" xfId="3433" xr:uid="{E9E33811-2F2B-4B16-83E3-44847BC0FC4D}"/>
    <cellStyle name="Normal 11 3 2 18" xfId="3434" xr:uid="{BFC437BE-1FA0-49E7-8C63-3918C61E5602}"/>
    <cellStyle name="Normal 11 3 2 19" xfId="3435" xr:uid="{8E03D340-6B46-422D-9C32-00B39B592577}"/>
    <cellStyle name="Normal 11 3 2 2" xfId="3436" xr:uid="{C1CB4243-7B6D-4BAE-9CB2-259BAC7F4EEB}"/>
    <cellStyle name="Normal 11 3 2 2 10" xfId="3437" xr:uid="{D09F339B-5944-49EC-B11A-BB4307938CE8}"/>
    <cellStyle name="Normal 11 3 2 2 11" xfId="3438" xr:uid="{C73EF23E-1814-4952-98F2-90236F5EBD00}"/>
    <cellStyle name="Normal 11 3 2 2 12" xfId="3439" xr:uid="{0D36C594-6DD7-4D58-AB35-FAA1F2EE9DD1}"/>
    <cellStyle name="Normal 11 3 2 2 13" xfId="3440" xr:uid="{447E66D8-7B3F-4195-8BB7-B37E30CE90EC}"/>
    <cellStyle name="Normal 11 3 2 2 14" xfId="3441" xr:uid="{8E00928F-649F-4384-881E-13E38914C0C6}"/>
    <cellStyle name="Normal 11 3 2 2 15" xfId="3442" xr:uid="{0EDDBD7E-7985-4815-AE30-26E51C93EE0F}"/>
    <cellStyle name="Normal 11 3 2 2 16" xfId="3443" xr:uid="{7C07CA2F-ACFB-42E7-A88F-2429A5605A68}"/>
    <cellStyle name="Normal 11 3 2 2 17" xfId="3444" xr:uid="{52B6B306-7A3A-4B48-8737-0ADD8BA2C70B}"/>
    <cellStyle name="Normal 11 3 2 2 18" xfId="3445" xr:uid="{3F8B8C9D-2F35-462E-BB50-EC92A9D7F34A}"/>
    <cellStyle name="Normal 11 3 2 2 19" xfId="3446" xr:uid="{67FCF2B4-DD5B-4715-9CC3-A62E5A66DC88}"/>
    <cellStyle name="Normal 11 3 2 2 2" xfId="3447" xr:uid="{76B46F1F-A8F2-46FB-B0CE-E01620ACC9AB}"/>
    <cellStyle name="Normal 11 3 2 2 2 10" xfId="3448" xr:uid="{5C47DC40-D3B4-4B07-A4FE-4F0BC1202DDA}"/>
    <cellStyle name="Normal 11 3 2 2 2 11" xfId="3449" xr:uid="{45340616-E3A0-4A65-B738-F6D922F70271}"/>
    <cellStyle name="Normal 11 3 2 2 2 12" xfId="3450" xr:uid="{FF6DDA7F-6F7C-4AF0-BEE1-9FAE864F17D2}"/>
    <cellStyle name="Normal 11 3 2 2 2 13" xfId="3451" xr:uid="{7A9A5A35-4AAF-4410-9599-1FF43ECE595F}"/>
    <cellStyle name="Normal 11 3 2 2 2 14" xfId="3452" xr:uid="{2A950578-CC73-4E37-9B2C-E163256FAC15}"/>
    <cellStyle name="Normal 11 3 2 2 2 15" xfId="3453" xr:uid="{2C1A354C-6A17-416C-A63F-487C21743798}"/>
    <cellStyle name="Normal 11 3 2 2 2 16" xfId="3454" xr:uid="{922511C2-6AE6-4D65-BDED-6B097E2F80EB}"/>
    <cellStyle name="Normal 11 3 2 2 2 17" xfId="3455" xr:uid="{596580F5-E478-4557-A0DA-5702CD8C1E4A}"/>
    <cellStyle name="Normal 11 3 2 2 2 18" xfId="3456" xr:uid="{5076BBB8-0B4B-4696-8F22-AE7DFD53358D}"/>
    <cellStyle name="Normal 11 3 2 2 2 19" xfId="3457" xr:uid="{BCE9067A-5D3D-412D-AF33-AA05879760FF}"/>
    <cellStyle name="Normal 11 3 2 2 2 2" xfId="3458" xr:uid="{398AF9AE-C790-418E-BDF5-2A5875879411}"/>
    <cellStyle name="Normal 11 3 2 2 2 20" xfId="3459" xr:uid="{B8F2D329-3464-459C-8AE8-6D030823F2C5}"/>
    <cellStyle name="Normal 11 3 2 2 2 21" xfId="3460" xr:uid="{5F912457-1D0A-4530-BDC8-E925C7405D19}"/>
    <cellStyle name="Normal 11 3 2 2 2 22" xfId="3461" xr:uid="{55FA8D4C-A2B5-460C-8CAE-CEE4982AC375}"/>
    <cellStyle name="Normal 11 3 2 2 2 23" xfId="3462" xr:uid="{44C83570-14C7-46A3-8119-3416B7CD486C}"/>
    <cellStyle name="Normal 11 3 2 2 2 24" xfId="3463" xr:uid="{5DE00A45-8560-48DD-ABC0-08D875573993}"/>
    <cellStyle name="Normal 11 3 2 2 2 25" xfId="3464" xr:uid="{1AAA7609-18E7-4134-BDE6-E7CA3C15F44B}"/>
    <cellStyle name="Normal 11 3 2 2 2 26" xfId="3465" xr:uid="{22DE1E18-9AAE-48D1-9403-76E653E68D9F}"/>
    <cellStyle name="Normal 11 3 2 2 2 27" xfId="3466" xr:uid="{797868C2-C990-4D99-B939-DF8189EF6AC4}"/>
    <cellStyle name="Normal 11 3 2 2 2 28" xfId="3467" xr:uid="{9AD18184-4FA8-4AA0-B6A8-FB776A59E31E}"/>
    <cellStyle name="Normal 11 3 2 2 2 29" xfId="3468" xr:uid="{DDCEBD97-DF5A-4CC5-9BB5-202E03CB69A7}"/>
    <cellStyle name="Normal 11 3 2 2 2 3" xfId="3469" xr:uid="{792E2124-B8CF-4BA4-B64B-FABFAA489AEB}"/>
    <cellStyle name="Normal 11 3 2 2 2 30" xfId="3470" xr:uid="{C35BF498-B6F2-4500-A102-0FC9812FBD67}"/>
    <cellStyle name="Normal 11 3 2 2 2 31" xfId="3471" xr:uid="{E4DD1BC5-D789-4442-ADD4-D9622A49C65F}"/>
    <cellStyle name="Normal 11 3 2 2 2 32" xfId="3472" xr:uid="{CC9AB848-C4EC-4DDB-AD5B-D1529ACBB98C}"/>
    <cellStyle name="Normal 11 3 2 2 2 33" xfId="3473" xr:uid="{43789F22-0AF4-4042-B504-AABF380EE799}"/>
    <cellStyle name="Normal 11 3 2 2 2 34" xfId="3474" xr:uid="{54EB346E-3CD5-439B-90DB-A722BA662FE8}"/>
    <cellStyle name="Normal 11 3 2 2 2 35" xfId="3475" xr:uid="{69A2E169-9DAC-4AD8-B4EA-59E13D703A90}"/>
    <cellStyle name="Normal 11 3 2 2 2 36" xfId="3476" xr:uid="{B9263860-36D4-4F11-B873-2560F565BB0A}"/>
    <cellStyle name="Normal 11 3 2 2 2 37" xfId="3477" xr:uid="{7E0EA160-619F-44C8-8154-36B4A4636E93}"/>
    <cellStyle name="Normal 11 3 2 2 2 38" xfId="3478" xr:uid="{B6FD3042-0104-469F-97DB-F42980ECC661}"/>
    <cellStyle name="Normal 11 3 2 2 2 4" xfId="3479" xr:uid="{E37965D1-C89B-49AD-8C5D-B44F86CEB5AD}"/>
    <cellStyle name="Normal 11 3 2 2 2 5" xfId="3480" xr:uid="{ECFD6AAF-A802-4B87-83BC-5151A2288390}"/>
    <cellStyle name="Normal 11 3 2 2 2 6" xfId="3481" xr:uid="{31E6459F-5C6E-4BD2-A76C-3FFA9415E1E3}"/>
    <cellStyle name="Normal 11 3 2 2 2 7" xfId="3482" xr:uid="{31E3FFAC-3FE6-4E38-83E6-787C87283A9C}"/>
    <cellStyle name="Normal 11 3 2 2 2 8" xfId="3483" xr:uid="{33B56BFF-8B41-460F-BC93-D9D7ECC12643}"/>
    <cellStyle name="Normal 11 3 2 2 2 9" xfId="3484" xr:uid="{D7101C4A-D9F9-488E-826C-8B319CD93B87}"/>
    <cellStyle name="Normal 11 3 2 2 20" xfId="3485" xr:uid="{7EEDD9D3-8B2D-4C15-8C60-B62BA3F85C8A}"/>
    <cellStyle name="Normal 11 3 2 2 21" xfId="3486" xr:uid="{A36D3BA1-875F-4250-9789-C6718F8E7BD2}"/>
    <cellStyle name="Normal 11 3 2 2 22" xfId="3487" xr:uid="{45D8C7AA-21F3-4B23-BF7B-1505C0411231}"/>
    <cellStyle name="Normal 11 3 2 2 23" xfId="3488" xr:uid="{5B52F34C-CCB4-4796-BB94-9A0C52502649}"/>
    <cellStyle name="Normal 11 3 2 2 24" xfId="3489" xr:uid="{20FBA5FB-A529-452B-B80E-EC8C1D9949EA}"/>
    <cellStyle name="Normal 11 3 2 2 25" xfId="3490" xr:uid="{DD559133-5C04-4BEC-BADA-4DA0C30ED6EB}"/>
    <cellStyle name="Normal 11 3 2 2 26" xfId="3491" xr:uid="{4FF6C3A9-B9D9-4D03-9130-9D0E839C7F3B}"/>
    <cellStyle name="Normal 11 3 2 2 27" xfId="3492" xr:uid="{F090AC22-6932-413C-9E30-1A32D5CD4FF7}"/>
    <cellStyle name="Normal 11 3 2 2 28" xfId="3493" xr:uid="{4FF0F4F4-8CE0-4068-BCC1-F37633B2BF82}"/>
    <cellStyle name="Normal 11 3 2 2 29" xfId="3494" xr:uid="{FE10723E-73E8-41A2-BD04-D06A7D973862}"/>
    <cellStyle name="Normal 11 3 2 2 3" xfId="3495" xr:uid="{C94439B3-0AD8-4EFE-B903-57A17B6ED54A}"/>
    <cellStyle name="Normal 11 3 2 2 30" xfId="3496" xr:uid="{C818C59B-D5EB-4C19-94D4-D7DDA7F4D349}"/>
    <cellStyle name="Normal 11 3 2 2 31" xfId="3497" xr:uid="{0B2201D3-E50E-4D9A-8185-428F8E3FEFEA}"/>
    <cellStyle name="Normal 11 3 2 2 32" xfId="3498" xr:uid="{96A7D899-9938-4853-A266-347739AEC09F}"/>
    <cellStyle name="Normal 11 3 2 2 33" xfId="3499" xr:uid="{BB9A5BBF-727D-4B5A-BA2B-5321C1270E89}"/>
    <cellStyle name="Normal 11 3 2 2 34" xfId="3500" xr:uid="{3B8028B2-EEC0-4D07-BCC7-C6068B68333B}"/>
    <cellStyle name="Normal 11 3 2 2 35" xfId="3501" xr:uid="{586E8B6E-FD0E-45B7-ADA6-113744EA5954}"/>
    <cellStyle name="Normal 11 3 2 2 36" xfId="3502" xr:uid="{18EEDF00-9DBF-4291-868C-405FEF405E50}"/>
    <cellStyle name="Normal 11 3 2 2 37" xfId="3503" xr:uid="{5BBDCF70-FDFD-405D-B775-891C5B5B787C}"/>
    <cellStyle name="Normal 11 3 2 2 38" xfId="3504" xr:uid="{016287C9-A422-49FC-90A4-85E188275DE6}"/>
    <cellStyle name="Normal 11 3 2 2 4" xfId="3505" xr:uid="{5E581052-20CB-40E8-A56C-16E8896FBB4F}"/>
    <cellStyle name="Normal 11 3 2 2 5" xfId="3506" xr:uid="{CC1A9529-594F-4757-A1F8-F16B9643F957}"/>
    <cellStyle name="Normal 11 3 2 2 6" xfId="3507" xr:uid="{9A9633C2-2508-4024-94A1-4FEAC2E53195}"/>
    <cellStyle name="Normal 11 3 2 2 7" xfId="3508" xr:uid="{A46F9597-E42C-4DC6-BE79-C94CEE8FC4AC}"/>
    <cellStyle name="Normal 11 3 2 2 8" xfId="3509" xr:uid="{1674CA31-A508-471C-96F3-435A3E524DF1}"/>
    <cellStyle name="Normal 11 3 2 2 9" xfId="3510" xr:uid="{DBA5FE9F-D26E-44EF-B7EE-81260AEFA71C}"/>
    <cellStyle name="Normal 11 3 2 20" xfId="3511" xr:uid="{BE0C5976-2A37-4642-9952-F3705142C0ED}"/>
    <cellStyle name="Normal 11 3 2 21" xfId="3512" xr:uid="{F1D66F6B-4DB9-4CA6-BBC8-8B31FC51090D}"/>
    <cellStyle name="Normal 11 3 2 22" xfId="3513" xr:uid="{F4D1C1B9-FDAA-4A13-86FA-67B55A948D9C}"/>
    <cellStyle name="Normal 11 3 2 23" xfId="3514" xr:uid="{CF5F5538-9C28-4672-A024-BFB0C62D8692}"/>
    <cellStyle name="Normal 11 3 2 24" xfId="3515" xr:uid="{238B1545-1695-4122-9037-EA6FF1398001}"/>
    <cellStyle name="Normal 11 3 2 25" xfId="3516" xr:uid="{EE3E488B-F748-4A96-842A-6872FACA2A3D}"/>
    <cellStyle name="Normal 11 3 2 26" xfId="3517" xr:uid="{5E97CDBF-CF5E-4544-99C1-2B2DA307332F}"/>
    <cellStyle name="Normal 11 3 2 27" xfId="3518" xr:uid="{95D66E9A-FAEA-4859-9C6A-3697387A806F}"/>
    <cellStyle name="Normal 11 3 2 28" xfId="3519" xr:uid="{6C97141D-44F4-47E4-914C-ADBA1F411ADF}"/>
    <cellStyle name="Normal 11 3 2 29" xfId="3520" xr:uid="{E49232C5-80DA-46FC-A5C0-0D8B3FA66A86}"/>
    <cellStyle name="Normal 11 3 2 3" xfId="3521" xr:uid="{C44B72A2-597F-4279-A784-53F4E2B4569C}"/>
    <cellStyle name="Normal 11 3 2 30" xfId="3522" xr:uid="{E9BA52CF-1D8A-4C90-8B52-096EEA59006B}"/>
    <cellStyle name="Normal 11 3 2 31" xfId="3523" xr:uid="{04F91B47-F7E9-4EB2-9BCA-BD12B9294845}"/>
    <cellStyle name="Normal 11 3 2 32" xfId="3524" xr:uid="{C77C8BEE-3C7B-48D8-9375-78029990D3AA}"/>
    <cellStyle name="Normal 11 3 2 33" xfId="3525" xr:uid="{5265E307-60BE-4C1C-9528-35E525F31035}"/>
    <cellStyle name="Normal 11 3 2 34" xfId="3526" xr:uid="{3D3F6D6B-B27C-4071-BF95-F099571BA9B2}"/>
    <cellStyle name="Normal 11 3 2 35" xfId="3527" xr:uid="{ED420064-BC51-4F55-AC4F-8D3ECBEC18B0}"/>
    <cellStyle name="Normal 11 3 2 36" xfId="3528" xr:uid="{84190A5C-5BE2-420E-80A7-F9F4192E2530}"/>
    <cellStyle name="Normal 11 3 2 37" xfId="3529" xr:uid="{236E36E4-5A9D-417F-BAC5-FD40E7076E70}"/>
    <cellStyle name="Normal 11 3 2 38" xfId="3530" xr:uid="{45BAF2D3-D358-4358-86E3-1230FC1856AD}"/>
    <cellStyle name="Normal 11 3 2 39" xfId="3531" xr:uid="{1FECDF8E-DD10-4CFF-9F17-D7078022FFE2}"/>
    <cellStyle name="Normal 11 3 2 4" xfId="3532" xr:uid="{8DB263F4-4888-4F8B-B280-D8AF0064D567}"/>
    <cellStyle name="Normal 11 3 2 40" xfId="3533" xr:uid="{4D7444A3-9662-41BA-97E4-3F124B8CB809}"/>
    <cellStyle name="Normal 11 3 2 5" xfId="3534" xr:uid="{225688CF-9C62-4A6D-BA2C-B954CF0A33E4}"/>
    <cellStyle name="Normal 11 3 2 6" xfId="3535" xr:uid="{53F4F957-9C54-4CEC-827F-E6360A9BABC3}"/>
    <cellStyle name="Normal 11 3 2 7" xfId="3536" xr:uid="{04209DA1-8E01-46F9-A763-EE5BA2042E40}"/>
    <cellStyle name="Normal 11 3 2 8" xfId="3537" xr:uid="{DDC0F009-B3E6-4560-A8E3-E484B485C6A1}"/>
    <cellStyle name="Normal 11 3 2 9" xfId="3538" xr:uid="{8D007234-8D7A-493E-B9CC-B020DD29FE51}"/>
    <cellStyle name="Normal 11 3 20" xfId="3539" xr:uid="{AEEED931-7FEC-4B0B-BC95-F64B2FE5542A}"/>
    <cellStyle name="Normal 11 3 21" xfId="3540" xr:uid="{4AEABE99-C18E-4CFD-9F15-49AEC4C40B94}"/>
    <cellStyle name="Normal 11 3 22" xfId="3541" xr:uid="{792EB519-ED2A-48D6-8981-4B3BF7BD375F}"/>
    <cellStyle name="Normal 11 3 23" xfId="3542" xr:uid="{C3C03F7B-8EBA-49B3-B281-AA02DC581BFB}"/>
    <cellStyle name="Normal 11 3 24" xfId="3543" xr:uid="{895CCF4C-63D7-45EB-8870-DAE4AFCF6D36}"/>
    <cellStyle name="Normal 11 3 25" xfId="3544" xr:uid="{DADD7E1A-2760-42F5-9CAF-925F7B7503F6}"/>
    <cellStyle name="Normal 11 3 26" xfId="3545" xr:uid="{E885B89B-FABA-4B20-855F-4A3B999B14C1}"/>
    <cellStyle name="Normal 11 3 27" xfId="3546" xr:uid="{C70CD442-4D05-43F3-99E9-1195C8B42DD3}"/>
    <cellStyle name="Normal 11 3 28" xfId="3547" xr:uid="{DBF397DF-260E-4CAB-9DCB-AF95238D25DB}"/>
    <cellStyle name="Normal 11 3 29" xfId="3548" xr:uid="{8D1F43AF-E1A6-47D0-A8BE-2944A4CFB921}"/>
    <cellStyle name="Normal 11 3 3" xfId="3549" xr:uid="{D85D9E3D-4E00-44AF-8F16-AB053425FBE8}"/>
    <cellStyle name="Normal 11 3 3 10" xfId="3550" xr:uid="{9EEDDDA3-FD34-44B9-BF62-3DE5F88285E6}"/>
    <cellStyle name="Normal 11 3 3 11" xfId="3551" xr:uid="{4C84F68C-39D8-45C6-A249-4F35B6C8BCEC}"/>
    <cellStyle name="Normal 11 3 3 12" xfId="3552" xr:uid="{A478BF9E-7F7E-4BDA-80FC-CE3326A05CEF}"/>
    <cellStyle name="Normal 11 3 3 13" xfId="3553" xr:uid="{28AF7ADF-310C-44E5-BE94-760BE01CA387}"/>
    <cellStyle name="Normal 11 3 3 14" xfId="3554" xr:uid="{FA6D2357-A99F-4A89-8C26-77B320523C65}"/>
    <cellStyle name="Normal 11 3 3 15" xfId="3555" xr:uid="{8064D71C-9487-421E-A52E-1BCC123CEFEC}"/>
    <cellStyle name="Normal 11 3 3 16" xfId="3556" xr:uid="{61927BA5-849F-4E8E-82DE-94FB73E70A4C}"/>
    <cellStyle name="Normal 11 3 3 17" xfId="3557" xr:uid="{D6D2AE01-52F1-4F6B-B471-3155AB5A02BB}"/>
    <cellStyle name="Normal 11 3 3 18" xfId="3558" xr:uid="{2149491A-BBE7-4664-9A12-74464BBA51AE}"/>
    <cellStyle name="Normal 11 3 3 19" xfId="3559" xr:uid="{92E10E5F-9977-4492-AA14-C201AD4FE867}"/>
    <cellStyle name="Normal 11 3 3 2" xfId="3560" xr:uid="{1C1FE21E-9897-4354-B727-6088DED31230}"/>
    <cellStyle name="Normal 11 3 3 2 10" xfId="3561" xr:uid="{55F1EE9E-8CCF-409C-84A1-165DC775A507}"/>
    <cellStyle name="Normal 11 3 3 2 11" xfId="3562" xr:uid="{EE7E4244-65F4-49F3-A794-C78205C7C537}"/>
    <cellStyle name="Normal 11 3 3 2 12" xfId="3563" xr:uid="{3B34B6A2-82C3-4CC9-829D-63555920AED2}"/>
    <cellStyle name="Normal 11 3 3 2 13" xfId="3564" xr:uid="{196C98B1-A995-4689-B025-5C9344A5267F}"/>
    <cellStyle name="Normal 11 3 3 2 14" xfId="3565" xr:uid="{F42E6CCF-AC13-434B-883B-3F5DACB35252}"/>
    <cellStyle name="Normal 11 3 3 2 15" xfId="3566" xr:uid="{B5595BE0-2B7B-4E97-A17F-E3D1BBBD7BD5}"/>
    <cellStyle name="Normal 11 3 3 2 16" xfId="3567" xr:uid="{E0ADF2F7-EA6E-42AB-A369-26C98FC0C45A}"/>
    <cellStyle name="Normal 11 3 3 2 17" xfId="3568" xr:uid="{2497F9C5-7381-40FB-9CB7-91BDD14C8851}"/>
    <cellStyle name="Normal 11 3 3 2 18" xfId="3569" xr:uid="{A3E6FA3C-A38B-486D-BAB1-A68B3F41B2BD}"/>
    <cellStyle name="Normal 11 3 3 2 19" xfId="3570" xr:uid="{90D4B341-3800-497E-9699-377EABFB04DD}"/>
    <cellStyle name="Normal 11 3 3 2 2" xfId="3571" xr:uid="{9C642757-49D7-4934-BFBF-CB11DA5A96E2}"/>
    <cellStyle name="Normal 11 3 3 2 20" xfId="3572" xr:uid="{2A128097-2DD2-4D1C-8643-8C4E234163C1}"/>
    <cellStyle name="Normal 11 3 3 2 21" xfId="3573" xr:uid="{6D0A4FA7-07BE-46A1-AB09-CFF60418C1D9}"/>
    <cellStyle name="Normal 11 3 3 2 22" xfId="3574" xr:uid="{23B16019-7121-47D4-B7FB-20A04D1AF052}"/>
    <cellStyle name="Normal 11 3 3 2 23" xfId="3575" xr:uid="{6933BA6D-E827-4748-9294-726C0D18839F}"/>
    <cellStyle name="Normal 11 3 3 2 24" xfId="3576" xr:uid="{98C7D7A4-BC62-49DD-933E-5D8C7974D792}"/>
    <cellStyle name="Normal 11 3 3 2 25" xfId="3577" xr:uid="{48B4B2B7-DF7A-4747-AE78-D47E0E9E2BF8}"/>
    <cellStyle name="Normal 11 3 3 2 26" xfId="3578" xr:uid="{0AA41389-F3DC-4604-8C8D-7F2CB3670700}"/>
    <cellStyle name="Normal 11 3 3 2 27" xfId="3579" xr:uid="{1C9F67E9-C3C9-42B8-861A-FF6CB920B5FD}"/>
    <cellStyle name="Normal 11 3 3 2 28" xfId="3580" xr:uid="{8E4DAD67-A3B5-4359-ABE8-579E44F83264}"/>
    <cellStyle name="Normal 11 3 3 2 29" xfId="3581" xr:uid="{A54249E9-BE73-4D86-ADA5-E0E406334931}"/>
    <cellStyle name="Normal 11 3 3 2 3" xfId="3582" xr:uid="{650E7221-2233-42FD-BCA1-B1BBC33B636A}"/>
    <cellStyle name="Normal 11 3 3 2 30" xfId="3583" xr:uid="{5C24E6EE-C5D8-4D0E-8274-1DC4D1B1F1A1}"/>
    <cellStyle name="Normal 11 3 3 2 31" xfId="3584" xr:uid="{A0BF0C0C-5B3C-463C-A3C9-DE5ABBF50112}"/>
    <cellStyle name="Normal 11 3 3 2 32" xfId="3585" xr:uid="{B2A43034-D131-45C2-B3E5-82BD8406B7C1}"/>
    <cellStyle name="Normal 11 3 3 2 33" xfId="3586" xr:uid="{2E18B413-014B-4643-8793-79B637FD3EFC}"/>
    <cellStyle name="Normal 11 3 3 2 34" xfId="3587" xr:uid="{680AF883-C8C0-4005-AE0C-AB5C295215A1}"/>
    <cellStyle name="Normal 11 3 3 2 35" xfId="3588" xr:uid="{EBA16FD6-1534-4D5F-80D1-85ED006CCF5C}"/>
    <cellStyle name="Normal 11 3 3 2 36" xfId="3589" xr:uid="{2C191515-397E-43B4-BC44-8FA48260F9E8}"/>
    <cellStyle name="Normal 11 3 3 2 37" xfId="3590" xr:uid="{19CBA828-76BA-417C-8FA7-05461326FD7F}"/>
    <cellStyle name="Normal 11 3 3 2 38" xfId="3591" xr:uid="{7F4EBD49-E39A-4189-81B7-1056C66CB08B}"/>
    <cellStyle name="Normal 11 3 3 2 4" xfId="3592" xr:uid="{DE5E1EC1-E441-47AD-A28C-9338C1AB500D}"/>
    <cellStyle name="Normal 11 3 3 2 5" xfId="3593" xr:uid="{7BAEEF2E-5606-4EF8-9730-04D8FB946CF2}"/>
    <cellStyle name="Normal 11 3 3 2 6" xfId="3594" xr:uid="{C6FC083E-7522-4340-8AA5-1C1B1BE2F926}"/>
    <cellStyle name="Normal 11 3 3 2 7" xfId="3595" xr:uid="{CB896A5A-B26D-41AC-AA7A-A8BC443EA396}"/>
    <cellStyle name="Normal 11 3 3 2 8" xfId="3596" xr:uid="{8BF715F8-9AF7-4291-8E6F-F4CA0AB56728}"/>
    <cellStyle name="Normal 11 3 3 2 9" xfId="3597" xr:uid="{9B1912D1-AC30-43A3-9184-58D208D261BD}"/>
    <cellStyle name="Normal 11 3 3 20" xfId="3598" xr:uid="{62C9CDAD-F161-4810-A91F-4051CEEC7F98}"/>
    <cellStyle name="Normal 11 3 3 21" xfId="3599" xr:uid="{4EDF9211-6494-4A4C-869D-673299AA4529}"/>
    <cellStyle name="Normal 11 3 3 22" xfId="3600" xr:uid="{F82AF851-5BEB-4736-9DE9-82EDD2410C53}"/>
    <cellStyle name="Normal 11 3 3 23" xfId="3601" xr:uid="{AD85521C-E31E-4263-A778-8E8670106D63}"/>
    <cellStyle name="Normal 11 3 3 24" xfId="3602" xr:uid="{8641B3EA-C0F4-46B4-9A5C-1771F713E97B}"/>
    <cellStyle name="Normal 11 3 3 25" xfId="3603" xr:uid="{1C01B5E1-E44E-4FCD-9A40-0601CA58D7F5}"/>
    <cellStyle name="Normal 11 3 3 26" xfId="3604" xr:uid="{6A10CE41-91B4-4366-9FFA-A799046B3911}"/>
    <cellStyle name="Normal 11 3 3 27" xfId="3605" xr:uid="{F744975B-4C4A-4AEE-8CE6-97F99241FD5A}"/>
    <cellStyle name="Normal 11 3 3 28" xfId="3606" xr:uid="{ACEC27E5-251F-454A-BFF2-5AF8FCDAFB3F}"/>
    <cellStyle name="Normal 11 3 3 29" xfId="3607" xr:uid="{3A5B10CF-CD62-44F3-84B1-DFFFDA2908BE}"/>
    <cellStyle name="Normal 11 3 3 3" xfId="3608" xr:uid="{A3EB8C61-5B46-40FF-B3C0-9F26BBD3E96F}"/>
    <cellStyle name="Normal 11 3 3 30" xfId="3609" xr:uid="{0103225F-1591-4363-B59B-B2B53C6B6BBC}"/>
    <cellStyle name="Normal 11 3 3 31" xfId="3610" xr:uid="{65AC08E6-3395-432A-91F0-2DA33DB2B29C}"/>
    <cellStyle name="Normal 11 3 3 32" xfId="3611" xr:uid="{BCFA7B22-08A8-435F-B0E7-945BDBE374A7}"/>
    <cellStyle name="Normal 11 3 3 33" xfId="3612" xr:uid="{B8B1B7D9-D6FF-48AE-8A82-B69C08ED5C46}"/>
    <cellStyle name="Normal 11 3 3 34" xfId="3613" xr:uid="{9614318E-249D-466C-9333-CD8FD460741E}"/>
    <cellStyle name="Normal 11 3 3 35" xfId="3614" xr:uid="{589E8B73-57AE-42C3-8318-7C083B5E1E32}"/>
    <cellStyle name="Normal 11 3 3 36" xfId="3615" xr:uid="{7B9BD486-26BB-4A15-95C5-CD6A8EA036E8}"/>
    <cellStyle name="Normal 11 3 3 37" xfId="3616" xr:uid="{BB1573FE-BE45-4B06-9DB4-0FC6C044981D}"/>
    <cellStyle name="Normal 11 3 3 38" xfId="3617" xr:uid="{5553B843-087D-4202-BADD-7BF148AA0489}"/>
    <cellStyle name="Normal 11 3 3 4" xfId="3618" xr:uid="{24EF2161-4FDE-4DF2-B9E9-8877D576F49C}"/>
    <cellStyle name="Normal 11 3 3 5" xfId="3619" xr:uid="{54680120-5B2B-4999-AD81-CFE9CD585DA6}"/>
    <cellStyle name="Normal 11 3 3 6" xfId="3620" xr:uid="{65E7A8E2-36EC-4305-A925-17176555B637}"/>
    <cellStyle name="Normal 11 3 3 7" xfId="3621" xr:uid="{B152EC61-DE05-4ECB-ABAA-F377E51F3BBB}"/>
    <cellStyle name="Normal 11 3 3 8" xfId="3622" xr:uid="{F3A29D59-0F00-4654-9270-D1482EA81F5D}"/>
    <cellStyle name="Normal 11 3 3 9" xfId="3623" xr:uid="{388AF174-4D84-458F-AD94-0A1D67BDBF4F}"/>
    <cellStyle name="Normal 11 3 30" xfId="3624" xr:uid="{19D95BFB-D989-424C-B880-6649C14157A7}"/>
    <cellStyle name="Normal 11 3 31" xfId="3625" xr:uid="{E14CDAC3-5B4D-40DB-8452-372571A6685A}"/>
    <cellStyle name="Normal 11 3 32" xfId="3626" xr:uid="{062F76CE-93C0-47F8-83A3-B6291612FA7D}"/>
    <cellStyle name="Normal 11 3 33" xfId="3627" xr:uid="{2A3BF1CC-D188-4CC4-9C1B-8941513D54BD}"/>
    <cellStyle name="Normal 11 3 34" xfId="3628" xr:uid="{B5908613-693C-4F99-9463-246E6782E9BE}"/>
    <cellStyle name="Normal 11 3 35" xfId="3629" xr:uid="{2EF69CC3-4B27-490F-82D6-741FABD0E79F}"/>
    <cellStyle name="Normal 11 3 36" xfId="3630" xr:uid="{A00F316B-7FA7-4F93-A913-F7DD05F197B2}"/>
    <cellStyle name="Normal 11 3 37" xfId="3631" xr:uid="{509411DB-2C00-4C76-BE20-F4E416D8B91E}"/>
    <cellStyle name="Normal 11 3 38" xfId="3632" xr:uid="{C45CD926-53D6-430A-8005-A096F814C716}"/>
    <cellStyle name="Normal 11 3 39" xfId="3633" xr:uid="{FCBA9D55-C2EE-48F0-8905-7D7A265737BE}"/>
    <cellStyle name="Normal 11 3 4" xfId="3634" xr:uid="{51A5709B-1042-4778-97B2-C4556AE1C0AA}"/>
    <cellStyle name="Normal 11 3 40" xfId="3635" xr:uid="{1ABD09EA-DE62-4C58-A897-CEC4D5C4F49A}"/>
    <cellStyle name="Normal 11 3 5" xfId="3636" xr:uid="{C2920572-E0DA-4878-A87E-B4A871144432}"/>
    <cellStyle name="Normal 11 3 6" xfId="3637" xr:uid="{7D7B60E5-290B-4E02-B49A-87404A479975}"/>
    <cellStyle name="Normal 11 3 7" xfId="3638" xr:uid="{0C0916B9-A3C3-4D09-B754-9564FA88B013}"/>
    <cellStyle name="Normal 11 3 8" xfId="3639" xr:uid="{7B645D22-4342-4EA8-99F5-AA527FA109F9}"/>
    <cellStyle name="Normal 11 3 9" xfId="3640" xr:uid="{84D0B168-1F26-40DC-9607-7056D2E5727E}"/>
    <cellStyle name="Normal 11 30" xfId="3641" xr:uid="{EFDE70C5-414B-4EF3-97D1-056DA40881EC}"/>
    <cellStyle name="Normal 11 31" xfId="3642" xr:uid="{95768F81-6CF3-49C9-B6C2-843880448BCF}"/>
    <cellStyle name="Normal 11 32" xfId="3643" xr:uid="{471CBCB7-03F3-4E59-96AF-6CC9716C9B79}"/>
    <cellStyle name="Normal 11 33" xfId="3644" xr:uid="{E9B51728-2BF6-48C6-AA76-2D34A316845C}"/>
    <cellStyle name="Normal 11 34" xfId="3645" xr:uid="{DB024FE1-DE98-40B7-A365-A233AFF30341}"/>
    <cellStyle name="Normal 11 35" xfId="3646" xr:uid="{67A96053-8739-45B3-B009-CE17C6BB9215}"/>
    <cellStyle name="Normal 11 36" xfId="3647" xr:uid="{B9F3462D-6CDC-4166-BA2A-0ADB677D0BE8}"/>
    <cellStyle name="Normal 11 37" xfId="3648" xr:uid="{F6B91AE9-B6C3-4DE6-A92C-1A139436669A}"/>
    <cellStyle name="Normal 11 38" xfId="3649" xr:uid="{98C3EE62-059C-4CAF-8214-338326859F59}"/>
    <cellStyle name="Normal 11 39" xfId="3650" xr:uid="{2A7B480D-4842-4A3C-93FD-87BE74849F27}"/>
    <cellStyle name="Normal 11 4" xfId="3651" xr:uid="{3AF8F070-0AFE-4490-8B66-D041303E5F0C}"/>
    <cellStyle name="Normal 11 40" xfId="3652" xr:uid="{B5110741-0ABD-499A-9DA6-02AE1917D84E}"/>
    <cellStyle name="Normal 11 41" xfId="3653" xr:uid="{FF20542E-3EE0-4B3F-8712-4CC7DC44B601}"/>
    <cellStyle name="Normal 11 42" xfId="3654" xr:uid="{05B3A339-3827-4A8B-B435-38930D9A582A}"/>
    <cellStyle name="Normal 11 43" xfId="3655" xr:uid="{AB459C11-9301-4AF6-8748-0CB15413E73B}"/>
    <cellStyle name="Normal 11 44" xfId="3656" xr:uid="{6F9E21BD-399E-4368-9F39-591CC449D4C9}"/>
    <cellStyle name="Normal 11 45" xfId="3657" xr:uid="{7B0FD029-7BE7-4E06-89AD-9731EFC9A2D1}"/>
    <cellStyle name="Normal 11 46" xfId="3658" xr:uid="{5DE43EBE-7A2D-4D90-A16F-D88920774536}"/>
    <cellStyle name="Normal 11 47" xfId="3659" xr:uid="{5EC28092-9480-4399-A0B0-32410CB28D37}"/>
    <cellStyle name="Normal 11 48" xfId="3660" xr:uid="{67A4A70A-254E-462E-B2F4-960816D495D7}"/>
    <cellStyle name="Normal 11 49" xfId="3661" xr:uid="{08BAC791-8ED1-45CB-8AFA-E5B20FDAFD49}"/>
    <cellStyle name="Normal 11 5" xfId="3662" xr:uid="{FFEFDD19-A1D0-4440-8D6C-AFD903FB5AEE}"/>
    <cellStyle name="Normal 11 50" xfId="3663" xr:uid="{EB6C217A-524E-4400-AAB0-4C6E7EAE7E92}"/>
    <cellStyle name="Normal 11 51" xfId="3664" xr:uid="{2986DC49-07A0-44B9-BF1F-D0606BFA1183}"/>
    <cellStyle name="Normal 11 52" xfId="3665" xr:uid="{8C8E1DEF-B4FE-4C15-B866-E8C91EF56DCB}"/>
    <cellStyle name="Normal 11 53" xfId="3666" xr:uid="{01A26FD0-F323-4E49-BC23-1FFF226BBF3D}"/>
    <cellStyle name="Normal 11 6" xfId="3667" xr:uid="{D024E46A-7DAF-4180-B3C6-F980AA2316FD}"/>
    <cellStyle name="Normal 11 7" xfId="3668" xr:uid="{DE791912-1659-4BAF-826A-FC14D37B9A10}"/>
    <cellStyle name="Normal 11 8" xfId="3669" xr:uid="{A5918C36-716B-4864-A1CA-771B694EE326}"/>
    <cellStyle name="Normal 11 9" xfId="3670" xr:uid="{6A2882E7-FEA8-4EEB-B594-295BAF7DC29A}"/>
    <cellStyle name="Normal 12" xfId="3671" xr:uid="{E75C3DE7-9119-4200-8D08-28CBC1B96662}"/>
    <cellStyle name="Normal 12 10" xfId="3672" xr:uid="{211604F6-985F-4A76-8240-682B7833A7E4}"/>
    <cellStyle name="Normal 12 11" xfId="3673" xr:uid="{F019A58C-9DF6-4B16-A079-3251B94E8683}"/>
    <cellStyle name="Normal 12 12" xfId="3674" xr:uid="{B93C0E22-61EE-462E-9801-F66DA8D55226}"/>
    <cellStyle name="Normal 12 13" xfId="3675" xr:uid="{6592D5EF-4199-4EBE-A483-5FFC94B8A391}"/>
    <cellStyle name="Normal 12 14" xfId="3676" xr:uid="{D40B4F11-39E6-4A24-9549-A81686F70E15}"/>
    <cellStyle name="Normal 12 15" xfId="3677" xr:uid="{1D663FCA-7542-4CBB-889F-A85744B8B130}"/>
    <cellStyle name="Normal 12 16" xfId="3678" xr:uid="{0AAC4425-513D-4839-9C21-0F17355C31A4}"/>
    <cellStyle name="Normal 12 17" xfId="3679" xr:uid="{2E11FB01-B19C-4A11-9AA4-96856109CEA1}"/>
    <cellStyle name="Normal 12 18" xfId="3680" xr:uid="{8D71B98C-F26A-426B-B7E1-70CE7F8BCD21}"/>
    <cellStyle name="Normal 12 19" xfId="3681" xr:uid="{11EAFF6E-71A2-4CE9-95B2-AF85470FF047}"/>
    <cellStyle name="Normal 12 2" xfId="3682" xr:uid="{21832DE6-CB05-4632-A9DC-CBFD3C776582}"/>
    <cellStyle name="Normal 12 2 10" xfId="3683" xr:uid="{79591AA8-F74C-4E25-983C-BD86297F7ED5}"/>
    <cellStyle name="Normal 12 2 11" xfId="3684" xr:uid="{9D2A5F40-CA08-4575-BAE8-5560EE14F3E6}"/>
    <cellStyle name="Normal 12 2 12" xfId="3685" xr:uid="{0E6491B0-592F-4199-94A2-4C03CD187337}"/>
    <cellStyle name="Normal 12 2 13" xfId="3686" xr:uid="{D99A2C42-4170-403C-98DC-5A9772F9B4C7}"/>
    <cellStyle name="Normal 12 2 14" xfId="3687" xr:uid="{9C3D74DD-EC19-44BD-9085-B008CE1C8831}"/>
    <cellStyle name="Normal 12 2 15" xfId="3688" xr:uid="{13A560C9-90C8-4D6E-A8E3-9CC1E44D36AB}"/>
    <cellStyle name="Normal 12 2 16" xfId="3689" xr:uid="{CD5FEF21-C1F4-4AF2-8483-1D3836C90AE0}"/>
    <cellStyle name="Normal 12 2 17" xfId="3690" xr:uid="{935B708A-723E-4DEC-A2F0-CF3D67FB99C4}"/>
    <cellStyle name="Normal 12 2 18" xfId="3691" xr:uid="{EDDF115D-3D4F-4F22-8E18-13E13D727A0D}"/>
    <cellStyle name="Normal 12 2 19" xfId="3692" xr:uid="{73C1B476-67E2-4C8D-94AB-1EA650506CA3}"/>
    <cellStyle name="Normal 12 2 2" xfId="3693" xr:uid="{C6510037-E273-495B-B6F3-3D54873E8B67}"/>
    <cellStyle name="Normal 12 2 2 10" xfId="3694" xr:uid="{5CB78CF7-EA6B-4269-A5C6-9EF2200FD114}"/>
    <cellStyle name="Normal 12 2 2 11" xfId="3695" xr:uid="{4DFA6CD4-3CDE-4E24-80AA-BFCD8AEFB355}"/>
    <cellStyle name="Normal 12 2 2 12" xfId="3696" xr:uid="{E5217F0D-30B3-421A-A0D6-1000A14F8F54}"/>
    <cellStyle name="Normal 12 2 2 13" xfId="3697" xr:uid="{28AEA74C-05D2-4548-87A7-A1F58466EDA5}"/>
    <cellStyle name="Normal 12 2 2 14" xfId="3698" xr:uid="{1C975EB0-E71D-4100-ADEE-885FC8EB1639}"/>
    <cellStyle name="Normal 12 2 2 15" xfId="3699" xr:uid="{06AC3103-31C8-487F-BF84-9A4951E0FB52}"/>
    <cellStyle name="Normal 12 2 2 16" xfId="3700" xr:uid="{CE88C9F6-D053-4812-B1CE-2220DE2BFE2B}"/>
    <cellStyle name="Normal 12 2 2 17" xfId="3701" xr:uid="{EEB5B81B-8651-4804-9E20-6AFDBE3063DE}"/>
    <cellStyle name="Normal 12 2 2 18" xfId="3702" xr:uid="{04EB31A7-F8B5-4B1E-A1EB-8206CFCAA712}"/>
    <cellStyle name="Normal 12 2 2 19" xfId="3703" xr:uid="{B8FDCC5A-5A51-4CD6-A77D-FF1F81F53026}"/>
    <cellStyle name="Normal 12 2 2 2" xfId="3704" xr:uid="{D94FA3A1-17E8-482D-B62D-4E5616B57867}"/>
    <cellStyle name="Normal 12 2 2 2 10" xfId="3705" xr:uid="{BBB9A615-226E-4B26-80E3-2DCBBAEE7590}"/>
    <cellStyle name="Normal 12 2 2 2 11" xfId="3706" xr:uid="{A7531323-7410-4947-BA4B-EC4B28F36C28}"/>
    <cellStyle name="Normal 12 2 2 2 12" xfId="3707" xr:uid="{D8C6E2E7-2649-4777-8E95-47D40BCE6F3F}"/>
    <cellStyle name="Normal 12 2 2 2 13" xfId="3708" xr:uid="{C1408431-07DB-4B92-891F-5030DA47BE55}"/>
    <cellStyle name="Normal 12 2 2 2 14" xfId="3709" xr:uid="{D749E167-5243-453C-A570-335C777A01F5}"/>
    <cellStyle name="Normal 12 2 2 2 15" xfId="3710" xr:uid="{0B2C05BF-5801-4F94-BE1B-B5F8FF1FDDF8}"/>
    <cellStyle name="Normal 12 2 2 2 16" xfId="3711" xr:uid="{1B2DB759-4129-480C-8950-067F7D073111}"/>
    <cellStyle name="Normal 12 2 2 2 17" xfId="3712" xr:uid="{257D5911-4257-4210-9964-AAF8B0E4ED8A}"/>
    <cellStyle name="Normal 12 2 2 2 18" xfId="3713" xr:uid="{4C295C4C-AF2E-4373-B9B4-EA5C507E5D88}"/>
    <cellStyle name="Normal 12 2 2 2 19" xfId="3714" xr:uid="{BED86223-8167-4F06-9B5E-9C7B44646930}"/>
    <cellStyle name="Normal 12 2 2 2 2" xfId="3715" xr:uid="{11262B0F-47C8-483D-AF01-0520C19E00F5}"/>
    <cellStyle name="Normal 12 2 2 2 2 10" xfId="3716" xr:uid="{851508C0-71A9-44F3-B6CC-68CEEB6D6E17}"/>
    <cellStyle name="Normal 12 2 2 2 2 11" xfId="3717" xr:uid="{960C3315-42D8-45A7-BAFF-5A40EB7788BF}"/>
    <cellStyle name="Normal 12 2 2 2 2 12" xfId="3718" xr:uid="{3D0B778E-C7AA-419E-BB9B-FF7BE1A25734}"/>
    <cellStyle name="Normal 12 2 2 2 2 13" xfId="3719" xr:uid="{65DF2EF0-EF3D-4E5C-A3F3-3CACBC26552F}"/>
    <cellStyle name="Normal 12 2 2 2 2 14" xfId="3720" xr:uid="{82E08238-D68A-4D3A-975F-0B4E7D2C3576}"/>
    <cellStyle name="Normal 12 2 2 2 2 15" xfId="3721" xr:uid="{38E6851B-D085-4DF3-AEC7-B4CD93347CB1}"/>
    <cellStyle name="Normal 12 2 2 2 2 16" xfId="3722" xr:uid="{91CA3DB0-D2A5-45D4-968F-5F50DFC95F80}"/>
    <cellStyle name="Normal 12 2 2 2 2 17" xfId="3723" xr:uid="{EF8EE3A0-F0FB-4345-9138-FEEC480D05FC}"/>
    <cellStyle name="Normal 12 2 2 2 2 18" xfId="3724" xr:uid="{3070D6B2-33D5-446D-95DC-DA371F2F1417}"/>
    <cellStyle name="Normal 12 2 2 2 2 19" xfId="3725" xr:uid="{9124C8A4-B30A-41BD-96EC-CB708E3D6BD7}"/>
    <cellStyle name="Normal 12 2 2 2 2 2" xfId="3726" xr:uid="{920BF66A-2DC5-4067-939B-6161091B6DC9}"/>
    <cellStyle name="Normal 12 2 2 2 2 20" xfId="3727" xr:uid="{1E65CFDD-FACB-42E9-A9B6-A4F966C9C3F7}"/>
    <cellStyle name="Normal 12 2 2 2 2 21" xfId="3728" xr:uid="{085E3775-A84D-4A36-B5BB-1B25F3F530D1}"/>
    <cellStyle name="Normal 12 2 2 2 2 22" xfId="3729" xr:uid="{A68085E2-4C9D-4481-9E43-985EB0E0609C}"/>
    <cellStyle name="Normal 12 2 2 2 2 23" xfId="3730" xr:uid="{B17BB8B2-36F4-467D-ABDD-43B72333F393}"/>
    <cellStyle name="Normal 12 2 2 2 2 24" xfId="3731" xr:uid="{CED1CEF4-D8D9-47E8-9EE6-ED9034ACE5BE}"/>
    <cellStyle name="Normal 12 2 2 2 2 25" xfId="3732" xr:uid="{6A70A2CC-56A8-4384-A732-A0CAB7F01643}"/>
    <cellStyle name="Normal 12 2 2 2 2 26" xfId="3733" xr:uid="{30BC8E68-176B-496C-9A20-DE9786AF1F51}"/>
    <cellStyle name="Normal 12 2 2 2 2 27" xfId="3734" xr:uid="{F8FC8870-844B-4449-94B2-D9A552ADBB75}"/>
    <cellStyle name="Normal 12 2 2 2 2 28" xfId="3735" xr:uid="{2A6815B0-483C-439B-8CF1-5F015AA6BEF9}"/>
    <cellStyle name="Normal 12 2 2 2 2 29" xfId="3736" xr:uid="{C8FE3B12-2D4B-44FB-A742-B51500C374FC}"/>
    <cellStyle name="Normal 12 2 2 2 2 3" xfId="3737" xr:uid="{BC7BF239-1242-46F2-9654-7E9768793A33}"/>
    <cellStyle name="Normal 12 2 2 2 2 30" xfId="3738" xr:uid="{D3B98683-5E9A-4812-8351-DBB007A67692}"/>
    <cellStyle name="Normal 12 2 2 2 2 31" xfId="3739" xr:uid="{E32BD7A4-1272-48B1-B6BC-BC9308AE4617}"/>
    <cellStyle name="Normal 12 2 2 2 2 32" xfId="3740" xr:uid="{73B0EB33-FA1C-4CC5-832D-C27C2A44889D}"/>
    <cellStyle name="Normal 12 2 2 2 2 33" xfId="3741" xr:uid="{542CEC7F-14F1-4D66-8749-EE38B7663CD8}"/>
    <cellStyle name="Normal 12 2 2 2 2 34" xfId="3742" xr:uid="{56211604-71DD-4DA0-A994-4A0A1D1A31C1}"/>
    <cellStyle name="Normal 12 2 2 2 2 35" xfId="3743" xr:uid="{5EDFD593-8BC1-4E87-BA06-B0EB4515A483}"/>
    <cellStyle name="Normal 12 2 2 2 2 36" xfId="3744" xr:uid="{3D7CF93E-8886-420C-85A3-FFD75D76892E}"/>
    <cellStyle name="Normal 12 2 2 2 2 37" xfId="3745" xr:uid="{4A05053A-282A-4AD2-AEED-BC94827D8077}"/>
    <cellStyle name="Normal 12 2 2 2 2 38" xfId="3746" xr:uid="{16248D3B-CD17-462B-A405-FCFD76F91232}"/>
    <cellStyle name="Normal 12 2 2 2 2 4" xfId="3747" xr:uid="{55E466D8-300D-4427-AE36-5BB149F6513A}"/>
    <cellStyle name="Normal 12 2 2 2 2 5" xfId="3748" xr:uid="{5C4E7BF1-F16B-4D27-B06B-E43B38629638}"/>
    <cellStyle name="Normal 12 2 2 2 2 6" xfId="3749" xr:uid="{148425FF-BEA3-4B2B-89D1-5C0AF2000319}"/>
    <cellStyle name="Normal 12 2 2 2 2 7" xfId="3750" xr:uid="{4D4E95EE-5831-459C-8660-00C4CBF6A635}"/>
    <cellStyle name="Normal 12 2 2 2 2 8" xfId="3751" xr:uid="{CA7A714C-B794-4613-9FBA-DB1486184C72}"/>
    <cellStyle name="Normal 12 2 2 2 2 9" xfId="3752" xr:uid="{D8AAF524-ECA2-4E98-AF65-3F6341F831A2}"/>
    <cellStyle name="Normal 12 2 2 2 20" xfId="3753" xr:uid="{1515C78D-F687-4153-B37E-6723E7C0F1BB}"/>
    <cellStyle name="Normal 12 2 2 2 21" xfId="3754" xr:uid="{2D511EB9-F17B-4325-88F3-6A50728DCF7C}"/>
    <cellStyle name="Normal 12 2 2 2 22" xfId="3755" xr:uid="{2CEA243A-F243-4C28-A858-5F4CBED62393}"/>
    <cellStyle name="Normal 12 2 2 2 23" xfId="3756" xr:uid="{6925E2AC-3755-4E7C-80F2-C889ED6DE7EE}"/>
    <cellStyle name="Normal 12 2 2 2 24" xfId="3757" xr:uid="{35CE3A4C-CC0B-4EDD-B5DB-39F71A7AD642}"/>
    <cellStyle name="Normal 12 2 2 2 25" xfId="3758" xr:uid="{5B9201C7-6302-4E6A-9F87-AAAE430BD235}"/>
    <cellStyle name="Normal 12 2 2 2 26" xfId="3759" xr:uid="{74DA4296-F8AC-44FD-A751-63A4CC603605}"/>
    <cellStyle name="Normal 12 2 2 2 27" xfId="3760" xr:uid="{DB9A6D5D-1911-4A2A-AEA2-4682AC7A1A78}"/>
    <cellStyle name="Normal 12 2 2 2 28" xfId="3761" xr:uid="{8B72A1DD-4719-4D10-A131-6A6622D03788}"/>
    <cellStyle name="Normal 12 2 2 2 29" xfId="3762" xr:uid="{64546CAB-8514-436F-9DF0-4B02A3E0F3FD}"/>
    <cellStyle name="Normal 12 2 2 2 3" xfId="3763" xr:uid="{1B64F00F-A04E-4376-B614-16D369A2DE19}"/>
    <cellStyle name="Normal 12 2 2 2 30" xfId="3764" xr:uid="{57CD02B9-4314-447E-9B5E-875868606641}"/>
    <cellStyle name="Normal 12 2 2 2 31" xfId="3765" xr:uid="{3EDF23EC-3748-4B56-BC16-7959A60478B7}"/>
    <cellStyle name="Normal 12 2 2 2 32" xfId="3766" xr:uid="{DFECF3E2-5685-429B-9AD1-CA5242642E24}"/>
    <cellStyle name="Normal 12 2 2 2 33" xfId="3767" xr:uid="{3D8326E6-4611-4339-8568-9F745FE8329A}"/>
    <cellStyle name="Normal 12 2 2 2 34" xfId="3768" xr:uid="{DD7FED48-1925-4D2D-BB25-632EBFDEE5D3}"/>
    <cellStyle name="Normal 12 2 2 2 35" xfId="3769" xr:uid="{15393A29-04E9-475C-BEE7-FB448A11C2E5}"/>
    <cellStyle name="Normal 12 2 2 2 36" xfId="3770" xr:uid="{0DBE77A5-C32C-4861-A4F7-6FE9519810BD}"/>
    <cellStyle name="Normal 12 2 2 2 37" xfId="3771" xr:uid="{5A4BA147-F502-438C-A42E-6473CED660E1}"/>
    <cellStyle name="Normal 12 2 2 2 38" xfId="3772" xr:uid="{A2653557-9463-4E15-90F2-D41600F149C2}"/>
    <cellStyle name="Normal 12 2 2 2 4" xfId="3773" xr:uid="{1EC139AB-CE3D-41AF-A456-487747DA6319}"/>
    <cellStyle name="Normal 12 2 2 2 5" xfId="3774" xr:uid="{925376E5-2771-4BF6-B6D3-A979595B09F8}"/>
    <cellStyle name="Normal 12 2 2 2 6" xfId="3775" xr:uid="{E978D586-833D-4A6D-831C-03638D563AAA}"/>
    <cellStyle name="Normal 12 2 2 2 7" xfId="3776" xr:uid="{7CBDC814-D01D-448F-83D1-4884D0435D13}"/>
    <cellStyle name="Normal 12 2 2 2 8" xfId="3777" xr:uid="{7013F9E2-67ED-4DE4-B976-78D09E91DACF}"/>
    <cellStyle name="Normal 12 2 2 2 9" xfId="3778" xr:uid="{D9781370-7AFD-4C0D-86FC-5213C7B2AB1B}"/>
    <cellStyle name="Normal 12 2 2 20" xfId="3779" xr:uid="{2A61D85D-347E-4C61-889E-E554EAD61A68}"/>
    <cellStyle name="Normal 12 2 2 21" xfId="3780" xr:uid="{AF073161-CA23-4B7F-86D7-924655CDB0CB}"/>
    <cellStyle name="Normal 12 2 2 22" xfId="3781" xr:uid="{E61F0C90-C964-4C76-8B9A-2AA8135931B9}"/>
    <cellStyle name="Normal 12 2 2 23" xfId="3782" xr:uid="{B49E0995-3271-43E8-BCA8-C4672D03260C}"/>
    <cellStyle name="Normal 12 2 2 24" xfId="3783" xr:uid="{31350705-8251-460E-9F99-F54422724F06}"/>
    <cellStyle name="Normal 12 2 2 25" xfId="3784" xr:uid="{F80E3568-1984-4065-BF39-1B0FC45EA136}"/>
    <cellStyle name="Normal 12 2 2 26" xfId="3785" xr:uid="{1401A5AF-D171-4FFD-BE74-865BD45B3753}"/>
    <cellStyle name="Normal 12 2 2 27" xfId="3786" xr:uid="{DF8C383F-F78A-45E9-AEA9-A56833713600}"/>
    <cellStyle name="Normal 12 2 2 28" xfId="3787" xr:uid="{A2D28613-3FAC-42CA-9863-FC2F047FC8F9}"/>
    <cellStyle name="Normal 12 2 2 29" xfId="3788" xr:uid="{9B06A6EE-0B2E-4409-AD0B-7E722ED70E98}"/>
    <cellStyle name="Normal 12 2 2 3" xfId="3789" xr:uid="{0A283A81-BB05-4E4D-BCE8-CA5830B8C7EE}"/>
    <cellStyle name="Normal 12 2 2 30" xfId="3790" xr:uid="{1D21F9BD-B6FB-4975-8509-BBA3FC04E0DB}"/>
    <cellStyle name="Normal 12 2 2 31" xfId="3791" xr:uid="{9EDF99CA-EB7B-453F-90B1-2E9B84A33374}"/>
    <cellStyle name="Normal 12 2 2 32" xfId="3792" xr:uid="{F75D7080-00E2-44D8-A9E8-75B44CA391B9}"/>
    <cellStyle name="Normal 12 2 2 33" xfId="3793" xr:uid="{2A3EB6C1-B4B6-4E6D-B68C-1DE448A09AEC}"/>
    <cellStyle name="Normal 12 2 2 34" xfId="3794" xr:uid="{FC84AF84-3027-4CD7-9F2C-22FD119A3DB5}"/>
    <cellStyle name="Normal 12 2 2 35" xfId="3795" xr:uid="{3D9C88DF-3957-4E7D-A13D-E1F0C884A3F2}"/>
    <cellStyle name="Normal 12 2 2 36" xfId="3796" xr:uid="{BAFE21D7-A3DE-426A-99D9-C92C64635973}"/>
    <cellStyle name="Normal 12 2 2 37" xfId="3797" xr:uid="{03F92BD1-A1D8-403B-BD37-41E73B7E15FD}"/>
    <cellStyle name="Normal 12 2 2 38" xfId="3798" xr:uid="{C10EB5E8-F084-4901-BA58-75EA73673446}"/>
    <cellStyle name="Normal 12 2 2 39" xfId="3799" xr:uid="{3D067A32-53BC-4648-B25D-30A2548D3041}"/>
    <cellStyle name="Normal 12 2 2 4" xfId="3800" xr:uid="{F93327F8-191A-4C06-A5A2-18A439BC5FF1}"/>
    <cellStyle name="Normal 12 2 2 40" xfId="3801" xr:uid="{FCB29220-8137-43CC-BD04-37F19773B617}"/>
    <cellStyle name="Normal 12 2 2 5" xfId="3802" xr:uid="{0EC1ADA8-6269-406C-8CC1-A834CE896C2D}"/>
    <cellStyle name="Normal 12 2 2 6" xfId="3803" xr:uid="{AAE3D097-5C3E-4415-B91C-213628257B71}"/>
    <cellStyle name="Normal 12 2 2 7" xfId="3804" xr:uid="{45417186-506E-4427-A46C-4E651480B2C8}"/>
    <cellStyle name="Normal 12 2 2 8" xfId="3805" xr:uid="{239DBA82-E8A3-4D9C-A85B-FAAF20D75A93}"/>
    <cellStyle name="Normal 12 2 2 9" xfId="3806" xr:uid="{279659EF-0582-471A-9161-33D0BBBE696C}"/>
    <cellStyle name="Normal 12 2 20" xfId="3807" xr:uid="{CE717BCE-94FF-4959-86C4-BFE84155C26D}"/>
    <cellStyle name="Normal 12 2 21" xfId="3808" xr:uid="{8FFA4EB5-F82B-4457-848F-893787305B35}"/>
    <cellStyle name="Normal 12 2 22" xfId="3809" xr:uid="{41EF4AB4-01CE-4249-9177-5E5A923CAA17}"/>
    <cellStyle name="Normal 12 2 23" xfId="3810" xr:uid="{9DF413E7-92AE-44DA-A830-7C68ED30F3BB}"/>
    <cellStyle name="Normal 12 2 24" xfId="3811" xr:uid="{8B38F7C1-115B-4EF7-9691-DF5274EFCDAA}"/>
    <cellStyle name="Normal 12 2 25" xfId="3812" xr:uid="{A56CB308-B16F-4932-88E3-ECABD0D53537}"/>
    <cellStyle name="Normal 12 2 26" xfId="3813" xr:uid="{BC849D84-2E82-4671-9BFA-66BF0562BB7B}"/>
    <cellStyle name="Normal 12 2 27" xfId="3814" xr:uid="{61A73FB4-A0DE-45E7-84E9-34319972A1F8}"/>
    <cellStyle name="Normal 12 2 28" xfId="3815" xr:uid="{3D276001-9438-4563-AAFF-C2F372CC1B5C}"/>
    <cellStyle name="Normal 12 2 29" xfId="3816" xr:uid="{60778AF1-BC08-4C50-915A-1105AD85B012}"/>
    <cellStyle name="Normal 12 2 3" xfId="3817" xr:uid="{1E05DA5A-95C0-43C2-8F3B-66706774242D}"/>
    <cellStyle name="Normal 12 2 3 10" xfId="3818" xr:uid="{9E4DE870-E29C-4E19-B142-D3379EDF99F4}"/>
    <cellStyle name="Normal 12 2 3 11" xfId="3819" xr:uid="{1F1B6DD7-5982-4F42-A96E-161215C92D2B}"/>
    <cellStyle name="Normal 12 2 3 12" xfId="3820" xr:uid="{2592FBE2-5690-4255-84FF-574259726365}"/>
    <cellStyle name="Normal 12 2 3 13" xfId="3821" xr:uid="{1B9817CD-C98A-49A6-B18D-B1E581302601}"/>
    <cellStyle name="Normal 12 2 3 14" xfId="3822" xr:uid="{3BA207AF-7E3A-41CC-ACAF-F769A790878B}"/>
    <cellStyle name="Normal 12 2 3 15" xfId="3823" xr:uid="{3C75F404-760D-4D15-97CC-E7B1F7A19B4E}"/>
    <cellStyle name="Normal 12 2 3 16" xfId="3824" xr:uid="{CC28BB42-AF84-419D-A42C-47BE84B86804}"/>
    <cellStyle name="Normal 12 2 3 17" xfId="3825" xr:uid="{994B3315-D5A1-4F79-BEF2-3FFA5741E042}"/>
    <cellStyle name="Normal 12 2 3 18" xfId="3826" xr:uid="{73837F9F-E168-48DC-A314-13A0EBF1C1CE}"/>
    <cellStyle name="Normal 12 2 3 19" xfId="3827" xr:uid="{21BFCBBF-8A49-48A1-B80C-78B110FB7C22}"/>
    <cellStyle name="Normal 12 2 3 2" xfId="3828" xr:uid="{7FC1FDE7-AB93-48DD-9D79-51985F374457}"/>
    <cellStyle name="Normal 12 2 3 2 10" xfId="3829" xr:uid="{2B0B03FE-A9A5-4A73-95CD-3F45FA544CA0}"/>
    <cellStyle name="Normal 12 2 3 2 11" xfId="3830" xr:uid="{F39D24E9-9DFD-4CAB-A912-B05A46EA7248}"/>
    <cellStyle name="Normal 12 2 3 2 12" xfId="3831" xr:uid="{CF8CA0FE-C942-4FCD-B812-3A9D6FF75036}"/>
    <cellStyle name="Normal 12 2 3 2 13" xfId="3832" xr:uid="{C89B0D86-10D8-4A0A-B804-05D784774697}"/>
    <cellStyle name="Normal 12 2 3 2 14" xfId="3833" xr:uid="{DFCA409B-10EA-4799-9EAD-2B94944BDED9}"/>
    <cellStyle name="Normal 12 2 3 2 15" xfId="3834" xr:uid="{61E9DC4D-53BC-4565-BD80-19E86F99C970}"/>
    <cellStyle name="Normal 12 2 3 2 16" xfId="3835" xr:uid="{4303D9F9-B917-4A64-9C6A-A84E2FC40B19}"/>
    <cellStyle name="Normal 12 2 3 2 17" xfId="3836" xr:uid="{85C5A2EA-CAE8-4312-83E0-527138EDEAAE}"/>
    <cellStyle name="Normal 12 2 3 2 18" xfId="3837" xr:uid="{B8DD9F3E-967A-492D-BF05-250B6F70F126}"/>
    <cellStyle name="Normal 12 2 3 2 19" xfId="3838" xr:uid="{B00E6180-4785-46DD-BA89-311438D158A5}"/>
    <cellStyle name="Normal 12 2 3 2 2" xfId="3839" xr:uid="{7EBB5835-050A-4D9D-8569-0F20F163B603}"/>
    <cellStyle name="Normal 12 2 3 2 20" xfId="3840" xr:uid="{12A25945-7002-4444-B779-7B205158715A}"/>
    <cellStyle name="Normal 12 2 3 2 21" xfId="3841" xr:uid="{FC11BF14-9307-474E-B4B5-A38CF291163D}"/>
    <cellStyle name="Normal 12 2 3 2 22" xfId="3842" xr:uid="{DF7FB72F-18BA-44DB-A229-01EAD2C7DA30}"/>
    <cellStyle name="Normal 12 2 3 2 23" xfId="3843" xr:uid="{3CF9E891-0299-48A0-8E42-B0EDD175A335}"/>
    <cellStyle name="Normal 12 2 3 2 24" xfId="3844" xr:uid="{0E3731BD-0B12-4B9B-9592-616434E111F8}"/>
    <cellStyle name="Normal 12 2 3 2 25" xfId="3845" xr:uid="{379A77BF-8D58-4F32-9EB7-040CF5B68EC3}"/>
    <cellStyle name="Normal 12 2 3 2 26" xfId="3846" xr:uid="{6778FECB-08A3-493F-AEE4-212590456374}"/>
    <cellStyle name="Normal 12 2 3 2 27" xfId="3847" xr:uid="{807869D7-4525-4869-B2C0-3F3591891614}"/>
    <cellStyle name="Normal 12 2 3 2 28" xfId="3848" xr:uid="{C0A0F588-D402-4159-8828-B45523227BA6}"/>
    <cellStyle name="Normal 12 2 3 2 29" xfId="3849" xr:uid="{FFAAF769-6513-41FE-BB48-459CCBD5F2CE}"/>
    <cellStyle name="Normal 12 2 3 2 3" xfId="3850" xr:uid="{7C5A54ED-B126-4D46-8F6E-9E969CBF4965}"/>
    <cellStyle name="Normal 12 2 3 2 30" xfId="3851" xr:uid="{65D2D021-0AA7-4B7A-8434-EA79B7D2A053}"/>
    <cellStyle name="Normal 12 2 3 2 31" xfId="3852" xr:uid="{E474515A-9656-48EA-9309-08BF6430EE7F}"/>
    <cellStyle name="Normal 12 2 3 2 32" xfId="3853" xr:uid="{C241FD00-4E48-468A-97E5-34FFA33AE865}"/>
    <cellStyle name="Normal 12 2 3 2 33" xfId="3854" xr:uid="{16192E3B-0F07-4A27-BDE1-BFC476D2DC2C}"/>
    <cellStyle name="Normal 12 2 3 2 34" xfId="3855" xr:uid="{4D056989-1AC8-43B4-AB95-45575E6294DE}"/>
    <cellStyle name="Normal 12 2 3 2 35" xfId="3856" xr:uid="{6781C8F2-0FBC-4B9C-9663-908F6CCD7ACC}"/>
    <cellStyle name="Normal 12 2 3 2 36" xfId="3857" xr:uid="{7891B14A-8142-4EAB-B835-89B0858535B3}"/>
    <cellStyle name="Normal 12 2 3 2 37" xfId="3858" xr:uid="{388BDACD-FE63-4855-8690-245006A4F160}"/>
    <cellStyle name="Normal 12 2 3 2 38" xfId="3859" xr:uid="{E9DB89C2-2DFB-4E59-8F3D-925DBD2B0CC0}"/>
    <cellStyle name="Normal 12 2 3 2 4" xfId="3860" xr:uid="{79151C43-63B3-41EB-989C-F1C3CA499C35}"/>
    <cellStyle name="Normal 12 2 3 2 5" xfId="3861" xr:uid="{456DECAF-04EF-4853-B8CD-21F8FC9CED17}"/>
    <cellStyle name="Normal 12 2 3 2 6" xfId="3862" xr:uid="{19E96F8D-06D4-4798-AED1-E8E1B94BCBA1}"/>
    <cellStyle name="Normal 12 2 3 2 7" xfId="3863" xr:uid="{55DC028D-7C7C-4442-8E85-1FBF7B6BF92E}"/>
    <cellStyle name="Normal 12 2 3 2 8" xfId="3864" xr:uid="{8B4A7D83-4F8B-4361-9F30-23EB741E8F07}"/>
    <cellStyle name="Normal 12 2 3 2 9" xfId="3865" xr:uid="{34570CE2-54CE-4C65-BDE6-6A0BF9234B5D}"/>
    <cellStyle name="Normal 12 2 3 20" xfId="3866" xr:uid="{6AD80088-BB0D-4576-80B0-3E17BD9CB26E}"/>
    <cellStyle name="Normal 12 2 3 21" xfId="3867" xr:uid="{14AF0D20-1EE8-4DED-A23F-9BDBF61F6D14}"/>
    <cellStyle name="Normal 12 2 3 22" xfId="3868" xr:uid="{32FF207C-2E1E-4797-8D9E-4288D8A6F093}"/>
    <cellStyle name="Normal 12 2 3 23" xfId="3869" xr:uid="{F6B068AD-5D84-4ED3-9F97-1273ADDB5DBB}"/>
    <cellStyle name="Normal 12 2 3 24" xfId="3870" xr:uid="{106DF173-EE24-44B4-AB5D-ACFD64F55528}"/>
    <cellStyle name="Normal 12 2 3 25" xfId="3871" xr:uid="{5769866E-4556-4130-9DBB-C34BDFCC4C18}"/>
    <cellStyle name="Normal 12 2 3 26" xfId="3872" xr:uid="{A2CDE7A1-AB68-41A0-92C0-BB56E7EB48EA}"/>
    <cellStyle name="Normal 12 2 3 27" xfId="3873" xr:uid="{D022A4A1-A1F6-4589-907F-7F99A5F516B3}"/>
    <cellStyle name="Normal 12 2 3 28" xfId="3874" xr:uid="{0F85268A-60EE-45BA-9DF2-2B9587609534}"/>
    <cellStyle name="Normal 12 2 3 29" xfId="3875" xr:uid="{50003DC3-A454-4A62-80A3-2A71046D9B93}"/>
    <cellStyle name="Normal 12 2 3 3" xfId="3876" xr:uid="{6D2271C6-EE0A-4085-8668-6F41B2752BDC}"/>
    <cellStyle name="Normal 12 2 3 30" xfId="3877" xr:uid="{A3AF20C2-81CF-4313-B9E9-FBE51357EE08}"/>
    <cellStyle name="Normal 12 2 3 31" xfId="3878" xr:uid="{26C44EB3-B44D-475B-AC44-2839DFA15266}"/>
    <cellStyle name="Normal 12 2 3 32" xfId="3879" xr:uid="{295860F0-B9BC-4EF2-9E5F-DB227C639158}"/>
    <cellStyle name="Normal 12 2 3 33" xfId="3880" xr:uid="{D6E75A87-E2EF-469D-BE8B-D26558B6BB66}"/>
    <cellStyle name="Normal 12 2 3 34" xfId="3881" xr:uid="{8A8B3136-2F28-4E8C-A759-3A67206C3C2B}"/>
    <cellStyle name="Normal 12 2 3 35" xfId="3882" xr:uid="{C94988CA-28D2-44A5-BA94-706D856EA759}"/>
    <cellStyle name="Normal 12 2 3 36" xfId="3883" xr:uid="{A2480C48-3BE9-4551-BF5B-76D79F1F943D}"/>
    <cellStyle name="Normal 12 2 3 37" xfId="3884" xr:uid="{F4E9C0F0-3892-4B05-880A-1B8F1C9AD3E6}"/>
    <cellStyle name="Normal 12 2 3 38" xfId="3885" xr:uid="{A2913677-556B-44DD-B485-2A5575D873DC}"/>
    <cellStyle name="Normal 12 2 3 4" xfId="3886" xr:uid="{65FCF185-A293-4C82-B6A2-34DA09A71EB9}"/>
    <cellStyle name="Normal 12 2 3 5" xfId="3887" xr:uid="{49C4C786-3567-4FBF-93B0-37208A6555D8}"/>
    <cellStyle name="Normal 12 2 3 6" xfId="3888" xr:uid="{864A98E1-4E90-43DA-A293-C3F6E81F5E75}"/>
    <cellStyle name="Normal 12 2 3 7" xfId="3889" xr:uid="{97CBC300-5426-46E3-B4AA-8E108250AC92}"/>
    <cellStyle name="Normal 12 2 3 8" xfId="3890" xr:uid="{760F9ADE-2CA0-4B64-86DA-B811B900B50D}"/>
    <cellStyle name="Normal 12 2 3 9" xfId="3891" xr:uid="{19EA5EEC-15C2-4979-8726-0F1F14100A17}"/>
    <cellStyle name="Normal 12 2 30" xfId="3892" xr:uid="{9B95F1CA-E23B-450B-BDF3-3E282BB5828D}"/>
    <cellStyle name="Normal 12 2 31" xfId="3893" xr:uid="{AFB3DF51-469D-41D5-A29C-0B4FB7824707}"/>
    <cellStyle name="Normal 12 2 32" xfId="3894" xr:uid="{4F5C1CE8-90BA-415B-AE4F-1E211C2C9F96}"/>
    <cellStyle name="Normal 12 2 33" xfId="3895" xr:uid="{636DCE7A-7AE9-4030-946B-86F176B38D6A}"/>
    <cellStyle name="Normal 12 2 34" xfId="3896" xr:uid="{0EC7F4C3-C1F9-4E57-9898-49942413B932}"/>
    <cellStyle name="Normal 12 2 35" xfId="3897" xr:uid="{6256C8B2-4C5A-4409-B702-BF24ACE8F3E1}"/>
    <cellStyle name="Normal 12 2 36" xfId="3898" xr:uid="{37FDC3C4-0DF7-447F-A20C-C98847A1A7FA}"/>
    <cellStyle name="Normal 12 2 37" xfId="3899" xr:uid="{4CC7975B-531B-4624-A7A3-371656C7AC09}"/>
    <cellStyle name="Normal 12 2 38" xfId="3900" xr:uid="{B50A89FC-132E-4666-B4E7-DC9E851B4D01}"/>
    <cellStyle name="Normal 12 2 39" xfId="3901" xr:uid="{3B62B85C-6AB2-49FC-B338-48B26D3DC06F}"/>
    <cellStyle name="Normal 12 2 4" xfId="3902" xr:uid="{02EA4962-76DB-4F87-96E2-7769FE70079D}"/>
    <cellStyle name="Normal 12 2 40" xfId="3903" xr:uid="{5FF25D77-6E30-4C65-8D2C-4AF9AF5DD647}"/>
    <cellStyle name="Normal 12 2 5" xfId="3904" xr:uid="{ACDDFC38-418B-4BEA-8E03-76FAD131C3CF}"/>
    <cellStyle name="Normal 12 2 6" xfId="3905" xr:uid="{FA8E836D-1BB4-48A1-999A-59260C433ED2}"/>
    <cellStyle name="Normal 12 2 7" xfId="3906" xr:uid="{7FF7F611-5AE4-4A4D-969F-AC3D2703B056}"/>
    <cellStyle name="Normal 12 2 8" xfId="3907" xr:uid="{DA55AA19-5C0B-4321-8643-79FBC3789945}"/>
    <cellStyle name="Normal 12 2 9" xfId="3908" xr:uid="{A3F96DAD-A3E5-444D-8D96-10157BF14FDF}"/>
    <cellStyle name="Normal 12 20" xfId="3909" xr:uid="{67FFEB89-F8F3-47CB-9E70-7F48445E2783}"/>
    <cellStyle name="Normal 12 21" xfId="3910" xr:uid="{110B75D8-9356-4960-A624-37F5A568202E}"/>
    <cellStyle name="Normal 12 22" xfId="3911" xr:uid="{738363DA-2F0E-4A1E-8A59-6C4159F390B5}"/>
    <cellStyle name="Normal 12 23" xfId="3912" xr:uid="{6C125021-ED73-4934-A18A-68D4EE0689BF}"/>
    <cellStyle name="Normal 12 24" xfId="3913" xr:uid="{EC96BB1E-2700-4B87-B3B7-C7822B45741C}"/>
    <cellStyle name="Normal 12 25" xfId="3914" xr:uid="{C09AC007-2B05-46BE-AB2A-266B10F041BA}"/>
    <cellStyle name="Normal 12 26" xfId="3915" xr:uid="{C0BD17C6-CADE-4C99-973F-669173D5C649}"/>
    <cellStyle name="Normal 12 27" xfId="3916" xr:uid="{E76F23C4-2BB9-4109-A7B5-5269ABBE4721}"/>
    <cellStyle name="Normal 12 28" xfId="3917" xr:uid="{C089EE7D-30CD-4DFF-9104-92F74B502D4A}"/>
    <cellStyle name="Normal 12 29" xfId="3918" xr:uid="{BF87BEB2-47AC-4AB5-BFD3-C5197FEB1345}"/>
    <cellStyle name="Normal 12 3" xfId="3919" xr:uid="{0C0ECA91-2CBA-4EFC-A58A-4536B50CE2FC}"/>
    <cellStyle name="Normal 12 3 10" xfId="3920" xr:uid="{75E48A5E-3D25-4403-BFC0-7E11D694BB29}"/>
    <cellStyle name="Normal 12 3 11" xfId="3921" xr:uid="{686E6997-965E-41E4-9713-554CA29ECA4D}"/>
    <cellStyle name="Normal 12 3 12" xfId="3922" xr:uid="{88F25D19-7169-40D4-8E1E-D19A10E7AD0F}"/>
    <cellStyle name="Normal 12 3 13" xfId="3923" xr:uid="{56AF6D27-9857-4C20-85B5-29BB7FEC8776}"/>
    <cellStyle name="Normal 12 3 14" xfId="3924" xr:uid="{F8901FAB-9FBB-483B-AF2D-2BB698651DF6}"/>
    <cellStyle name="Normal 12 3 15" xfId="3925" xr:uid="{8416BE37-E29F-4C04-BC0C-33CACD69A993}"/>
    <cellStyle name="Normal 12 3 16" xfId="3926" xr:uid="{4CD07BF6-E4B0-4488-B92A-46BEC7C1156F}"/>
    <cellStyle name="Normal 12 3 17" xfId="3927" xr:uid="{A89E6EF4-8E41-4607-AB51-FFBB89FACEFE}"/>
    <cellStyle name="Normal 12 3 18" xfId="3928" xr:uid="{3AC89EB4-AD5B-4D98-8348-630FE65E5475}"/>
    <cellStyle name="Normal 12 3 19" xfId="3929" xr:uid="{348C47C9-DAFF-4744-A81D-F3CFC2D1CA94}"/>
    <cellStyle name="Normal 12 3 2" xfId="3930" xr:uid="{FBF5219B-8DA2-40C1-B7CD-53B726590F00}"/>
    <cellStyle name="Normal 12 3 2 10" xfId="3931" xr:uid="{2B4222E2-7D5F-4ABF-AE51-89A57FF29E9D}"/>
    <cellStyle name="Normal 12 3 2 11" xfId="3932" xr:uid="{DDE54A24-095E-4A3F-AA20-54EC6D496FB0}"/>
    <cellStyle name="Normal 12 3 2 12" xfId="3933" xr:uid="{E3C67093-1399-4AEA-B0F3-7F6D1D59F7A1}"/>
    <cellStyle name="Normal 12 3 2 13" xfId="3934" xr:uid="{3A9E485D-3EAA-4EB8-8F3C-44CA479ABA98}"/>
    <cellStyle name="Normal 12 3 2 14" xfId="3935" xr:uid="{57AF6BF9-2CE7-4EFA-B2DD-6BCEF4F86C67}"/>
    <cellStyle name="Normal 12 3 2 15" xfId="3936" xr:uid="{D320B89A-6D8F-4EC0-B96A-47379F22BA2B}"/>
    <cellStyle name="Normal 12 3 2 16" xfId="3937" xr:uid="{55C4C024-6A3C-4A54-9D99-593EDAB54283}"/>
    <cellStyle name="Normal 12 3 2 17" xfId="3938" xr:uid="{CC5349EE-0542-435B-80C7-7BD852DF8D2E}"/>
    <cellStyle name="Normal 12 3 2 18" xfId="3939" xr:uid="{962BB02C-69A1-45C5-85FB-8A1CD529452E}"/>
    <cellStyle name="Normal 12 3 2 19" xfId="3940" xr:uid="{D484C023-5291-455A-B214-A32494800F10}"/>
    <cellStyle name="Normal 12 3 2 2" xfId="3941" xr:uid="{77F205FD-0192-43F0-A221-FABAC84BD3F5}"/>
    <cellStyle name="Normal 12 3 2 2 10" xfId="3942" xr:uid="{4994D71E-0257-4E78-92E0-4C6F0B57A82B}"/>
    <cellStyle name="Normal 12 3 2 2 11" xfId="3943" xr:uid="{C4E2627B-F1C9-4E54-8391-71ED3FD03BDC}"/>
    <cellStyle name="Normal 12 3 2 2 12" xfId="3944" xr:uid="{8228A98B-891A-481D-8B57-D065131A1848}"/>
    <cellStyle name="Normal 12 3 2 2 13" xfId="3945" xr:uid="{419B7FF5-1E46-469B-9384-28A8DC8694F7}"/>
    <cellStyle name="Normal 12 3 2 2 14" xfId="3946" xr:uid="{3C1410FD-33B2-4F9E-ABB5-37FBACC681A7}"/>
    <cellStyle name="Normal 12 3 2 2 15" xfId="3947" xr:uid="{563BF56E-A04D-4C49-A91E-9FF08797207F}"/>
    <cellStyle name="Normal 12 3 2 2 16" xfId="3948" xr:uid="{B5A41B52-ADCE-456F-8CF1-AF4965F4A1F7}"/>
    <cellStyle name="Normal 12 3 2 2 17" xfId="3949" xr:uid="{2CDE5D8D-AD23-4A07-908F-8E4BEB89A32A}"/>
    <cellStyle name="Normal 12 3 2 2 18" xfId="3950" xr:uid="{C31CB14F-0602-4AFA-9D74-80D1B10BFFE5}"/>
    <cellStyle name="Normal 12 3 2 2 19" xfId="3951" xr:uid="{9ABD86D4-FE81-47C6-AAFB-40ED0B4ABB7D}"/>
    <cellStyle name="Normal 12 3 2 2 2" xfId="3952" xr:uid="{6DF39B0B-A36A-4BD6-BCBA-8C1CA8628E30}"/>
    <cellStyle name="Normal 12 3 2 2 2 10" xfId="3953" xr:uid="{05CC4963-A25A-412E-AC5F-2A3EC868FDE4}"/>
    <cellStyle name="Normal 12 3 2 2 2 11" xfId="3954" xr:uid="{94D9ACC7-640C-4DE3-8FA9-45CA4E2CF32E}"/>
    <cellStyle name="Normal 12 3 2 2 2 12" xfId="3955" xr:uid="{B56A49A2-66F4-46CF-ABEB-F93C59B208E0}"/>
    <cellStyle name="Normal 12 3 2 2 2 13" xfId="3956" xr:uid="{9FF1BD20-344F-469E-88A9-649D72F0B895}"/>
    <cellStyle name="Normal 12 3 2 2 2 14" xfId="3957" xr:uid="{BFD0A813-F4CD-45EB-AEA6-E1C6080E5816}"/>
    <cellStyle name="Normal 12 3 2 2 2 15" xfId="3958" xr:uid="{F03BE3DB-E675-448C-BDBE-6E298D1FF249}"/>
    <cellStyle name="Normal 12 3 2 2 2 16" xfId="3959" xr:uid="{C75AB2A0-99A3-4B63-82FF-B03D39D33577}"/>
    <cellStyle name="Normal 12 3 2 2 2 17" xfId="3960" xr:uid="{E8640DAF-E9C9-45BE-99E5-2CEDF29CC79D}"/>
    <cellStyle name="Normal 12 3 2 2 2 18" xfId="3961" xr:uid="{B30353DF-8262-41EB-BDBE-7938284C294D}"/>
    <cellStyle name="Normal 12 3 2 2 2 19" xfId="3962" xr:uid="{6B8AA3CC-E3A7-42ED-B922-EFE316ED7AD1}"/>
    <cellStyle name="Normal 12 3 2 2 2 2" xfId="3963" xr:uid="{238127D9-506E-4677-8DBF-82C277D7FE80}"/>
    <cellStyle name="Normal 12 3 2 2 2 20" xfId="3964" xr:uid="{EAA8C8A9-2084-4EAA-878D-3B50514565D0}"/>
    <cellStyle name="Normal 12 3 2 2 2 21" xfId="3965" xr:uid="{FDF216DA-03E2-43EA-9F7D-C618DD446A81}"/>
    <cellStyle name="Normal 12 3 2 2 2 22" xfId="3966" xr:uid="{B6113B26-A6BC-4178-8421-98106F0A0D8D}"/>
    <cellStyle name="Normal 12 3 2 2 2 23" xfId="3967" xr:uid="{ADFA4FB0-1D14-468B-BCCC-3C3487E36A07}"/>
    <cellStyle name="Normal 12 3 2 2 2 24" xfId="3968" xr:uid="{5C693E98-1207-41FA-8DE0-BAEBD6A493E4}"/>
    <cellStyle name="Normal 12 3 2 2 2 25" xfId="3969" xr:uid="{12C87CE8-45E9-44D9-AECC-F213BA31C97F}"/>
    <cellStyle name="Normal 12 3 2 2 2 26" xfId="3970" xr:uid="{B4B8437B-275E-45B1-9453-4FF4A73E0A09}"/>
    <cellStyle name="Normal 12 3 2 2 2 27" xfId="3971" xr:uid="{18BD4336-5F2D-438D-B14A-95E48FD418F9}"/>
    <cellStyle name="Normal 12 3 2 2 2 28" xfId="3972" xr:uid="{237ED840-4AFB-481D-98FE-8B860FF045E5}"/>
    <cellStyle name="Normal 12 3 2 2 2 29" xfId="3973" xr:uid="{924BBC38-75C9-4487-A528-7D7371FC76EB}"/>
    <cellStyle name="Normal 12 3 2 2 2 3" xfId="3974" xr:uid="{D9826BE2-F1E4-48E2-8287-445F409C61B2}"/>
    <cellStyle name="Normal 12 3 2 2 2 30" xfId="3975" xr:uid="{9F5752C0-F73A-4478-841D-D81323F32E72}"/>
    <cellStyle name="Normal 12 3 2 2 2 31" xfId="3976" xr:uid="{B3659CE6-6FC1-40B9-90B1-EC6FF101E9D2}"/>
    <cellStyle name="Normal 12 3 2 2 2 32" xfId="3977" xr:uid="{5E20E966-4A7F-42B4-9C98-8313D526B0AF}"/>
    <cellStyle name="Normal 12 3 2 2 2 33" xfId="3978" xr:uid="{811CB2F3-37B3-4270-9212-B128B89BD1ED}"/>
    <cellStyle name="Normal 12 3 2 2 2 34" xfId="3979" xr:uid="{8EBB3D06-ABAD-4A38-880B-FB02071D0E94}"/>
    <cellStyle name="Normal 12 3 2 2 2 35" xfId="3980" xr:uid="{D224CF8C-9F2E-4A7D-B663-0C93F3B0EB9C}"/>
    <cellStyle name="Normal 12 3 2 2 2 36" xfId="3981" xr:uid="{EF145D42-13AF-4340-B65A-846D936CF9D8}"/>
    <cellStyle name="Normal 12 3 2 2 2 37" xfId="3982" xr:uid="{4F19B560-CE59-40F3-A8F2-EEEDFDB94760}"/>
    <cellStyle name="Normal 12 3 2 2 2 38" xfId="3983" xr:uid="{78467FB9-3DC1-4B2E-A7BA-D8EA28FBF3C2}"/>
    <cellStyle name="Normal 12 3 2 2 2 4" xfId="3984" xr:uid="{9C31457F-0C4E-4374-8B1C-9124F9BE36C4}"/>
    <cellStyle name="Normal 12 3 2 2 2 5" xfId="3985" xr:uid="{444571EE-0459-4C6E-B191-F6CF1DDAD736}"/>
    <cellStyle name="Normal 12 3 2 2 2 6" xfId="3986" xr:uid="{BD8BEBE6-BFC9-4BDF-9203-39FA91C02338}"/>
    <cellStyle name="Normal 12 3 2 2 2 7" xfId="3987" xr:uid="{451F4E25-D1BE-4627-A065-E1EB4C82DFF3}"/>
    <cellStyle name="Normal 12 3 2 2 2 8" xfId="3988" xr:uid="{C71B5CAB-914F-413B-9D40-96B065FFE8B7}"/>
    <cellStyle name="Normal 12 3 2 2 2 9" xfId="3989" xr:uid="{C2DCDC8F-303C-49C7-9ED8-79514E5C2A6C}"/>
    <cellStyle name="Normal 12 3 2 2 20" xfId="3990" xr:uid="{2D883DEE-CEC7-4433-AEDB-7F3E4AE0AF41}"/>
    <cellStyle name="Normal 12 3 2 2 21" xfId="3991" xr:uid="{F856E4BF-D244-4B57-BD9E-9A77F47D9C6C}"/>
    <cellStyle name="Normal 12 3 2 2 22" xfId="3992" xr:uid="{4A716D8F-8EE6-4DB1-BD5A-7FE103527125}"/>
    <cellStyle name="Normal 12 3 2 2 23" xfId="3993" xr:uid="{A5F4E549-6934-47FF-86B5-E3B60DBFB732}"/>
    <cellStyle name="Normal 12 3 2 2 24" xfId="3994" xr:uid="{C636A3D6-A119-4338-A55F-84F648415FF3}"/>
    <cellStyle name="Normal 12 3 2 2 25" xfId="3995" xr:uid="{ED40D4E3-B6B9-41B6-8593-A6DFEA7666FD}"/>
    <cellStyle name="Normal 12 3 2 2 26" xfId="3996" xr:uid="{58AE177D-D8D5-4503-993B-6E150E24E190}"/>
    <cellStyle name="Normal 12 3 2 2 27" xfId="3997" xr:uid="{79B451DF-F06F-41B0-9ABD-7D1A9B047574}"/>
    <cellStyle name="Normal 12 3 2 2 28" xfId="3998" xr:uid="{A9EFACE8-2668-43D3-8219-7A33B634939F}"/>
    <cellStyle name="Normal 12 3 2 2 29" xfId="3999" xr:uid="{92B3FFDF-1AF8-4606-8AE7-EA45A8B31EC9}"/>
    <cellStyle name="Normal 12 3 2 2 3" xfId="4000" xr:uid="{4B93C530-DECA-4D43-B3DB-AF1EA3339251}"/>
    <cellStyle name="Normal 12 3 2 2 30" xfId="4001" xr:uid="{4EEE1B70-0981-491B-8915-33075CE48CB6}"/>
    <cellStyle name="Normal 12 3 2 2 31" xfId="4002" xr:uid="{6ACF4677-5B60-434C-A746-2B1002A2B2F2}"/>
    <cellStyle name="Normal 12 3 2 2 32" xfId="4003" xr:uid="{A8323B84-E6D4-4E95-93F4-5AB18606F499}"/>
    <cellStyle name="Normal 12 3 2 2 33" xfId="4004" xr:uid="{3B12FE1E-D425-424C-9E95-D7C29A942CEE}"/>
    <cellStyle name="Normal 12 3 2 2 34" xfId="4005" xr:uid="{66A67CDA-C132-40D8-B9B6-EF10DB005F91}"/>
    <cellStyle name="Normal 12 3 2 2 35" xfId="4006" xr:uid="{9ECB5E66-BB2B-4F93-AF86-E8D4C06BD9A7}"/>
    <cellStyle name="Normal 12 3 2 2 36" xfId="4007" xr:uid="{23A5F1C3-48F0-435E-8AEC-55F84E7DF42D}"/>
    <cellStyle name="Normal 12 3 2 2 37" xfId="4008" xr:uid="{503D3E02-F705-4457-9386-C72F3D0E075C}"/>
    <cellStyle name="Normal 12 3 2 2 38" xfId="4009" xr:uid="{E381004C-9AE5-45B2-B8E3-786E67FF2282}"/>
    <cellStyle name="Normal 12 3 2 2 4" xfId="4010" xr:uid="{8E2F49F1-D0DC-4263-A431-ECBA07F0A1BB}"/>
    <cellStyle name="Normal 12 3 2 2 5" xfId="4011" xr:uid="{15756FE2-669D-48A2-898F-D9E0FB9EE543}"/>
    <cellStyle name="Normal 12 3 2 2 6" xfId="4012" xr:uid="{B5AA4372-20F6-4F13-8081-11307D19CF1A}"/>
    <cellStyle name="Normal 12 3 2 2 7" xfId="4013" xr:uid="{10A05965-59E3-4ABE-A054-37700537E924}"/>
    <cellStyle name="Normal 12 3 2 2 8" xfId="4014" xr:uid="{4ECC8BEE-2C78-47CD-AB46-13DFE40952CE}"/>
    <cellStyle name="Normal 12 3 2 2 9" xfId="4015" xr:uid="{DC8FE767-FA1F-4292-A39C-FF5FC30145F5}"/>
    <cellStyle name="Normal 12 3 2 20" xfId="4016" xr:uid="{45AE6B8B-C8DD-4659-8A5D-E5EF95C43799}"/>
    <cellStyle name="Normal 12 3 2 21" xfId="4017" xr:uid="{F35B915E-8A71-4CBB-94BC-FD8E52B1778E}"/>
    <cellStyle name="Normal 12 3 2 22" xfId="4018" xr:uid="{8DFF725B-6B29-4648-AA62-DD8AC46A8578}"/>
    <cellStyle name="Normal 12 3 2 23" xfId="4019" xr:uid="{9B603ED8-A69B-4A8C-B039-83A61A769257}"/>
    <cellStyle name="Normal 12 3 2 24" xfId="4020" xr:uid="{648D0D27-77FA-4962-8152-86D04B90E2F1}"/>
    <cellStyle name="Normal 12 3 2 25" xfId="4021" xr:uid="{B5E1D6C2-EE4E-431A-A0C5-A2EA34BA72A9}"/>
    <cellStyle name="Normal 12 3 2 26" xfId="4022" xr:uid="{34FD9875-0956-42DE-A374-D4CF65E9FC60}"/>
    <cellStyle name="Normal 12 3 2 27" xfId="4023" xr:uid="{DFDC2D55-2722-4092-878C-CFEC6C27AC55}"/>
    <cellStyle name="Normal 12 3 2 28" xfId="4024" xr:uid="{02C052A6-7FD6-4609-93EB-9A9216F5ACAE}"/>
    <cellStyle name="Normal 12 3 2 29" xfId="4025" xr:uid="{6234A06A-F4A4-4764-BCD5-7627C0C9A260}"/>
    <cellStyle name="Normal 12 3 2 3" xfId="4026" xr:uid="{8EC4365E-B19D-4FA9-BF7C-C7DCB888DDD4}"/>
    <cellStyle name="Normal 12 3 2 30" xfId="4027" xr:uid="{9E87E429-A00B-426A-9B59-331246638F60}"/>
    <cellStyle name="Normal 12 3 2 31" xfId="4028" xr:uid="{DFB2A405-5B56-4D32-8631-03C2A20DEBBA}"/>
    <cellStyle name="Normal 12 3 2 32" xfId="4029" xr:uid="{19EF96B8-E39F-4AA2-9EA7-06AAB9BEE27A}"/>
    <cellStyle name="Normal 12 3 2 33" xfId="4030" xr:uid="{82FF7BBA-5FF6-43EE-BEB3-840089CCA6B0}"/>
    <cellStyle name="Normal 12 3 2 34" xfId="4031" xr:uid="{FFFFAD6A-4976-4404-9C0C-CA2568458127}"/>
    <cellStyle name="Normal 12 3 2 35" xfId="4032" xr:uid="{5D54DCFB-28FD-4B67-928E-255744D8B580}"/>
    <cellStyle name="Normal 12 3 2 36" xfId="4033" xr:uid="{A9C0ACD7-3C94-458D-8212-177FECF1D118}"/>
    <cellStyle name="Normal 12 3 2 37" xfId="4034" xr:uid="{C6C023DE-B1D3-43F1-8C52-2277E8F14273}"/>
    <cellStyle name="Normal 12 3 2 38" xfId="4035" xr:uid="{48903D41-A5A6-4885-A710-AE3221568A16}"/>
    <cellStyle name="Normal 12 3 2 39" xfId="4036" xr:uid="{6B43E94A-25C1-41E6-B755-E2D228C83BAF}"/>
    <cellStyle name="Normal 12 3 2 4" xfId="4037" xr:uid="{8809307D-F8B6-4A0E-B1A3-0AF986A6D676}"/>
    <cellStyle name="Normal 12 3 2 40" xfId="4038" xr:uid="{7405EE3C-FB71-45A3-8CD0-4B2E9DF4E132}"/>
    <cellStyle name="Normal 12 3 2 5" xfId="4039" xr:uid="{D0AB9457-B18E-4ACA-91A1-E57ED999E043}"/>
    <cellStyle name="Normal 12 3 2 6" xfId="4040" xr:uid="{A8BB07B6-EE3B-4559-81B7-7BDD28282A33}"/>
    <cellStyle name="Normal 12 3 2 7" xfId="4041" xr:uid="{6F982AEF-880A-42C0-8BC5-FA8E134F5CC7}"/>
    <cellStyle name="Normal 12 3 2 8" xfId="4042" xr:uid="{6958D2A6-FFD1-476A-9ED7-BC34440B764D}"/>
    <cellStyle name="Normal 12 3 2 9" xfId="4043" xr:uid="{FDDB0675-8D38-4D0C-9ECC-136005441DB9}"/>
    <cellStyle name="Normal 12 3 20" xfId="4044" xr:uid="{E1C4B02A-F0BB-40DA-9E64-5857C8D7A19D}"/>
    <cellStyle name="Normal 12 3 21" xfId="4045" xr:uid="{5AF8B104-25CF-4FAB-9437-E54B992153AF}"/>
    <cellStyle name="Normal 12 3 22" xfId="4046" xr:uid="{17A71AF3-0782-4BE3-87A4-728FFB31E875}"/>
    <cellStyle name="Normal 12 3 23" xfId="4047" xr:uid="{B946661A-A1CE-42EA-BF0C-774F6D40EC1A}"/>
    <cellStyle name="Normal 12 3 24" xfId="4048" xr:uid="{AF81B21B-FE5B-4395-B793-3ACF7D917AE9}"/>
    <cellStyle name="Normal 12 3 25" xfId="4049" xr:uid="{78EE6DF1-6967-458C-A526-920C1DB9DEB3}"/>
    <cellStyle name="Normal 12 3 26" xfId="4050" xr:uid="{E49DF20D-F4A4-438F-BA04-795E1C0CFE5B}"/>
    <cellStyle name="Normal 12 3 27" xfId="4051" xr:uid="{2A940C80-17FC-467D-98C1-F0E4CEF0B982}"/>
    <cellStyle name="Normal 12 3 28" xfId="4052" xr:uid="{DBB0CBA1-53AD-442B-9F86-0C66AE43C915}"/>
    <cellStyle name="Normal 12 3 29" xfId="4053" xr:uid="{716473BE-73A2-4D7D-A2EF-279E094051EE}"/>
    <cellStyle name="Normal 12 3 3" xfId="4054" xr:uid="{75FF22C6-973A-4ACD-8FEE-5DE788A041C1}"/>
    <cellStyle name="Normal 12 3 3 10" xfId="4055" xr:uid="{AB053835-8EFF-49FC-AF04-ABDE242C40C7}"/>
    <cellStyle name="Normal 12 3 3 11" xfId="4056" xr:uid="{04FEB28D-44C0-4F53-B022-C312DB0CBA2C}"/>
    <cellStyle name="Normal 12 3 3 12" xfId="4057" xr:uid="{F8ABDFB0-6842-491E-9C2A-EC166E0F2666}"/>
    <cellStyle name="Normal 12 3 3 13" xfId="4058" xr:uid="{8C1C32E7-C1AC-42A6-8E7D-2FD32E99D69F}"/>
    <cellStyle name="Normal 12 3 3 14" xfId="4059" xr:uid="{A5D64067-DE1A-4CDA-8D45-D01170B423F8}"/>
    <cellStyle name="Normal 12 3 3 15" xfId="4060" xr:uid="{D753873D-3662-40C0-914B-DA508C9A88D4}"/>
    <cellStyle name="Normal 12 3 3 16" xfId="4061" xr:uid="{D8FE5C3F-C2C6-40F5-8EC8-DA17929D41F4}"/>
    <cellStyle name="Normal 12 3 3 17" xfId="4062" xr:uid="{EA302B3F-46A7-431C-B437-7479AFAFD7B6}"/>
    <cellStyle name="Normal 12 3 3 18" xfId="4063" xr:uid="{20460036-4A24-4475-9932-D9ADAA1582CD}"/>
    <cellStyle name="Normal 12 3 3 19" xfId="4064" xr:uid="{C1462B3F-66D3-4843-8D11-62B6420E4CDE}"/>
    <cellStyle name="Normal 12 3 3 2" xfId="4065" xr:uid="{D901AB3E-CA5B-4A7A-800C-4F567EB54A01}"/>
    <cellStyle name="Normal 12 3 3 2 10" xfId="4066" xr:uid="{1CAEC45F-7BBF-4F28-846A-6C2FB04A9E23}"/>
    <cellStyle name="Normal 12 3 3 2 11" xfId="4067" xr:uid="{0FD1485E-33DB-4CD0-8EEF-F012BA631FEE}"/>
    <cellStyle name="Normal 12 3 3 2 12" xfId="4068" xr:uid="{C5FCB680-3DAC-41DD-A3A9-A4EA3C183B26}"/>
    <cellStyle name="Normal 12 3 3 2 13" xfId="4069" xr:uid="{81FB1ED6-C544-42FE-B9B6-E8958C7B9179}"/>
    <cellStyle name="Normal 12 3 3 2 14" xfId="4070" xr:uid="{8CABCD18-DB41-4AD6-A739-709E1DFBDED7}"/>
    <cellStyle name="Normal 12 3 3 2 15" xfId="4071" xr:uid="{9E777D6E-5DD1-4544-AD5E-B656786784DD}"/>
    <cellStyle name="Normal 12 3 3 2 16" xfId="4072" xr:uid="{39975CE1-6C08-470C-AA21-7F6170A42CD9}"/>
    <cellStyle name="Normal 12 3 3 2 17" xfId="4073" xr:uid="{BFD4CA64-7E98-4940-ACE6-48BFA1BA08C9}"/>
    <cellStyle name="Normal 12 3 3 2 18" xfId="4074" xr:uid="{D0DBB9C3-D7A2-4019-B248-BD2BC49B2D36}"/>
    <cellStyle name="Normal 12 3 3 2 19" xfId="4075" xr:uid="{600E9474-44A6-4C2E-981E-E7DA8E281FC5}"/>
    <cellStyle name="Normal 12 3 3 2 2" xfId="4076" xr:uid="{E8615901-1738-4608-B1D5-D0BEE482CC50}"/>
    <cellStyle name="Normal 12 3 3 2 20" xfId="4077" xr:uid="{0B4E57C7-B14E-49AC-AAC4-E39FBDC499D9}"/>
    <cellStyle name="Normal 12 3 3 2 21" xfId="4078" xr:uid="{04D177A0-77A1-41BA-9A03-4434F184DB3A}"/>
    <cellStyle name="Normal 12 3 3 2 22" xfId="4079" xr:uid="{641156D6-FC7D-4B70-80F5-F005A43DF123}"/>
    <cellStyle name="Normal 12 3 3 2 23" xfId="4080" xr:uid="{F31C7823-D857-4C1C-883E-DC628A5497B2}"/>
    <cellStyle name="Normal 12 3 3 2 24" xfId="4081" xr:uid="{47163E69-1466-4A1F-8AFE-19E982064665}"/>
    <cellStyle name="Normal 12 3 3 2 25" xfId="4082" xr:uid="{D3F0AD13-ED1C-4403-9540-047ACBAFF2ED}"/>
    <cellStyle name="Normal 12 3 3 2 26" xfId="4083" xr:uid="{85DD4617-C2C4-4A05-839E-5798440983E7}"/>
    <cellStyle name="Normal 12 3 3 2 27" xfId="4084" xr:uid="{ADC46D27-3BEB-45AB-AD9B-6D11ECC5BADC}"/>
    <cellStyle name="Normal 12 3 3 2 28" xfId="4085" xr:uid="{5C4842EE-8805-4ACC-9722-A89D32F116DD}"/>
    <cellStyle name="Normal 12 3 3 2 29" xfId="4086" xr:uid="{68BE9229-4373-4F47-A9C9-DB16C81D5D7E}"/>
    <cellStyle name="Normal 12 3 3 2 3" xfId="4087" xr:uid="{08131B13-BBE1-4A2C-8651-D066ED7B56CC}"/>
    <cellStyle name="Normal 12 3 3 2 30" xfId="4088" xr:uid="{46F6BB83-32B9-4C66-808D-61FA2B3978AB}"/>
    <cellStyle name="Normal 12 3 3 2 31" xfId="4089" xr:uid="{75AB904D-99FB-4DAF-97B1-F83DF08B2031}"/>
    <cellStyle name="Normal 12 3 3 2 32" xfId="4090" xr:uid="{C9A5A061-3C0D-495F-8E78-FFBCCA311A26}"/>
    <cellStyle name="Normal 12 3 3 2 33" xfId="4091" xr:uid="{E0D0ADC7-9F76-458A-AE3E-34ED13900217}"/>
    <cellStyle name="Normal 12 3 3 2 34" xfId="4092" xr:uid="{0A5B90C4-2738-471F-B3FA-7F811EC9F325}"/>
    <cellStyle name="Normal 12 3 3 2 35" xfId="4093" xr:uid="{5BA82DAB-C028-4F59-B44C-F0630E5A5AC9}"/>
    <cellStyle name="Normal 12 3 3 2 36" xfId="4094" xr:uid="{F77483FA-8683-4BF9-9305-6FA14FDBDEB0}"/>
    <cellStyle name="Normal 12 3 3 2 37" xfId="4095" xr:uid="{5E1C9724-B643-43C8-8508-7282DF5D4095}"/>
    <cellStyle name="Normal 12 3 3 2 38" xfId="4096" xr:uid="{9075FA7C-DC65-449A-A9C6-0F4415776C0E}"/>
    <cellStyle name="Normal 12 3 3 2 4" xfId="4097" xr:uid="{2460B76A-9154-4A6A-9B65-CC1F599DA69E}"/>
    <cellStyle name="Normal 12 3 3 2 5" xfId="4098" xr:uid="{401E646A-F42E-479C-92AF-53257B96F9DF}"/>
    <cellStyle name="Normal 12 3 3 2 6" xfId="4099" xr:uid="{0B19E1FC-2DE6-40D6-831E-40D674DB6539}"/>
    <cellStyle name="Normal 12 3 3 2 7" xfId="4100" xr:uid="{30068402-7B59-41CA-862E-9BAA093E1E9D}"/>
    <cellStyle name="Normal 12 3 3 2 8" xfId="4101" xr:uid="{9C243519-60D9-4EF0-8EA2-E3D40709CFAA}"/>
    <cellStyle name="Normal 12 3 3 2 9" xfId="4102" xr:uid="{BF5257C4-A66D-4B97-8BD4-61D399D52586}"/>
    <cellStyle name="Normal 12 3 3 20" xfId="4103" xr:uid="{C1093FF5-24A9-4731-B719-DB9520E67501}"/>
    <cellStyle name="Normal 12 3 3 21" xfId="4104" xr:uid="{B15B8DAF-C1F7-44F1-8210-22E0C01AD5A2}"/>
    <cellStyle name="Normal 12 3 3 22" xfId="4105" xr:uid="{5739D43E-10A2-4059-B452-3EC448C68881}"/>
    <cellStyle name="Normal 12 3 3 23" xfId="4106" xr:uid="{4B2DACE9-FD89-490C-B691-61DF593D99CD}"/>
    <cellStyle name="Normal 12 3 3 24" xfId="4107" xr:uid="{F0344D89-F56C-4B68-9458-5EEB7933B63C}"/>
    <cellStyle name="Normal 12 3 3 25" xfId="4108" xr:uid="{81AB3126-116E-4596-892A-674AB0E9652E}"/>
    <cellStyle name="Normal 12 3 3 26" xfId="4109" xr:uid="{9D39F1B8-9631-4BB4-8281-D9F152F8A32F}"/>
    <cellStyle name="Normal 12 3 3 27" xfId="4110" xr:uid="{64D9B2E2-77E6-4D3D-9332-5962F9EF34E3}"/>
    <cellStyle name="Normal 12 3 3 28" xfId="4111" xr:uid="{0B7350F0-F9C4-4A2F-935D-C607C084D4B1}"/>
    <cellStyle name="Normal 12 3 3 29" xfId="4112" xr:uid="{DA3E19A5-C0AB-4135-B742-1E72C25CCC3A}"/>
    <cellStyle name="Normal 12 3 3 3" xfId="4113" xr:uid="{9E1DCFCB-A2E1-47A5-B33C-EE99128FB596}"/>
    <cellStyle name="Normal 12 3 3 30" xfId="4114" xr:uid="{A2051DF1-CA62-4F76-BCAC-13C7253085B8}"/>
    <cellStyle name="Normal 12 3 3 31" xfId="4115" xr:uid="{14BABA9D-65BA-4B7B-B6EA-9CD74065BBF7}"/>
    <cellStyle name="Normal 12 3 3 32" xfId="4116" xr:uid="{370EC20B-918F-4FD5-A012-BA43A55DCA9D}"/>
    <cellStyle name="Normal 12 3 3 33" xfId="4117" xr:uid="{610FE314-A9A0-4FE2-B8BA-4CA6FCFD9BD0}"/>
    <cellStyle name="Normal 12 3 3 34" xfId="4118" xr:uid="{6394348C-D9D8-42A0-BF05-AF2E80CEFA40}"/>
    <cellStyle name="Normal 12 3 3 35" xfId="4119" xr:uid="{06D47347-B289-45B1-8CF2-1AD29EE0F6CB}"/>
    <cellStyle name="Normal 12 3 3 36" xfId="4120" xr:uid="{42BA2187-265A-4444-BD3D-F7390AFBEFFB}"/>
    <cellStyle name="Normal 12 3 3 37" xfId="4121" xr:uid="{232333F6-3C23-4288-9B03-C1C6C01A57B1}"/>
    <cellStyle name="Normal 12 3 3 38" xfId="4122" xr:uid="{FAB22F6A-CD3F-4A93-A4D0-99473C5D8826}"/>
    <cellStyle name="Normal 12 3 3 4" xfId="4123" xr:uid="{1634288D-917E-411E-A8A7-1530F6746627}"/>
    <cellStyle name="Normal 12 3 3 5" xfId="4124" xr:uid="{D42FF657-4A38-4A43-B162-11B7C19A0D3C}"/>
    <cellStyle name="Normal 12 3 3 6" xfId="4125" xr:uid="{F48AB0FF-E9B7-43C9-AFC7-6F1C0DF61333}"/>
    <cellStyle name="Normal 12 3 3 7" xfId="4126" xr:uid="{583014B9-798B-4880-BCA5-9237AD0D97BA}"/>
    <cellStyle name="Normal 12 3 3 8" xfId="4127" xr:uid="{6A23159F-6C28-4EDE-AA48-153B07C1E823}"/>
    <cellStyle name="Normal 12 3 3 9" xfId="4128" xr:uid="{081EE4BF-5CD7-4CE8-917A-CE88C06B9113}"/>
    <cellStyle name="Normal 12 3 30" xfId="4129" xr:uid="{D50973F2-B8C3-45CD-A88A-89989A6A7CE6}"/>
    <cellStyle name="Normal 12 3 31" xfId="4130" xr:uid="{DB71538D-D234-416C-A576-0CA0F5A76589}"/>
    <cellStyle name="Normal 12 3 32" xfId="4131" xr:uid="{64E4B1E7-8BD2-496D-8CBD-3A2155C7BFE3}"/>
    <cellStyle name="Normal 12 3 33" xfId="4132" xr:uid="{AF2CB306-0311-4706-8ACB-4213D294ED30}"/>
    <cellStyle name="Normal 12 3 34" xfId="4133" xr:uid="{B5EA6D4F-5AEE-471A-B8E0-A66EC85A62AD}"/>
    <cellStyle name="Normal 12 3 35" xfId="4134" xr:uid="{F3381C94-5E27-4091-A202-4CEE0F7C6B2F}"/>
    <cellStyle name="Normal 12 3 36" xfId="4135" xr:uid="{107DF0D4-2F50-4D50-B8D8-5E565722B432}"/>
    <cellStyle name="Normal 12 3 37" xfId="4136" xr:uid="{D2A75D45-3B84-43A2-BD71-E62D08BDDC65}"/>
    <cellStyle name="Normal 12 3 38" xfId="4137" xr:uid="{461FF2B2-B394-4847-8A1F-DF7B6C2D949F}"/>
    <cellStyle name="Normal 12 3 39" xfId="4138" xr:uid="{1DD33610-D276-419A-AFB9-96C63D609F7A}"/>
    <cellStyle name="Normal 12 3 4" xfId="4139" xr:uid="{CE918AAB-F892-40F0-BD6F-18F2ED82A07B}"/>
    <cellStyle name="Normal 12 3 40" xfId="4140" xr:uid="{551B57EE-EF30-4A57-A8CA-2598288F087E}"/>
    <cellStyle name="Normal 12 3 5" xfId="4141" xr:uid="{3B8AA9F4-AFE7-4C8D-81EB-29D2FB28086C}"/>
    <cellStyle name="Normal 12 3 6" xfId="4142" xr:uid="{F8F9E00F-A826-4493-BE9A-323B9E80ED12}"/>
    <cellStyle name="Normal 12 3 7" xfId="4143" xr:uid="{028DDB25-0438-4992-8D3A-C2F853999055}"/>
    <cellStyle name="Normal 12 3 8" xfId="4144" xr:uid="{1936DF28-2FF0-4901-94C5-E44A9C6B20EA}"/>
    <cellStyle name="Normal 12 3 9" xfId="4145" xr:uid="{0315F85C-CD05-42E8-B56B-4B7CC64DBAC0}"/>
    <cellStyle name="Normal 12 30" xfId="4146" xr:uid="{A8B14324-B197-4D43-A44F-3B1375A03C3A}"/>
    <cellStyle name="Normal 12 31" xfId="4147" xr:uid="{4F8CDBAF-E4BC-4736-B0F2-F43F28312A57}"/>
    <cellStyle name="Normal 12 32" xfId="4148" xr:uid="{858AD53C-7EFF-40BF-A954-CA6BFDB7E326}"/>
    <cellStyle name="Normal 12 33" xfId="4149" xr:uid="{12FE71E6-D3F4-4551-8AB9-E5A09DB3D89F}"/>
    <cellStyle name="Normal 12 34" xfId="4150" xr:uid="{623CE825-C523-4A85-9A7E-1818BB9D4809}"/>
    <cellStyle name="Normal 12 35" xfId="4151" xr:uid="{CC7ACD15-9A1B-49EC-A307-95ADFD3B17C5}"/>
    <cellStyle name="Normal 12 36" xfId="4152" xr:uid="{010D650A-D07E-4A9E-A8EA-727195029F93}"/>
    <cellStyle name="Normal 12 37" xfId="4153" xr:uid="{2401D2C9-C214-486C-BDDC-379E0165877B}"/>
    <cellStyle name="Normal 12 38" xfId="4154" xr:uid="{D19C3C4F-1207-4032-B368-80F680CCE2F6}"/>
    <cellStyle name="Normal 12 39" xfId="4155" xr:uid="{33E633E1-98AD-49EC-BE28-D2145793ECED}"/>
    <cellStyle name="Normal 12 4" xfId="4156" xr:uid="{20FBEE0F-F009-461C-88DF-BBFCEE4253D7}"/>
    <cellStyle name="Normal 12 40" xfId="4157" xr:uid="{83CB735D-B8CC-4DBB-A70E-233E0A542820}"/>
    <cellStyle name="Normal 12 41" xfId="4158" xr:uid="{68D54449-1B08-449E-BCEF-8646EA3CA6E2}"/>
    <cellStyle name="Normal 12 42" xfId="4159" xr:uid="{704C5A0F-C75E-48EE-9310-F152EA22201B}"/>
    <cellStyle name="Normal 12 43" xfId="4160" xr:uid="{8FA5B103-1EFB-4AAC-A24B-F06D3B0FE22F}"/>
    <cellStyle name="Normal 12 44" xfId="4161" xr:uid="{042C20CC-C02F-4286-AC94-2910F2657EE8}"/>
    <cellStyle name="Normal 12 45" xfId="4162" xr:uid="{0DEE8D5D-EF62-410E-A288-5BF9D21D4A8F}"/>
    <cellStyle name="Normal 12 46" xfId="4163" xr:uid="{ED726739-4445-42C4-BF0C-E157CD9F3E65}"/>
    <cellStyle name="Normal 12 47" xfId="4164" xr:uid="{D17120E7-C9AF-48FB-89AE-56A93B280AA7}"/>
    <cellStyle name="Normal 12 48" xfId="4165" xr:uid="{92EB4439-EC02-477B-80D1-6AE44B15B990}"/>
    <cellStyle name="Normal 12 49" xfId="4166" xr:uid="{ADB74A22-856B-42E7-A851-B45819E4ECAB}"/>
    <cellStyle name="Normal 12 5" xfId="4167" xr:uid="{5CDA5A56-82D8-4141-ADD9-E4B187E8FB2F}"/>
    <cellStyle name="Normal 12 50" xfId="4168" xr:uid="{68CC9423-DE56-4F0C-A257-22EB45586F27}"/>
    <cellStyle name="Normal 12 51" xfId="4169" xr:uid="{E6EBC1B2-CBF8-4FF3-98BA-9240D7D505BF}"/>
    <cellStyle name="Normal 12 52" xfId="4170" xr:uid="{71B47B32-AC3E-4498-AF3D-EE36A42015FD}"/>
    <cellStyle name="Normal 12 53" xfId="4171" xr:uid="{5C26DD61-5270-4B7D-BF02-AC6697C2CD50}"/>
    <cellStyle name="Normal 12 6" xfId="4172" xr:uid="{398F74D1-4C5A-44E0-A4C7-90FC399AB53B}"/>
    <cellStyle name="Normal 12 7" xfId="4173" xr:uid="{5ED8D8A7-6838-4325-8EA7-0B67D6E97D57}"/>
    <cellStyle name="Normal 12 8" xfId="4174" xr:uid="{7E5E5372-F244-4FCD-8476-AA5700E5B7AE}"/>
    <cellStyle name="Normal 12 9" xfId="4175" xr:uid="{3CF8E7FF-46F3-476E-814F-987426316E8F}"/>
    <cellStyle name="Normal 13" xfId="4176" xr:uid="{DEADAA7D-0EFF-4E28-A071-8306743D7E33}"/>
    <cellStyle name="Normal 13 10" xfId="4177" xr:uid="{3D5573B8-2AEF-4AE5-984A-5BC21C54B7A8}"/>
    <cellStyle name="Normal 13 11" xfId="4178" xr:uid="{A9B45B55-7912-4A63-AA23-8D5D0236813F}"/>
    <cellStyle name="Normal 13 12" xfId="4179" xr:uid="{F7AD04BA-E18E-47EC-B640-62A702FF5A94}"/>
    <cellStyle name="Normal 13 13" xfId="4180" xr:uid="{8D023895-0C57-4AF3-9619-F65963A77F6F}"/>
    <cellStyle name="Normal 13 14" xfId="4181" xr:uid="{27F2FF64-3CEC-457E-875E-51B3371D9F60}"/>
    <cellStyle name="Normal 13 15" xfId="4182" xr:uid="{89108CFA-B328-4183-BBAE-4C6CA4451F14}"/>
    <cellStyle name="Normal 13 16" xfId="4183" xr:uid="{717018D7-658C-499B-8DC3-2E5A6AF1C2AE}"/>
    <cellStyle name="Normal 13 17" xfId="4184" xr:uid="{7ACB5DB4-D559-487A-8BA0-BB4AA1819902}"/>
    <cellStyle name="Normal 13 18" xfId="4185" xr:uid="{4F8E2310-AA54-4F7D-91EB-1B5AEE0BF82A}"/>
    <cellStyle name="Normal 13 19" xfId="4186" xr:uid="{5D7D63E6-C86F-409A-A673-171C34225F8D}"/>
    <cellStyle name="Normal 13 2" xfId="4187" xr:uid="{777351AB-983C-4E61-8249-723CC2C92899}"/>
    <cellStyle name="Normal 13 2 10" xfId="4188" xr:uid="{B95EFC50-BB53-4EBE-ACAD-824928989952}"/>
    <cellStyle name="Normal 13 2 11" xfId="4189" xr:uid="{7E647E37-438A-418F-8561-500FCEEC5964}"/>
    <cellStyle name="Normal 13 2 12" xfId="4190" xr:uid="{7CE57D3E-E8C2-4327-BFD7-EAEB39F4894C}"/>
    <cellStyle name="Normal 13 2 13" xfId="4191" xr:uid="{FE58AD24-CCCA-4631-9FA3-BF038F0132E0}"/>
    <cellStyle name="Normal 13 2 14" xfId="4192" xr:uid="{2F74B5A4-D6E7-45C8-B4A6-0EF78EB61E6F}"/>
    <cellStyle name="Normal 13 2 15" xfId="4193" xr:uid="{4EB44B8C-3E87-4E8A-81AE-5C6C8675F4CB}"/>
    <cellStyle name="Normal 13 2 16" xfId="4194" xr:uid="{9DFCA7D3-47DE-49A0-BA40-CCC620A69D47}"/>
    <cellStyle name="Normal 13 2 17" xfId="4195" xr:uid="{D4CA286F-2427-4C8E-90BD-8CAAB8C193E4}"/>
    <cellStyle name="Normal 13 2 18" xfId="4196" xr:uid="{34ECA328-A042-4972-95A9-600EA09BAC49}"/>
    <cellStyle name="Normal 13 2 19" xfId="4197" xr:uid="{128F2C4B-3058-4B4E-A254-39725F37C110}"/>
    <cellStyle name="Normal 13 2 2" xfId="4198" xr:uid="{3676C39C-70FA-488C-9594-058761E4E895}"/>
    <cellStyle name="Normal 13 2 2 10" xfId="4199" xr:uid="{9B6AF3C5-87BD-40BB-8C59-70FB03931A55}"/>
    <cellStyle name="Normal 13 2 2 11" xfId="4200" xr:uid="{0C15A1B4-E4E2-4C02-948A-C1D55D4B264F}"/>
    <cellStyle name="Normal 13 2 2 12" xfId="4201" xr:uid="{7F3D7933-EE05-4AFD-90FD-E1AACFC53C2D}"/>
    <cellStyle name="Normal 13 2 2 13" xfId="4202" xr:uid="{9C1F309F-AD93-42D1-A092-BDAC1631185A}"/>
    <cellStyle name="Normal 13 2 2 14" xfId="4203" xr:uid="{E7484B32-2065-4501-82D7-F32EACC20F89}"/>
    <cellStyle name="Normal 13 2 2 15" xfId="4204" xr:uid="{8787921E-CACC-402B-B6EB-4E4049E344FD}"/>
    <cellStyle name="Normal 13 2 2 16" xfId="4205" xr:uid="{F3DB2E5F-342F-4390-A34F-0B56B4D9D575}"/>
    <cellStyle name="Normal 13 2 2 17" xfId="4206" xr:uid="{1B7EA840-B24B-42F1-9CC7-B36E7FB70550}"/>
    <cellStyle name="Normal 13 2 2 18" xfId="4207" xr:uid="{E2C478D7-36FB-4EE7-8C27-760E32ACEC2A}"/>
    <cellStyle name="Normal 13 2 2 19" xfId="4208" xr:uid="{47A37106-F1F4-4C82-BF9D-42CDF9CD8128}"/>
    <cellStyle name="Normal 13 2 2 2" xfId="4209" xr:uid="{D8AA9AE9-AC9C-46BE-A32C-22E19FED3585}"/>
    <cellStyle name="Normal 13 2 2 2 10" xfId="4210" xr:uid="{4E5A4BF6-3183-4475-B35A-0EB0AFF467CD}"/>
    <cellStyle name="Normal 13 2 2 2 11" xfId="4211" xr:uid="{595FD748-078F-4AC6-AD2F-833ECA523C1D}"/>
    <cellStyle name="Normal 13 2 2 2 12" xfId="4212" xr:uid="{2AF275B9-F70B-4C4F-979F-70A2CF961AE9}"/>
    <cellStyle name="Normal 13 2 2 2 13" xfId="4213" xr:uid="{60F2F40A-FFCE-4464-8314-6663A432FA9D}"/>
    <cellStyle name="Normal 13 2 2 2 14" xfId="4214" xr:uid="{6C97360B-189F-45D5-9AC3-B61E02F2A552}"/>
    <cellStyle name="Normal 13 2 2 2 15" xfId="4215" xr:uid="{C3803F16-F37E-4F6B-B04B-8E5E0CD1C1CA}"/>
    <cellStyle name="Normal 13 2 2 2 16" xfId="4216" xr:uid="{E9F32FCD-E787-4378-8CA2-383C1E530D45}"/>
    <cellStyle name="Normal 13 2 2 2 17" xfId="4217" xr:uid="{89E0A143-B55C-41FB-B4B0-497BA06126CF}"/>
    <cellStyle name="Normal 13 2 2 2 18" xfId="4218" xr:uid="{1D79F280-226E-4582-87B4-3C51CC8F6231}"/>
    <cellStyle name="Normal 13 2 2 2 19" xfId="4219" xr:uid="{16EF94B1-D893-46AA-A549-63F3D6DAD4F4}"/>
    <cellStyle name="Normal 13 2 2 2 2" xfId="4220" xr:uid="{A86BFE64-646D-44C0-8E2B-E3BB929F3675}"/>
    <cellStyle name="Normal 13 2 2 2 2 10" xfId="4221" xr:uid="{C69DFEC9-EFEC-49C9-AC30-C090A6B1293A}"/>
    <cellStyle name="Normal 13 2 2 2 2 11" xfId="4222" xr:uid="{C5DAE1FF-240A-43C9-B9D4-A79AE667C71C}"/>
    <cellStyle name="Normal 13 2 2 2 2 12" xfId="4223" xr:uid="{DEFFCDBF-BB6C-42BF-B080-C3CA10EB813D}"/>
    <cellStyle name="Normal 13 2 2 2 2 13" xfId="4224" xr:uid="{94B1AD42-FF4E-42FC-8005-D7878D8A495E}"/>
    <cellStyle name="Normal 13 2 2 2 2 14" xfId="4225" xr:uid="{C654A4B1-6EA2-4635-B128-A610DB301AE4}"/>
    <cellStyle name="Normal 13 2 2 2 2 15" xfId="4226" xr:uid="{1090A60A-5D5D-4F22-A690-EC097322CBC0}"/>
    <cellStyle name="Normal 13 2 2 2 2 16" xfId="4227" xr:uid="{A1C54CBD-675F-4261-AB28-D0E2B4B2A79B}"/>
    <cellStyle name="Normal 13 2 2 2 2 17" xfId="4228" xr:uid="{D5EFA25B-3FB9-41F9-B213-A5357A4C5A2D}"/>
    <cellStyle name="Normal 13 2 2 2 2 18" xfId="4229" xr:uid="{C7419B07-89D3-470F-8927-792FD2F84344}"/>
    <cellStyle name="Normal 13 2 2 2 2 19" xfId="4230" xr:uid="{9B1796D9-05BC-433E-B8DB-469ED506FEFE}"/>
    <cellStyle name="Normal 13 2 2 2 2 2" xfId="4231" xr:uid="{10F65AD7-7230-47F5-9D8D-9162DB457D5A}"/>
    <cellStyle name="Normal 13 2 2 2 2 20" xfId="4232" xr:uid="{65F59E35-513C-4D9F-988C-1BCCCD0E694D}"/>
    <cellStyle name="Normal 13 2 2 2 2 21" xfId="4233" xr:uid="{171BA51A-BAB2-4D95-90D0-AAEFB8E69B93}"/>
    <cellStyle name="Normal 13 2 2 2 2 22" xfId="4234" xr:uid="{9DA7E9D3-584B-42C3-95DB-387DAEE7ADB0}"/>
    <cellStyle name="Normal 13 2 2 2 2 23" xfId="4235" xr:uid="{5A561871-8A48-40BB-A401-754B1B7E4BCA}"/>
    <cellStyle name="Normal 13 2 2 2 2 24" xfId="4236" xr:uid="{580803CE-5AF9-468C-9305-E70FC88C4D48}"/>
    <cellStyle name="Normal 13 2 2 2 2 25" xfId="4237" xr:uid="{944FCD55-CDEA-43ED-8364-646F5B7C6294}"/>
    <cellStyle name="Normal 13 2 2 2 2 26" xfId="4238" xr:uid="{4C38C7C5-B797-48AE-92E0-50229C153063}"/>
    <cellStyle name="Normal 13 2 2 2 2 27" xfId="4239" xr:uid="{DA79E139-95D1-46DC-A53B-19EAD572A521}"/>
    <cellStyle name="Normal 13 2 2 2 2 28" xfId="4240" xr:uid="{6D707A4A-BA85-40AC-B955-671819988FF2}"/>
    <cellStyle name="Normal 13 2 2 2 2 29" xfId="4241" xr:uid="{D125709E-AB1D-438F-A0E7-6BBF06FE389E}"/>
    <cellStyle name="Normal 13 2 2 2 2 3" xfId="4242" xr:uid="{DD927DA3-9D2D-455A-8849-8DF00AD76C3F}"/>
    <cellStyle name="Normal 13 2 2 2 2 30" xfId="4243" xr:uid="{947CDAE1-6000-4FD0-9970-2C27333F15CF}"/>
    <cellStyle name="Normal 13 2 2 2 2 31" xfId="4244" xr:uid="{C8CFA6D4-02B0-4B7E-B60B-D0B662F8B17E}"/>
    <cellStyle name="Normal 13 2 2 2 2 32" xfId="4245" xr:uid="{CD5E9624-F13E-49CA-9ECC-8979BE5DB410}"/>
    <cellStyle name="Normal 13 2 2 2 2 33" xfId="4246" xr:uid="{16BF8742-3B84-4902-AFCC-E05CE0E3265E}"/>
    <cellStyle name="Normal 13 2 2 2 2 34" xfId="4247" xr:uid="{D4F2005A-CCD9-4FAC-9CB4-203564A4FEA6}"/>
    <cellStyle name="Normal 13 2 2 2 2 35" xfId="4248" xr:uid="{B64C48A9-F8A7-4B4E-BAD7-4A1B5C6FD6E9}"/>
    <cellStyle name="Normal 13 2 2 2 2 36" xfId="4249" xr:uid="{2EB66363-78B9-47EF-8329-21CFFC683848}"/>
    <cellStyle name="Normal 13 2 2 2 2 37" xfId="4250" xr:uid="{2301A439-A997-4BC9-9A16-3F25C6505B71}"/>
    <cellStyle name="Normal 13 2 2 2 2 38" xfId="4251" xr:uid="{8920EBE4-B1FA-4354-BF89-98399BC5FDC9}"/>
    <cellStyle name="Normal 13 2 2 2 2 4" xfId="4252" xr:uid="{B0E185EA-185D-4143-8BC2-C39FB6B09D50}"/>
    <cellStyle name="Normal 13 2 2 2 2 5" xfId="4253" xr:uid="{5DBAB84D-C0FA-44AC-9DFC-00237FE859B8}"/>
    <cellStyle name="Normal 13 2 2 2 2 6" xfId="4254" xr:uid="{C93732BC-D462-4317-ADFF-490ED5C77195}"/>
    <cellStyle name="Normal 13 2 2 2 2 7" xfId="4255" xr:uid="{A99E1C5A-78BC-427B-92B8-9EB79C36CD39}"/>
    <cellStyle name="Normal 13 2 2 2 2 8" xfId="4256" xr:uid="{49C5B153-8CF7-4020-8C58-DAB492DABFE9}"/>
    <cellStyle name="Normal 13 2 2 2 2 9" xfId="4257" xr:uid="{BE97E047-AD16-4F52-AFB7-FBA2493DF636}"/>
    <cellStyle name="Normal 13 2 2 2 20" xfId="4258" xr:uid="{626410F8-147B-4C06-933F-749262A5B7B4}"/>
    <cellStyle name="Normal 13 2 2 2 21" xfId="4259" xr:uid="{D6649920-96ED-48D1-90B5-B6EC98FFE8F2}"/>
    <cellStyle name="Normal 13 2 2 2 22" xfId="4260" xr:uid="{177D669C-17F1-446E-B2AB-98FEDF638959}"/>
    <cellStyle name="Normal 13 2 2 2 23" xfId="4261" xr:uid="{14EE5804-F8E7-473D-938E-240FB1E54135}"/>
    <cellStyle name="Normal 13 2 2 2 24" xfId="4262" xr:uid="{FC096802-6D38-4395-ABD0-853F77F56610}"/>
    <cellStyle name="Normal 13 2 2 2 25" xfId="4263" xr:uid="{F6BD385D-3187-4677-800E-1A84FABCE478}"/>
    <cellStyle name="Normal 13 2 2 2 26" xfId="4264" xr:uid="{F70DAA44-93F4-4D6F-87BC-1452CECE7830}"/>
    <cellStyle name="Normal 13 2 2 2 27" xfId="4265" xr:uid="{0F83BDC9-980B-42FE-8EBE-35C428668BE6}"/>
    <cellStyle name="Normal 13 2 2 2 28" xfId="4266" xr:uid="{45D14A25-E882-4F86-9B9B-A2638891AC97}"/>
    <cellStyle name="Normal 13 2 2 2 29" xfId="4267" xr:uid="{7F098A6E-812B-403F-A3E2-930E0B0879B6}"/>
    <cellStyle name="Normal 13 2 2 2 3" xfId="4268" xr:uid="{79FB051A-7963-4349-8883-A4213112E8FF}"/>
    <cellStyle name="Normal 13 2 2 2 30" xfId="4269" xr:uid="{FB050471-EED3-49D6-8FF7-DDDFB513B767}"/>
    <cellStyle name="Normal 13 2 2 2 31" xfId="4270" xr:uid="{117BAEE5-C34B-4DA1-B807-C8AE49954C06}"/>
    <cellStyle name="Normal 13 2 2 2 32" xfId="4271" xr:uid="{73D360F0-9755-43B0-B6B4-339052F4CAAB}"/>
    <cellStyle name="Normal 13 2 2 2 33" xfId="4272" xr:uid="{AF7EF9D1-9744-4A66-BD22-2DFC1F5EAF4F}"/>
    <cellStyle name="Normal 13 2 2 2 34" xfId="4273" xr:uid="{367F8837-0FA3-4FF7-A8CA-1E5BD07D92B8}"/>
    <cellStyle name="Normal 13 2 2 2 35" xfId="4274" xr:uid="{C64DA6FC-1DBA-4BBE-965D-6D99B939C6B9}"/>
    <cellStyle name="Normal 13 2 2 2 36" xfId="4275" xr:uid="{B255AE9E-E37D-4694-9A6F-A33CDDE2E904}"/>
    <cellStyle name="Normal 13 2 2 2 37" xfId="4276" xr:uid="{3066B35A-171E-4604-916E-64B7B3B361EE}"/>
    <cellStyle name="Normal 13 2 2 2 38" xfId="4277" xr:uid="{1C30EB0E-A220-4664-9A68-DA4CD744EFCF}"/>
    <cellStyle name="Normal 13 2 2 2 4" xfId="4278" xr:uid="{719529A3-4AC4-4E75-9E59-02925FFC9FFB}"/>
    <cellStyle name="Normal 13 2 2 2 5" xfId="4279" xr:uid="{90B07174-A4BA-40AF-BEA2-2814A031CA0C}"/>
    <cellStyle name="Normal 13 2 2 2 6" xfId="4280" xr:uid="{024BC2D5-F9EA-45BE-8B55-A7BCC9E6898F}"/>
    <cellStyle name="Normal 13 2 2 2 7" xfId="4281" xr:uid="{1E4D679C-D13E-4005-99A8-40B5345BC010}"/>
    <cellStyle name="Normal 13 2 2 2 8" xfId="4282" xr:uid="{00EC3D05-125F-4B21-8845-185900C903E9}"/>
    <cellStyle name="Normal 13 2 2 2 9" xfId="4283" xr:uid="{B03C4D9B-C5B8-472C-8F82-0D957CB133B6}"/>
    <cellStyle name="Normal 13 2 2 20" xfId="4284" xr:uid="{E38CE5ED-73E2-4135-A57D-88B2786B3E27}"/>
    <cellStyle name="Normal 13 2 2 21" xfId="4285" xr:uid="{C67D70D9-E4BA-46BA-9452-2DBB7B542A49}"/>
    <cellStyle name="Normal 13 2 2 22" xfId="4286" xr:uid="{AB553366-A22C-4ED1-8B08-8660CA91D145}"/>
    <cellStyle name="Normal 13 2 2 23" xfId="4287" xr:uid="{FB9F64F9-02C9-40F3-943C-3E939A32462C}"/>
    <cellStyle name="Normal 13 2 2 24" xfId="4288" xr:uid="{5CAF7554-7EDE-4305-9E56-FA80ABF16A42}"/>
    <cellStyle name="Normal 13 2 2 25" xfId="4289" xr:uid="{00A52EB5-3B20-45F6-B5B9-B091FE7C8345}"/>
    <cellStyle name="Normal 13 2 2 26" xfId="4290" xr:uid="{C2476BFA-8ECD-43CD-BF6D-28B118F64090}"/>
    <cellStyle name="Normal 13 2 2 27" xfId="4291" xr:uid="{45CE9E7B-A0BB-4E67-819A-EED26D416C9B}"/>
    <cellStyle name="Normal 13 2 2 28" xfId="4292" xr:uid="{D711B0D2-3DAA-45BA-8989-3DE4C492771F}"/>
    <cellStyle name="Normal 13 2 2 29" xfId="4293" xr:uid="{9EFBF88A-26D2-4ACA-907C-5837B23E6219}"/>
    <cellStyle name="Normal 13 2 2 3" xfId="4294" xr:uid="{230A051F-7B0E-4387-B06F-C4B7679163FC}"/>
    <cellStyle name="Normal 13 2 2 30" xfId="4295" xr:uid="{AEF7776F-8635-4C8E-8731-DFFE5C4C96CA}"/>
    <cellStyle name="Normal 13 2 2 31" xfId="4296" xr:uid="{310882A8-C605-45E3-83D4-38B77E7754B5}"/>
    <cellStyle name="Normal 13 2 2 32" xfId="4297" xr:uid="{798CB2D5-D3BD-49CD-8323-3C4321071D6F}"/>
    <cellStyle name="Normal 13 2 2 33" xfId="4298" xr:uid="{B8B222A3-3338-427A-818C-B223E794F8FC}"/>
    <cellStyle name="Normal 13 2 2 34" xfId="4299" xr:uid="{99715C22-FBCD-445C-A75A-F0FAA07FEC30}"/>
    <cellStyle name="Normal 13 2 2 35" xfId="4300" xr:uid="{6DA85273-C4E7-401C-94FC-526AA94D6C6F}"/>
    <cellStyle name="Normal 13 2 2 36" xfId="4301" xr:uid="{AA3619DC-B6C2-4792-A849-D1860AB90E07}"/>
    <cellStyle name="Normal 13 2 2 37" xfId="4302" xr:uid="{3B15438D-2E80-47B9-A5E8-13D166D57E4A}"/>
    <cellStyle name="Normal 13 2 2 38" xfId="4303" xr:uid="{BAA037E4-94BA-457E-BE86-76D4783278CB}"/>
    <cellStyle name="Normal 13 2 2 39" xfId="4304" xr:uid="{FB97689B-3490-4413-96D6-B6267079B585}"/>
    <cellStyle name="Normal 13 2 2 4" xfId="4305" xr:uid="{E5E05463-E4C0-4712-923D-E840DE65FE21}"/>
    <cellStyle name="Normal 13 2 2 40" xfId="4306" xr:uid="{C501C8E4-C2FA-45AA-8E95-5BBBFE1DB602}"/>
    <cellStyle name="Normal 13 2 2 5" xfId="4307" xr:uid="{A4CBF582-76BD-4BA3-9DF8-42AA3E5B7505}"/>
    <cellStyle name="Normal 13 2 2 6" xfId="4308" xr:uid="{6AD8D10C-C1B6-4078-82F9-57EE2EB61893}"/>
    <cellStyle name="Normal 13 2 2 7" xfId="4309" xr:uid="{EC6D8E9C-E903-48EC-8E2F-B228CA94C86C}"/>
    <cellStyle name="Normal 13 2 2 8" xfId="4310" xr:uid="{2281B77A-9FE9-4B59-B441-29C29D8FF217}"/>
    <cellStyle name="Normal 13 2 2 9" xfId="4311" xr:uid="{50FF2F89-EBC8-4054-AB9C-293F8B2751D1}"/>
    <cellStyle name="Normal 13 2 20" xfId="4312" xr:uid="{B428DB6C-F6ED-4EDD-BFC6-CE1B016144DE}"/>
    <cellStyle name="Normal 13 2 21" xfId="4313" xr:uid="{CAABC2B8-EB1A-4CE8-98F4-42F06FD0B1AB}"/>
    <cellStyle name="Normal 13 2 22" xfId="4314" xr:uid="{999F9B5D-1FDB-4355-B258-56DCF557227B}"/>
    <cellStyle name="Normal 13 2 23" xfId="4315" xr:uid="{E3140BD6-B257-4E1E-A406-C5D3ACB14646}"/>
    <cellStyle name="Normal 13 2 24" xfId="4316" xr:uid="{598C2517-E6A3-4234-BABF-B8C53B932D88}"/>
    <cellStyle name="Normal 13 2 25" xfId="4317" xr:uid="{E3FF37E1-264C-4B83-92F9-F11D1BB91856}"/>
    <cellStyle name="Normal 13 2 26" xfId="4318" xr:uid="{50361F1F-904A-4B51-91EC-CCB28B5DEB27}"/>
    <cellStyle name="Normal 13 2 27" xfId="4319" xr:uid="{6891EF53-C60F-4698-806B-F120B82612F3}"/>
    <cellStyle name="Normal 13 2 28" xfId="4320" xr:uid="{9E608DA6-B0A4-49CE-80B8-B21013491F92}"/>
    <cellStyle name="Normal 13 2 29" xfId="4321" xr:uid="{4C03506A-6496-4A91-B739-D837C22B4DBD}"/>
    <cellStyle name="Normal 13 2 3" xfId="4322" xr:uid="{4B41D53A-71DA-4D44-9099-D03E4899382B}"/>
    <cellStyle name="Normal 13 2 3 10" xfId="4323" xr:uid="{E3193227-1735-4B14-BA2D-8E506310BAE8}"/>
    <cellStyle name="Normal 13 2 3 11" xfId="4324" xr:uid="{FDCEB5A0-1CD4-443A-9151-303871143C30}"/>
    <cellStyle name="Normal 13 2 3 12" xfId="4325" xr:uid="{7AF13A95-7B14-4AD1-B933-E12F40CDF74F}"/>
    <cellStyle name="Normal 13 2 3 13" xfId="4326" xr:uid="{00C3B352-E9F7-4FE6-9B7E-943BB73B7303}"/>
    <cellStyle name="Normal 13 2 3 14" xfId="4327" xr:uid="{9CEBDD16-3CC8-4979-8F97-3C3A0ECCF92C}"/>
    <cellStyle name="Normal 13 2 3 15" xfId="4328" xr:uid="{AF389D62-6EDA-47CC-92DC-218C8420723A}"/>
    <cellStyle name="Normal 13 2 3 16" xfId="4329" xr:uid="{3CEEA259-56CF-4ED4-838C-F6BF5EA73030}"/>
    <cellStyle name="Normal 13 2 3 17" xfId="4330" xr:uid="{A3A6F7D7-848F-4E31-84B4-951953564117}"/>
    <cellStyle name="Normal 13 2 3 18" xfId="4331" xr:uid="{0181A425-8C65-4EF7-BFB0-F01260586908}"/>
    <cellStyle name="Normal 13 2 3 19" xfId="4332" xr:uid="{6242E4F9-4C9E-4AC4-AF6A-FEF408202703}"/>
    <cellStyle name="Normal 13 2 3 2" xfId="4333" xr:uid="{0B844950-F1F2-48B3-ABFC-0D59C7DF4719}"/>
    <cellStyle name="Normal 13 2 3 2 10" xfId="4334" xr:uid="{3178B4F6-3E43-4876-A448-01D332EB18AD}"/>
    <cellStyle name="Normal 13 2 3 2 11" xfId="4335" xr:uid="{7E51BD5A-C2ED-4255-A3B7-5112976B5D70}"/>
    <cellStyle name="Normal 13 2 3 2 12" xfId="4336" xr:uid="{84B9938D-5620-469E-86BC-274136E6A8C0}"/>
    <cellStyle name="Normal 13 2 3 2 13" xfId="4337" xr:uid="{D8F904CE-B9FA-4D2D-9DD2-C4B059FA66AE}"/>
    <cellStyle name="Normal 13 2 3 2 14" xfId="4338" xr:uid="{D67BC72E-2D0F-496C-A2CE-1BC749F70163}"/>
    <cellStyle name="Normal 13 2 3 2 15" xfId="4339" xr:uid="{28C42264-FF79-4BD9-A711-DFC6F661BAC2}"/>
    <cellStyle name="Normal 13 2 3 2 16" xfId="4340" xr:uid="{101907CA-1A1A-4859-93D9-ED2167E8157D}"/>
    <cellStyle name="Normal 13 2 3 2 17" xfId="4341" xr:uid="{23082DC9-87C9-4618-ACA8-737564F9211A}"/>
    <cellStyle name="Normal 13 2 3 2 18" xfId="4342" xr:uid="{9CFDA120-FB80-4B9E-A532-AC8EB0B8C605}"/>
    <cellStyle name="Normal 13 2 3 2 19" xfId="4343" xr:uid="{52710DFD-0F44-4580-A90B-A9568FBBC034}"/>
    <cellStyle name="Normal 13 2 3 2 2" xfId="4344" xr:uid="{5624C952-1C34-4FD1-BD5E-2FAA1310BB80}"/>
    <cellStyle name="Normal 13 2 3 2 20" xfId="4345" xr:uid="{4D89CD09-ACC1-4D9C-8BFB-0DC50A388C6A}"/>
    <cellStyle name="Normal 13 2 3 2 21" xfId="4346" xr:uid="{33B3AA4B-ED14-4368-BCF9-ED801ED1C1B6}"/>
    <cellStyle name="Normal 13 2 3 2 22" xfId="4347" xr:uid="{656145BB-BDD6-499A-A57C-B44AD348D3CC}"/>
    <cellStyle name="Normal 13 2 3 2 23" xfId="4348" xr:uid="{A7DE706E-A2EF-4203-9800-C8B84F645519}"/>
    <cellStyle name="Normal 13 2 3 2 24" xfId="4349" xr:uid="{3310270E-6C99-4F74-99F7-CB7291453A78}"/>
    <cellStyle name="Normal 13 2 3 2 25" xfId="4350" xr:uid="{7AF8EE21-D473-4DF5-A582-7E1D5BCF81C3}"/>
    <cellStyle name="Normal 13 2 3 2 26" xfId="4351" xr:uid="{86B36BE1-C010-4424-A3C9-85D338FC3B3F}"/>
    <cellStyle name="Normal 13 2 3 2 27" xfId="4352" xr:uid="{94339EA6-D050-476F-8057-001D9293E63F}"/>
    <cellStyle name="Normal 13 2 3 2 28" xfId="4353" xr:uid="{C2CAB0A3-59A3-4C06-B9EB-05E11887A232}"/>
    <cellStyle name="Normal 13 2 3 2 29" xfId="4354" xr:uid="{F0E7F2C7-C557-43D7-A6EB-4277637E60B0}"/>
    <cellStyle name="Normal 13 2 3 2 3" xfId="4355" xr:uid="{1A24EC4A-AD2F-432C-99DC-D8FC0E2FA11E}"/>
    <cellStyle name="Normal 13 2 3 2 30" xfId="4356" xr:uid="{A018956C-0EFD-463B-ABE7-9BFE669C81C2}"/>
    <cellStyle name="Normal 13 2 3 2 31" xfId="4357" xr:uid="{5C317225-4429-4C9B-8A3B-BB0BD3D56575}"/>
    <cellStyle name="Normal 13 2 3 2 32" xfId="4358" xr:uid="{90C6C020-2258-473A-906F-DF0BBA951C36}"/>
    <cellStyle name="Normal 13 2 3 2 33" xfId="4359" xr:uid="{8116E10A-D40A-4306-A681-80A8230CA53F}"/>
    <cellStyle name="Normal 13 2 3 2 34" xfId="4360" xr:uid="{EF82197B-FFA1-4549-BCC7-06E09D076E31}"/>
    <cellStyle name="Normal 13 2 3 2 35" xfId="4361" xr:uid="{AA6DC10B-C853-4702-81BF-1C2FFD5C7790}"/>
    <cellStyle name="Normal 13 2 3 2 36" xfId="4362" xr:uid="{D65D661C-976E-4E56-829F-797EC8FC613C}"/>
    <cellStyle name="Normal 13 2 3 2 37" xfId="4363" xr:uid="{52F804D7-E4D3-4CA3-A4C0-5A832E5B0776}"/>
    <cellStyle name="Normal 13 2 3 2 38" xfId="4364" xr:uid="{39F9DC06-9FA0-4DB8-9B49-16524257F772}"/>
    <cellStyle name="Normal 13 2 3 2 4" xfId="4365" xr:uid="{83C433DD-97BE-482B-86A5-607D75D08779}"/>
    <cellStyle name="Normal 13 2 3 2 5" xfId="4366" xr:uid="{E641FEAB-A64C-4459-8FB8-21966B913CC6}"/>
    <cellStyle name="Normal 13 2 3 2 6" xfId="4367" xr:uid="{0FD12BF4-6717-4399-93CB-5E9F42BC1713}"/>
    <cellStyle name="Normal 13 2 3 2 7" xfId="4368" xr:uid="{01EF38E9-1893-4A71-AEDC-213E9D837336}"/>
    <cellStyle name="Normal 13 2 3 2 8" xfId="4369" xr:uid="{DB676BCE-5D63-4D8E-87BF-56562E0C868D}"/>
    <cellStyle name="Normal 13 2 3 2 9" xfId="4370" xr:uid="{EB61C22F-4AD8-4FE4-8CDC-C669442236BB}"/>
    <cellStyle name="Normal 13 2 3 20" xfId="4371" xr:uid="{884DA045-C4BC-46C5-911B-DB17E63B7BC4}"/>
    <cellStyle name="Normal 13 2 3 21" xfId="4372" xr:uid="{63C195DD-8C8B-4939-B293-6E6D9080587B}"/>
    <cellStyle name="Normal 13 2 3 22" xfId="4373" xr:uid="{B054B395-A3FF-4068-B75D-BAFDE6BF2171}"/>
    <cellStyle name="Normal 13 2 3 23" xfId="4374" xr:uid="{3C5A8191-03B3-411B-8987-36B4F6A68434}"/>
    <cellStyle name="Normal 13 2 3 24" xfId="4375" xr:uid="{20F90D2F-9626-4259-BE3F-210409010CA6}"/>
    <cellStyle name="Normal 13 2 3 25" xfId="4376" xr:uid="{58952102-AE2A-4A3F-99F2-724A70F08550}"/>
    <cellStyle name="Normal 13 2 3 26" xfId="4377" xr:uid="{A53053FF-EF1F-47B3-8426-AD4876196533}"/>
    <cellStyle name="Normal 13 2 3 27" xfId="4378" xr:uid="{1DE2BA51-EE91-4A82-AA2E-D358208CE2AD}"/>
    <cellStyle name="Normal 13 2 3 28" xfId="4379" xr:uid="{0191CA07-F41D-4331-A748-5DDAF17FA66D}"/>
    <cellStyle name="Normal 13 2 3 29" xfId="4380" xr:uid="{F0DD0FB4-47FD-4728-AF4F-CDDB7EF86D2B}"/>
    <cellStyle name="Normal 13 2 3 3" xfId="4381" xr:uid="{76EECE49-961B-4481-8EDA-B0D93525BB1E}"/>
    <cellStyle name="Normal 13 2 3 30" xfId="4382" xr:uid="{53BDC51A-673C-4222-AB7B-D7EF516FEA28}"/>
    <cellStyle name="Normal 13 2 3 31" xfId="4383" xr:uid="{CCD33E2F-D358-4BA5-A041-8F4A72F10E92}"/>
    <cellStyle name="Normal 13 2 3 32" xfId="4384" xr:uid="{D826A195-1DBE-4FD0-874A-AD70ECEE9B80}"/>
    <cellStyle name="Normal 13 2 3 33" xfId="4385" xr:uid="{6B031F45-4F8D-471A-BA69-8C180E621113}"/>
    <cellStyle name="Normal 13 2 3 34" xfId="4386" xr:uid="{47A6CCED-5397-4F54-BD66-E4E8D5AF8EED}"/>
    <cellStyle name="Normal 13 2 3 35" xfId="4387" xr:uid="{00EC7456-A347-4C41-9A1A-CA1B77A83B3A}"/>
    <cellStyle name="Normal 13 2 3 36" xfId="4388" xr:uid="{7478F0A3-778A-4A4A-ACD1-6F6F73555DA7}"/>
    <cellStyle name="Normal 13 2 3 37" xfId="4389" xr:uid="{356BE28D-A7AA-4689-9C13-2262B2501717}"/>
    <cellStyle name="Normal 13 2 3 38" xfId="4390" xr:uid="{642001C8-CCE4-4A2C-BD55-69D47AEC4A46}"/>
    <cellStyle name="Normal 13 2 3 4" xfId="4391" xr:uid="{316E19B4-906B-412D-92DB-84461FF65542}"/>
    <cellStyle name="Normal 13 2 3 5" xfId="4392" xr:uid="{29895495-B8DA-4C59-8A5E-694F49F7EDE1}"/>
    <cellStyle name="Normal 13 2 3 6" xfId="4393" xr:uid="{E9E4D094-ACA4-46DB-B846-8524C20C08D6}"/>
    <cellStyle name="Normal 13 2 3 7" xfId="4394" xr:uid="{1E64F07F-BAF6-4209-96BA-8DAF4F8E8D71}"/>
    <cellStyle name="Normal 13 2 3 8" xfId="4395" xr:uid="{E59F7430-D1A1-4FB8-8AEC-BFE6478408C9}"/>
    <cellStyle name="Normal 13 2 3 9" xfId="4396" xr:uid="{5282192E-C217-4E15-97FE-CAA48FDB0F9E}"/>
    <cellStyle name="Normal 13 2 30" xfId="4397" xr:uid="{2BCBDFA6-BDC3-410C-92FF-45B7E294F51D}"/>
    <cellStyle name="Normal 13 2 31" xfId="4398" xr:uid="{E8505826-8096-40CB-B4F8-83C2176823D9}"/>
    <cellStyle name="Normal 13 2 32" xfId="4399" xr:uid="{26C1808F-E512-477A-ABF1-5CAAA93F1730}"/>
    <cellStyle name="Normal 13 2 33" xfId="4400" xr:uid="{A113B2FA-4ADB-4DA6-BDF4-5FFBE29008EB}"/>
    <cellStyle name="Normal 13 2 34" xfId="4401" xr:uid="{625A240F-9B6A-427F-B35F-1FA295F0CFE9}"/>
    <cellStyle name="Normal 13 2 35" xfId="4402" xr:uid="{C9275EE2-CEFC-4105-8625-5108D3596E2A}"/>
    <cellStyle name="Normal 13 2 36" xfId="4403" xr:uid="{7ACB3C4A-FB3F-4289-B768-7F50F7E560F0}"/>
    <cellStyle name="Normal 13 2 37" xfId="4404" xr:uid="{ED32AB5D-02C9-498E-88B8-B904A7FEC84D}"/>
    <cellStyle name="Normal 13 2 38" xfId="4405" xr:uid="{A0D1ACDA-ED94-4135-B9E8-8C436FD7B1D2}"/>
    <cellStyle name="Normal 13 2 39" xfId="4406" xr:uid="{F0241788-3E53-4736-A77B-C1A1D61A69DB}"/>
    <cellStyle name="Normal 13 2 4" xfId="4407" xr:uid="{EB210573-7759-4635-9904-7D64D58BBCEE}"/>
    <cellStyle name="Normal 13 2 40" xfId="4408" xr:uid="{D8C18C01-47D4-4804-BDF8-17B0FB6508E4}"/>
    <cellStyle name="Normal 13 2 5" xfId="4409" xr:uid="{F89B813E-F884-4440-9028-AD3518DB7469}"/>
    <cellStyle name="Normal 13 2 6" xfId="4410" xr:uid="{3BD6D333-629B-4410-9D91-405F5ECB8326}"/>
    <cellStyle name="Normal 13 2 7" xfId="4411" xr:uid="{1D5B7B6A-BD0C-47EE-ABAB-B8012F160728}"/>
    <cellStyle name="Normal 13 2 8" xfId="4412" xr:uid="{9BBCB536-1A99-42EC-94DF-1D22D338E4AC}"/>
    <cellStyle name="Normal 13 2 9" xfId="4413" xr:uid="{8E4DC538-AB8C-4967-B66A-C8EF42ABA064}"/>
    <cellStyle name="Normal 13 20" xfId="4414" xr:uid="{FE6A7FCA-8698-44C3-91EE-BB13685309C7}"/>
    <cellStyle name="Normal 13 21" xfId="4415" xr:uid="{960208F2-35F9-454A-B463-475BC9D929FB}"/>
    <cellStyle name="Normal 13 22" xfId="4416" xr:uid="{C60363A0-A590-4951-8FF0-0A6FE4B92B4E}"/>
    <cellStyle name="Normal 13 23" xfId="4417" xr:uid="{9F56DC68-EAB5-4D62-B39B-3D3C3E422CEA}"/>
    <cellStyle name="Normal 13 24" xfId="4418" xr:uid="{028F9E02-7CA3-460B-990F-F67529DDC8B0}"/>
    <cellStyle name="Normal 13 25" xfId="4419" xr:uid="{36EC700F-0E07-4CC6-BC8F-442FD10544DD}"/>
    <cellStyle name="Normal 13 26" xfId="4420" xr:uid="{49C94ADB-60E9-4DB0-992A-B29063AAC2F1}"/>
    <cellStyle name="Normal 13 27" xfId="4421" xr:uid="{D14B1F87-F508-4B8D-B2CF-0FFC7B7DC4AB}"/>
    <cellStyle name="Normal 13 28" xfId="4422" xr:uid="{9F36BE33-EDB2-4080-84D2-476B999F79F0}"/>
    <cellStyle name="Normal 13 29" xfId="4423" xr:uid="{24C82678-720C-4295-A3C5-8F2E35EE7EF6}"/>
    <cellStyle name="Normal 13 3" xfId="4424" xr:uid="{E81E6373-DE34-4780-9C93-C85FE093365D}"/>
    <cellStyle name="Normal 13 3 10" xfId="4425" xr:uid="{8BF58F49-7D7F-432D-BAEA-0CC0E2FDB122}"/>
    <cellStyle name="Normal 13 3 11" xfId="4426" xr:uid="{35795E94-7BC8-46A3-950D-717977D5FBC7}"/>
    <cellStyle name="Normal 13 3 12" xfId="4427" xr:uid="{E3AE6D93-5546-41B2-982E-EA95102C396B}"/>
    <cellStyle name="Normal 13 3 13" xfId="4428" xr:uid="{A20AF049-39C5-4FEC-9C07-4767AE19342D}"/>
    <cellStyle name="Normal 13 3 14" xfId="4429" xr:uid="{2D9E2E46-1C52-49F7-8FFC-1AE0000029FE}"/>
    <cellStyle name="Normal 13 3 15" xfId="4430" xr:uid="{3E84E57A-2E95-4350-A67E-1A189548F820}"/>
    <cellStyle name="Normal 13 3 16" xfId="4431" xr:uid="{397ABB52-C5EB-4365-8630-E4556E703C89}"/>
    <cellStyle name="Normal 13 3 17" xfId="4432" xr:uid="{9711E25A-621F-47C8-8C0B-F10595B364C2}"/>
    <cellStyle name="Normal 13 3 18" xfId="4433" xr:uid="{3F2212FE-A071-4976-9DF9-B92A19050617}"/>
    <cellStyle name="Normal 13 3 19" xfId="4434" xr:uid="{B492A4CB-7CAE-4F81-8337-016A6F2BD1DF}"/>
    <cellStyle name="Normal 13 3 2" xfId="4435" xr:uid="{DA3ADFD7-D952-415E-8B65-F36D1091169A}"/>
    <cellStyle name="Normal 13 3 2 10" xfId="4436" xr:uid="{725F3821-DDC9-4DB1-8AA9-22271E50B32A}"/>
    <cellStyle name="Normal 13 3 2 11" xfId="4437" xr:uid="{5EAD13B8-9263-4948-A4B8-B6A326024977}"/>
    <cellStyle name="Normal 13 3 2 12" xfId="4438" xr:uid="{0CB29B6C-AAAC-4657-9262-3850C9F15177}"/>
    <cellStyle name="Normal 13 3 2 13" xfId="4439" xr:uid="{8B4F179E-8012-42DB-BD56-76FB0C78BD88}"/>
    <cellStyle name="Normal 13 3 2 14" xfId="4440" xr:uid="{A12CD64C-D3DD-45CF-AC0B-1B0D0699CDCB}"/>
    <cellStyle name="Normal 13 3 2 15" xfId="4441" xr:uid="{EC5C3A6A-D974-4D09-AC6A-B475C7F26A69}"/>
    <cellStyle name="Normal 13 3 2 16" xfId="4442" xr:uid="{5104D95F-450B-4CAD-80BE-709E40363472}"/>
    <cellStyle name="Normal 13 3 2 17" xfId="4443" xr:uid="{CB2EB4A1-614F-42DA-86AB-7BD78F98F33F}"/>
    <cellStyle name="Normal 13 3 2 18" xfId="4444" xr:uid="{85215C53-CB55-4E9A-8778-C6050098671D}"/>
    <cellStyle name="Normal 13 3 2 19" xfId="4445" xr:uid="{FB60EAE1-4EDE-47C0-A17D-06134E7965C3}"/>
    <cellStyle name="Normal 13 3 2 2" xfId="4446" xr:uid="{E9BC5635-FB31-482F-AFBE-63DCC8E6CD62}"/>
    <cellStyle name="Normal 13 3 2 2 10" xfId="4447" xr:uid="{6696F49D-2F36-45C5-8C95-03E2966C15FA}"/>
    <cellStyle name="Normal 13 3 2 2 11" xfId="4448" xr:uid="{C62B837F-B808-4F36-BD64-579CC25C8FBB}"/>
    <cellStyle name="Normal 13 3 2 2 12" xfId="4449" xr:uid="{8A17C6F5-F32B-458D-BC57-626CCF351BB1}"/>
    <cellStyle name="Normal 13 3 2 2 13" xfId="4450" xr:uid="{0D8DDB8F-5307-4A01-925A-026991CCDB6C}"/>
    <cellStyle name="Normal 13 3 2 2 14" xfId="4451" xr:uid="{B8AAE917-3CF9-44B2-A843-813B59775FF6}"/>
    <cellStyle name="Normal 13 3 2 2 15" xfId="4452" xr:uid="{6B8ECE40-41BE-480C-A0A1-11635D17A69D}"/>
    <cellStyle name="Normal 13 3 2 2 16" xfId="4453" xr:uid="{DB639904-D1AF-4B71-ABF5-27E3F89D008F}"/>
    <cellStyle name="Normal 13 3 2 2 17" xfId="4454" xr:uid="{FB71D4CF-6E5E-456E-A18E-F87C5FE92A7A}"/>
    <cellStyle name="Normal 13 3 2 2 18" xfId="4455" xr:uid="{911A82A5-2C00-4E39-A789-752B560F2F8F}"/>
    <cellStyle name="Normal 13 3 2 2 19" xfId="4456" xr:uid="{CC1517A6-562C-4CF0-B43B-AC0F80176ED2}"/>
    <cellStyle name="Normal 13 3 2 2 2" xfId="4457" xr:uid="{898225C5-24AC-458C-BBFC-8A9C2A288F91}"/>
    <cellStyle name="Normal 13 3 2 2 2 10" xfId="4458" xr:uid="{8112EF00-412C-4036-95E3-9A77768C7D78}"/>
    <cellStyle name="Normal 13 3 2 2 2 11" xfId="4459" xr:uid="{6D8431A2-9CD6-4F4E-B892-D85E4436591D}"/>
    <cellStyle name="Normal 13 3 2 2 2 12" xfId="4460" xr:uid="{00102662-68D7-446D-8B19-F7F4908B291C}"/>
    <cellStyle name="Normal 13 3 2 2 2 13" xfId="4461" xr:uid="{99EB5540-6C57-4853-9387-EFB4BC8CDCCF}"/>
    <cellStyle name="Normal 13 3 2 2 2 14" xfId="4462" xr:uid="{EB1D1A09-44AA-449E-9132-E504B1A77059}"/>
    <cellStyle name="Normal 13 3 2 2 2 15" xfId="4463" xr:uid="{445A6D38-9C6A-4287-8839-0DD8A6E1C5BB}"/>
    <cellStyle name="Normal 13 3 2 2 2 16" xfId="4464" xr:uid="{DFB42234-34F9-4EBB-8D52-86E6E20D7624}"/>
    <cellStyle name="Normal 13 3 2 2 2 17" xfId="4465" xr:uid="{EAB6F80B-C4FD-45DD-BFAD-469601D7FD1B}"/>
    <cellStyle name="Normal 13 3 2 2 2 18" xfId="4466" xr:uid="{5CE0D875-55AE-49F9-B49E-292FEEACA951}"/>
    <cellStyle name="Normal 13 3 2 2 2 19" xfId="4467" xr:uid="{A716742B-87B4-422D-ABCF-4FD0E0A6D73A}"/>
    <cellStyle name="Normal 13 3 2 2 2 2" xfId="4468" xr:uid="{42AF38F6-FF56-40D0-B3A6-379A6079E37B}"/>
    <cellStyle name="Normal 13 3 2 2 2 20" xfId="4469" xr:uid="{121C8C33-D46E-4C18-B93B-15FE77B892F0}"/>
    <cellStyle name="Normal 13 3 2 2 2 21" xfId="4470" xr:uid="{7E444592-EF8B-4A90-81C7-88CF1282EDCE}"/>
    <cellStyle name="Normal 13 3 2 2 2 22" xfId="4471" xr:uid="{F876884B-74FB-456F-B993-A6981FE56833}"/>
    <cellStyle name="Normal 13 3 2 2 2 23" xfId="4472" xr:uid="{CFBCF4BA-EB7F-4353-9D6C-E1921136F99B}"/>
    <cellStyle name="Normal 13 3 2 2 2 24" xfId="4473" xr:uid="{6B7E1A0D-6958-439D-AA13-6FCF20C4EF03}"/>
    <cellStyle name="Normal 13 3 2 2 2 25" xfId="4474" xr:uid="{061A6C59-1638-4330-8589-0CBA4BCC9222}"/>
    <cellStyle name="Normal 13 3 2 2 2 26" xfId="4475" xr:uid="{CC962F55-1272-44F5-B28C-F3B488979832}"/>
    <cellStyle name="Normal 13 3 2 2 2 27" xfId="4476" xr:uid="{6F898FBA-FCCD-4496-939F-16C22C2117B1}"/>
    <cellStyle name="Normal 13 3 2 2 2 28" xfId="4477" xr:uid="{B7E47403-5645-4FD1-80CB-05E585F31330}"/>
    <cellStyle name="Normal 13 3 2 2 2 29" xfId="4478" xr:uid="{3AA50FEA-7AC6-4E32-A55A-1CF635EE4400}"/>
    <cellStyle name="Normal 13 3 2 2 2 3" xfId="4479" xr:uid="{A4842D61-0D34-49A4-AFF7-DC468AFBAB07}"/>
    <cellStyle name="Normal 13 3 2 2 2 30" xfId="4480" xr:uid="{EC191746-909B-4C2B-922F-D891B90CB088}"/>
    <cellStyle name="Normal 13 3 2 2 2 31" xfId="4481" xr:uid="{2FDC2CD9-A6DB-4BA4-9A85-969C2F0FDAAF}"/>
    <cellStyle name="Normal 13 3 2 2 2 32" xfId="4482" xr:uid="{444CC5B3-BBE3-4219-B279-983277EF769B}"/>
    <cellStyle name="Normal 13 3 2 2 2 33" xfId="4483" xr:uid="{71156CB1-4423-4112-9827-120D82D9ED30}"/>
    <cellStyle name="Normal 13 3 2 2 2 34" xfId="4484" xr:uid="{8FBC0F1F-D7B8-41B2-8666-1FB94ADD1E2D}"/>
    <cellStyle name="Normal 13 3 2 2 2 35" xfId="4485" xr:uid="{EDA6897E-2EE6-460E-B868-791635ECE227}"/>
    <cellStyle name="Normal 13 3 2 2 2 36" xfId="4486" xr:uid="{DC51835E-0D15-48A8-B3A6-5328D2C74834}"/>
    <cellStyle name="Normal 13 3 2 2 2 37" xfId="4487" xr:uid="{41F18584-2FE8-4865-B5A3-7B1AD9DDD56E}"/>
    <cellStyle name="Normal 13 3 2 2 2 38" xfId="4488" xr:uid="{D1D34C52-A081-491C-BB3C-3C61DC360AA5}"/>
    <cellStyle name="Normal 13 3 2 2 2 4" xfId="4489" xr:uid="{850FA0AB-1C82-440D-88CD-367B2A2BC2F4}"/>
    <cellStyle name="Normal 13 3 2 2 2 5" xfId="4490" xr:uid="{4EF2CC32-05DF-498F-AC2E-BA9C15B9CC71}"/>
    <cellStyle name="Normal 13 3 2 2 2 6" xfId="4491" xr:uid="{104EBD3D-D7D2-4B94-9D05-B05F27AC3BEF}"/>
    <cellStyle name="Normal 13 3 2 2 2 7" xfId="4492" xr:uid="{46C7D5A0-2154-474B-8A03-A9D4E0FFFA00}"/>
    <cellStyle name="Normal 13 3 2 2 2 8" xfId="4493" xr:uid="{A654159D-C647-4425-8511-3B5C89C17C9B}"/>
    <cellStyle name="Normal 13 3 2 2 2 9" xfId="4494" xr:uid="{13807B25-0615-446A-A3D1-9CAC20CDD2AA}"/>
    <cellStyle name="Normal 13 3 2 2 20" xfId="4495" xr:uid="{DE794190-770F-41DF-A0A6-F3BD2248B2E8}"/>
    <cellStyle name="Normal 13 3 2 2 21" xfId="4496" xr:uid="{6F100922-F5F1-4FF7-9344-56E24938364A}"/>
    <cellStyle name="Normal 13 3 2 2 22" xfId="4497" xr:uid="{48DE5E86-9F37-48E3-A354-6ABD35E2D15D}"/>
    <cellStyle name="Normal 13 3 2 2 23" xfId="4498" xr:uid="{F027B16A-8867-4F53-9E3A-4FB4649C990D}"/>
    <cellStyle name="Normal 13 3 2 2 24" xfId="4499" xr:uid="{C0B11597-F6DE-4B88-8D0C-158866E2817E}"/>
    <cellStyle name="Normal 13 3 2 2 25" xfId="4500" xr:uid="{C3AA3D17-DCFC-4512-A82E-1E7930B52E8B}"/>
    <cellStyle name="Normal 13 3 2 2 26" xfId="4501" xr:uid="{544ED12F-FE44-4268-95C0-11983BD8228B}"/>
    <cellStyle name="Normal 13 3 2 2 27" xfId="4502" xr:uid="{F306AC36-7AD7-4899-A84C-41F0FA6AAB35}"/>
    <cellStyle name="Normal 13 3 2 2 28" xfId="4503" xr:uid="{D3631C3E-22BB-4C12-A5CE-29E70C782DD8}"/>
    <cellStyle name="Normal 13 3 2 2 29" xfId="4504" xr:uid="{D4CDB03A-684B-4D12-A267-E336716E917B}"/>
    <cellStyle name="Normal 13 3 2 2 3" xfId="4505" xr:uid="{D74532BB-8FBF-40D6-82FE-C4E2CB51B1CA}"/>
    <cellStyle name="Normal 13 3 2 2 30" xfId="4506" xr:uid="{00FC3B8C-FC3B-453F-A558-D5348511066E}"/>
    <cellStyle name="Normal 13 3 2 2 31" xfId="4507" xr:uid="{3F161D1B-206D-445A-A690-DAD54874B920}"/>
    <cellStyle name="Normal 13 3 2 2 32" xfId="4508" xr:uid="{7D1F2E2F-BC5D-4D7B-9DF2-545235F73E36}"/>
    <cellStyle name="Normal 13 3 2 2 33" xfId="4509" xr:uid="{7A47BCDE-16C1-45EE-946E-78B67726611B}"/>
    <cellStyle name="Normal 13 3 2 2 34" xfId="4510" xr:uid="{DBCEA7DB-C023-4172-963B-5F6F24F21DBA}"/>
    <cellStyle name="Normal 13 3 2 2 35" xfId="4511" xr:uid="{73BCD566-ED40-440D-B4E7-56AB6FFD159F}"/>
    <cellStyle name="Normal 13 3 2 2 36" xfId="4512" xr:uid="{600DAE9B-781C-4EFE-AB05-DF1F7D246195}"/>
    <cellStyle name="Normal 13 3 2 2 37" xfId="4513" xr:uid="{D6F0DF89-0FCD-482F-922A-D8AF5E12071D}"/>
    <cellStyle name="Normal 13 3 2 2 38" xfId="4514" xr:uid="{36FBB38E-2221-47BE-A7E9-80519AC9C9A4}"/>
    <cellStyle name="Normal 13 3 2 2 4" xfId="4515" xr:uid="{44ADD9B8-3BBD-4F6C-841A-E0ABFD35A74D}"/>
    <cellStyle name="Normal 13 3 2 2 5" xfId="4516" xr:uid="{F1CC0570-B49B-4858-96A6-AAE1A64885D7}"/>
    <cellStyle name="Normal 13 3 2 2 6" xfId="4517" xr:uid="{F56B8B48-DA00-45C7-B5BE-D61FCDBAC4DD}"/>
    <cellStyle name="Normal 13 3 2 2 7" xfId="4518" xr:uid="{72FB8530-4C74-46CD-8DC7-303D98233645}"/>
    <cellStyle name="Normal 13 3 2 2 8" xfId="4519" xr:uid="{9310F99F-FEC1-4548-B296-1F4F2A619BD0}"/>
    <cellStyle name="Normal 13 3 2 2 9" xfId="4520" xr:uid="{6E6C3DAB-917B-42CE-AEF8-22C379E16892}"/>
    <cellStyle name="Normal 13 3 2 20" xfId="4521" xr:uid="{70FC2BF5-D4F0-48D5-8BFD-1D970BF8AE91}"/>
    <cellStyle name="Normal 13 3 2 21" xfId="4522" xr:uid="{6441E99B-17F1-4AA4-9EAF-BFF8C46C7117}"/>
    <cellStyle name="Normal 13 3 2 22" xfId="4523" xr:uid="{4BC5AF5F-01AE-40A1-999E-BCE88CEBC272}"/>
    <cellStyle name="Normal 13 3 2 23" xfId="4524" xr:uid="{28E5F70B-8317-4AE0-B41F-1AE5E69C0C9F}"/>
    <cellStyle name="Normal 13 3 2 24" xfId="4525" xr:uid="{5F7886D3-4CF6-435F-967F-A15453EAB61D}"/>
    <cellStyle name="Normal 13 3 2 25" xfId="4526" xr:uid="{B58A8051-A7CE-4A9F-BEB7-96EF4ED0DFAE}"/>
    <cellStyle name="Normal 13 3 2 26" xfId="4527" xr:uid="{EF7DDA57-8F2F-4C60-B2D0-2CE7A166D0CE}"/>
    <cellStyle name="Normal 13 3 2 27" xfId="4528" xr:uid="{95CF385F-4E21-4616-8DCE-DC6A1B7DB476}"/>
    <cellStyle name="Normal 13 3 2 28" xfId="4529" xr:uid="{52017DCB-3236-4E64-806F-93C538C3A64E}"/>
    <cellStyle name="Normal 13 3 2 29" xfId="4530" xr:uid="{D0D2E7C7-63DB-4556-B529-3571702B6C9A}"/>
    <cellStyle name="Normal 13 3 2 3" xfId="4531" xr:uid="{03F022FC-EC6F-4D71-9534-E2DB31D88966}"/>
    <cellStyle name="Normal 13 3 2 30" xfId="4532" xr:uid="{0A62C4E4-6EF5-4F3D-A252-1E451B9295DB}"/>
    <cellStyle name="Normal 13 3 2 31" xfId="4533" xr:uid="{9446F0AF-F912-47D9-9B41-5E07752AE20A}"/>
    <cellStyle name="Normal 13 3 2 32" xfId="4534" xr:uid="{91FCC2B0-FF79-4E7F-A286-428D15D26E8A}"/>
    <cellStyle name="Normal 13 3 2 33" xfId="4535" xr:uid="{8D455CCA-48E8-4007-BF63-C644FDC675D0}"/>
    <cellStyle name="Normal 13 3 2 34" xfId="4536" xr:uid="{2D5A1AC5-342B-4615-95AD-5C3E6A7F8AD3}"/>
    <cellStyle name="Normal 13 3 2 35" xfId="4537" xr:uid="{658EE74A-47CE-492E-83DC-42D8F3CF35A4}"/>
    <cellStyle name="Normal 13 3 2 36" xfId="4538" xr:uid="{A6B20E93-8B11-492E-B4D7-F82C1ADBE0F3}"/>
    <cellStyle name="Normal 13 3 2 37" xfId="4539" xr:uid="{6E948ADB-F630-4C6B-A89E-84D54E03767B}"/>
    <cellStyle name="Normal 13 3 2 38" xfId="4540" xr:uid="{4D78991A-AA4F-4368-B579-C8E1D35C2631}"/>
    <cellStyle name="Normal 13 3 2 39" xfId="4541" xr:uid="{744AB1EB-3A28-4963-BFB0-AA4113775FC9}"/>
    <cellStyle name="Normal 13 3 2 4" xfId="4542" xr:uid="{3B90A263-3B62-44DD-B20F-B7B0B5B655AB}"/>
    <cellStyle name="Normal 13 3 2 40" xfId="4543" xr:uid="{6BBEB833-8AE3-4409-BD78-220C2C0C96E0}"/>
    <cellStyle name="Normal 13 3 2 5" xfId="4544" xr:uid="{24945903-45BF-417C-BFF9-8C557BB033D0}"/>
    <cellStyle name="Normal 13 3 2 6" xfId="4545" xr:uid="{916C795F-ADA0-4613-AFEA-E2598A6FF73D}"/>
    <cellStyle name="Normal 13 3 2 7" xfId="4546" xr:uid="{D61C0163-80AD-4FF0-A625-9E2724245EC7}"/>
    <cellStyle name="Normal 13 3 2 8" xfId="4547" xr:uid="{9F091F6A-8B28-44AE-9F48-71273B82B034}"/>
    <cellStyle name="Normal 13 3 2 9" xfId="4548" xr:uid="{4383685D-B91C-4CB3-8625-49E01CC88E92}"/>
    <cellStyle name="Normal 13 3 20" xfId="4549" xr:uid="{FC75E9D0-ED35-41CD-A2D8-4B5EF06AE4C2}"/>
    <cellStyle name="Normal 13 3 21" xfId="4550" xr:uid="{00D21CA1-691A-48D6-9741-1D72175CBE18}"/>
    <cellStyle name="Normal 13 3 22" xfId="4551" xr:uid="{AF735DA1-A19B-4A7B-A750-D49A8D0262D7}"/>
    <cellStyle name="Normal 13 3 23" xfId="4552" xr:uid="{BD2931B2-F7B4-4B63-834D-9B6138BF608C}"/>
    <cellStyle name="Normal 13 3 24" xfId="4553" xr:uid="{919FB8B1-0494-4666-B643-83684D4F8F8F}"/>
    <cellStyle name="Normal 13 3 25" xfId="4554" xr:uid="{3E56F865-F485-4506-9F77-2FA0AE0EE9AA}"/>
    <cellStyle name="Normal 13 3 26" xfId="4555" xr:uid="{E06D445B-6927-4E6C-A570-060D54721882}"/>
    <cellStyle name="Normal 13 3 27" xfId="4556" xr:uid="{9911551A-2009-4C06-BD51-C2402C6EB191}"/>
    <cellStyle name="Normal 13 3 28" xfId="4557" xr:uid="{56994497-582D-4A9D-B0C1-FF6335E6678D}"/>
    <cellStyle name="Normal 13 3 29" xfId="4558" xr:uid="{E9A88A8E-6BC5-4642-B4CE-FCFAFE2189C7}"/>
    <cellStyle name="Normal 13 3 3" xfId="4559" xr:uid="{63520DE1-ABB9-47F5-8633-29F0640E678D}"/>
    <cellStyle name="Normal 13 3 3 10" xfId="4560" xr:uid="{D6363BF0-C42B-4255-9C2D-C94AC810FB86}"/>
    <cellStyle name="Normal 13 3 3 11" xfId="4561" xr:uid="{DC76A7C5-6D44-4A1F-BF94-8F845D70F86B}"/>
    <cellStyle name="Normal 13 3 3 12" xfId="4562" xr:uid="{AA684ED2-243D-40B5-B4FD-0D19AFCBDC4D}"/>
    <cellStyle name="Normal 13 3 3 13" xfId="4563" xr:uid="{F2AC1F7E-9AC0-42CB-B330-0B2EFED702D2}"/>
    <cellStyle name="Normal 13 3 3 14" xfId="4564" xr:uid="{479BBCF5-B36A-46FC-9AE0-8C022A8E3D88}"/>
    <cellStyle name="Normal 13 3 3 15" xfId="4565" xr:uid="{C4ED4861-1B90-439C-8333-A7728A0F9A30}"/>
    <cellStyle name="Normal 13 3 3 16" xfId="4566" xr:uid="{FD2293E1-4347-47C5-B17A-9CE0E59AC698}"/>
    <cellStyle name="Normal 13 3 3 17" xfId="4567" xr:uid="{43F1E436-ADD8-4524-96F6-9CDD2A495090}"/>
    <cellStyle name="Normal 13 3 3 18" xfId="4568" xr:uid="{DCCDE112-5B06-4123-ACFD-0480D4897F1A}"/>
    <cellStyle name="Normal 13 3 3 19" xfId="4569" xr:uid="{4D28FFAE-EB21-42F8-B12C-8C63F5B72981}"/>
    <cellStyle name="Normal 13 3 3 2" xfId="4570" xr:uid="{3EBE1756-3DF2-41FA-8A88-10940C4AC859}"/>
    <cellStyle name="Normal 13 3 3 2 10" xfId="4571" xr:uid="{7B1D85E3-25DE-4E9F-9FC4-B045A02D61DA}"/>
    <cellStyle name="Normal 13 3 3 2 11" xfId="4572" xr:uid="{75A6F101-8387-4AFE-9BF5-AF1DF9497AEE}"/>
    <cellStyle name="Normal 13 3 3 2 12" xfId="4573" xr:uid="{DC5B6EB1-4588-475D-B6C2-64DFF64C80F2}"/>
    <cellStyle name="Normal 13 3 3 2 13" xfId="4574" xr:uid="{495A7FD0-5B36-400E-A5A4-7312ED4A6079}"/>
    <cellStyle name="Normal 13 3 3 2 14" xfId="4575" xr:uid="{E2F9B1FE-2150-4589-B239-6544CE42DC7A}"/>
    <cellStyle name="Normal 13 3 3 2 15" xfId="4576" xr:uid="{30DC80A7-1205-43AB-B7F5-54CD4AA40E4E}"/>
    <cellStyle name="Normal 13 3 3 2 16" xfId="4577" xr:uid="{76CC527C-060D-4972-9000-CE23193DF93C}"/>
    <cellStyle name="Normal 13 3 3 2 17" xfId="4578" xr:uid="{61111D5F-7D28-4FC6-98DE-82B303450E2B}"/>
    <cellStyle name="Normal 13 3 3 2 18" xfId="4579" xr:uid="{D19A743C-B979-4022-A61F-A5D3AFF7691F}"/>
    <cellStyle name="Normal 13 3 3 2 19" xfId="4580" xr:uid="{47789061-5B87-414C-B5BD-030F98D2DBF5}"/>
    <cellStyle name="Normal 13 3 3 2 2" xfId="4581" xr:uid="{D7E597D2-D0BB-4CA1-B065-34043092E09B}"/>
    <cellStyle name="Normal 13 3 3 2 20" xfId="4582" xr:uid="{E0F4AC8E-1D65-4B70-A981-BB47B8D20956}"/>
    <cellStyle name="Normal 13 3 3 2 21" xfId="4583" xr:uid="{2DAF6C5A-3879-4A31-AC60-1982750A9686}"/>
    <cellStyle name="Normal 13 3 3 2 22" xfId="4584" xr:uid="{872C61ED-FEC7-489F-BF99-A37133ECB740}"/>
    <cellStyle name="Normal 13 3 3 2 23" xfId="4585" xr:uid="{19A69806-08EE-4B51-96AB-FA43477F1641}"/>
    <cellStyle name="Normal 13 3 3 2 24" xfId="4586" xr:uid="{D4839045-010F-45E9-AC41-C0870542D471}"/>
    <cellStyle name="Normal 13 3 3 2 25" xfId="4587" xr:uid="{C0EBD7F4-A407-4D7C-921D-39FC1178AE64}"/>
    <cellStyle name="Normal 13 3 3 2 26" xfId="4588" xr:uid="{6C149F43-8319-4F02-8265-DB866AF6DB3A}"/>
    <cellStyle name="Normal 13 3 3 2 27" xfId="4589" xr:uid="{25C3268A-1233-47A4-B8AE-A4945FF28BE1}"/>
    <cellStyle name="Normal 13 3 3 2 28" xfId="4590" xr:uid="{97F1111F-2EC7-4605-AC87-FEE4A7758473}"/>
    <cellStyle name="Normal 13 3 3 2 29" xfId="4591" xr:uid="{37C0A39D-1BA9-4590-B1F5-C520B8427A2E}"/>
    <cellStyle name="Normal 13 3 3 2 3" xfId="4592" xr:uid="{9EBA3A5D-C50E-46C1-9AEB-C0BEA800BFF5}"/>
    <cellStyle name="Normal 13 3 3 2 30" xfId="4593" xr:uid="{F05AD2B7-2485-4327-88BC-188F49A95B8D}"/>
    <cellStyle name="Normal 13 3 3 2 31" xfId="4594" xr:uid="{2023204F-5C7A-4672-9AD0-91D4A1B63F52}"/>
    <cellStyle name="Normal 13 3 3 2 32" xfId="4595" xr:uid="{FB367630-61BA-464C-8B8F-9D52D13EF0E8}"/>
    <cellStyle name="Normal 13 3 3 2 33" xfId="4596" xr:uid="{9FC8F590-C570-4F39-9E7C-77CB886ACBAC}"/>
    <cellStyle name="Normal 13 3 3 2 34" xfId="4597" xr:uid="{6500966D-B0BB-4E7D-B904-986FB6DF1CA8}"/>
    <cellStyle name="Normal 13 3 3 2 35" xfId="4598" xr:uid="{CD487A29-9DBA-4DBD-8C4C-E8D49A70E14F}"/>
    <cellStyle name="Normal 13 3 3 2 36" xfId="4599" xr:uid="{4105546D-6717-48E9-9170-79E51E0DC66A}"/>
    <cellStyle name="Normal 13 3 3 2 37" xfId="4600" xr:uid="{16652EF6-BA2E-46C4-9F8E-B2FC2D2FBD62}"/>
    <cellStyle name="Normal 13 3 3 2 38" xfId="4601" xr:uid="{2992E398-0E60-4286-8D76-75572C7B783B}"/>
    <cellStyle name="Normal 13 3 3 2 4" xfId="4602" xr:uid="{B9A416E8-67EA-4507-B5CC-4B8D9A06DC70}"/>
    <cellStyle name="Normal 13 3 3 2 5" xfId="4603" xr:uid="{7C189AFC-CA8F-492C-BDF4-CF82A490D1D0}"/>
    <cellStyle name="Normal 13 3 3 2 6" xfId="4604" xr:uid="{28FB27D1-93D0-4972-BF21-984009039243}"/>
    <cellStyle name="Normal 13 3 3 2 7" xfId="4605" xr:uid="{1AF1EF96-A307-4BE1-B22B-60792238A8B9}"/>
    <cellStyle name="Normal 13 3 3 2 8" xfId="4606" xr:uid="{6AEE5857-23F3-4558-BE23-4900D5E76235}"/>
    <cellStyle name="Normal 13 3 3 2 9" xfId="4607" xr:uid="{DF2226CC-DC06-4E58-8E14-D00B0BF0BBAD}"/>
    <cellStyle name="Normal 13 3 3 20" xfId="4608" xr:uid="{582775D0-76D1-4210-B696-38EE6B7B0D5E}"/>
    <cellStyle name="Normal 13 3 3 21" xfId="4609" xr:uid="{9E5E96F8-3FD1-4240-9CB1-723E877DAC85}"/>
    <cellStyle name="Normal 13 3 3 22" xfId="4610" xr:uid="{0D7F8B3D-5531-4BA8-9B12-2D6ADDB9863C}"/>
    <cellStyle name="Normal 13 3 3 23" xfId="4611" xr:uid="{0BD5F9CC-E685-4847-9F9F-21D515C86735}"/>
    <cellStyle name="Normal 13 3 3 24" xfId="4612" xr:uid="{15BF8333-7321-406E-B82A-FB5D8AFAFE96}"/>
    <cellStyle name="Normal 13 3 3 25" xfId="4613" xr:uid="{630F3EB3-B82D-46FE-8CA3-0BEA0F8AEA22}"/>
    <cellStyle name="Normal 13 3 3 26" xfId="4614" xr:uid="{91EB11CF-7CA3-4B10-9AB4-CE0CB1465BC5}"/>
    <cellStyle name="Normal 13 3 3 27" xfId="4615" xr:uid="{A139FFBA-4647-4B6E-845F-0C9761AF5437}"/>
    <cellStyle name="Normal 13 3 3 28" xfId="4616" xr:uid="{7A10C88D-BAC2-4979-BA15-0DA3F2694A12}"/>
    <cellStyle name="Normal 13 3 3 29" xfId="4617" xr:uid="{3BC1FB7F-FBC9-4F99-9708-D66BD5A00EA7}"/>
    <cellStyle name="Normal 13 3 3 3" xfId="4618" xr:uid="{4A960AC0-3E8D-4AA3-B0DE-29A28568521B}"/>
    <cellStyle name="Normal 13 3 3 30" xfId="4619" xr:uid="{C72C1331-20C6-4EDF-8132-61537A7F9DB7}"/>
    <cellStyle name="Normal 13 3 3 31" xfId="4620" xr:uid="{90006237-8199-4FA7-A345-8FD5D0F8C787}"/>
    <cellStyle name="Normal 13 3 3 32" xfId="4621" xr:uid="{450A5BAF-2C5D-4D18-9284-5114C16EF4A3}"/>
    <cellStyle name="Normal 13 3 3 33" xfId="4622" xr:uid="{CBC86A59-4DD8-4B9C-8B1F-2CF430CB6734}"/>
    <cellStyle name="Normal 13 3 3 34" xfId="4623" xr:uid="{870EC4CD-DB6B-48F4-A5C2-8888421EF8AB}"/>
    <cellStyle name="Normal 13 3 3 35" xfId="4624" xr:uid="{A8C6FF37-6B54-491C-9EB5-1787B6B9092C}"/>
    <cellStyle name="Normal 13 3 3 36" xfId="4625" xr:uid="{80D6F8CB-CD2A-4C1F-B10F-39F885C36C7A}"/>
    <cellStyle name="Normal 13 3 3 37" xfId="4626" xr:uid="{9A245A17-4B1F-4FBB-AEC8-C95D2C4A3343}"/>
    <cellStyle name="Normal 13 3 3 38" xfId="4627" xr:uid="{F95CB3B8-ACD7-414D-8CC5-A7995C7B4D45}"/>
    <cellStyle name="Normal 13 3 3 4" xfId="4628" xr:uid="{53719A21-8FDA-42F6-92E1-F4F32FF9CB5E}"/>
    <cellStyle name="Normal 13 3 3 5" xfId="4629" xr:uid="{CB632107-BEC8-4E7E-BB32-3036DB690A8E}"/>
    <cellStyle name="Normal 13 3 3 6" xfId="4630" xr:uid="{136627D7-C47F-4C08-A284-A8C0880DE135}"/>
    <cellStyle name="Normal 13 3 3 7" xfId="4631" xr:uid="{5918A6C9-A867-4580-BD03-D36E45C799E2}"/>
    <cellStyle name="Normal 13 3 3 8" xfId="4632" xr:uid="{0207D08C-6361-4EEB-B882-1CF61651241B}"/>
    <cellStyle name="Normal 13 3 3 9" xfId="4633" xr:uid="{4BF426F8-4155-4640-9F87-EB3249FF2987}"/>
    <cellStyle name="Normal 13 3 30" xfId="4634" xr:uid="{E0E7AB92-CA28-4EE7-8438-4FED9734D542}"/>
    <cellStyle name="Normal 13 3 31" xfId="4635" xr:uid="{58DC7613-D2DD-489B-A2C4-E2C9D9059A65}"/>
    <cellStyle name="Normal 13 3 32" xfId="4636" xr:uid="{C70CA6ED-3C35-4992-AF56-A02C6E90F9C5}"/>
    <cellStyle name="Normal 13 3 33" xfId="4637" xr:uid="{E1FD6646-9412-4F31-AEE3-CCFCC0957B23}"/>
    <cellStyle name="Normal 13 3 34" xfId="4638" xr:uid="{D0257AF6-7AC7-436E-8CBA-C9594CB9E30D}"/>
    <cellStyle name="Normal 13 3 35" xfId="4639" xr:uid="{6F7F5D1B-A361-4FC4-A5BF-B126E0EFF73F}"/>
    <cellStyle name="Normal 13 3 36" xfId="4640" xr:uid="{84E9EFBB-A172-4938-8474-B8DA8A9A8B52}"/>
    <cellStyle name="Normal 13 3 37" xfId="4641" xr:uid="{9A6FA9F1-99C9-4BBE-AD04-800633FF6832}"/>
    <cellStyle name="Normal 13 3 38" xfId="4642" xr:uid="{70045C5E-C9C8-449B-86EB-A7B56EC8B90E}"/>
    <cellStyle name="Normal 13 3 39" xfId="4643" xr:uid="{E7C09112-CCC6-48DF-B7E5-C261BAFF7361}"/>
    <cellStyle name="Normal 13 3 4" xfId="4644" xr:uid="{AC75B64C-527A-470D-BDD5-A9A1B4AE91CC}"/>
    <cellStyle name="Normal 13 3 40" xfId="4645" xr:uid="{95C6008F-39F1-4D6E-AD00-40DD80190AF0}"/>
    <cellStyle name="Normal 13 3 41" xfId="4646" xr:uid="{039ED253-4965-460C-9199-9DE0EDB08B8B}"/>
    <cellStyle name="Normal 13 3 42" xfId="4647" xr:uid="{AA7144DE-B3F4-4F51-9B1F-027AF48E9E31}"/>
    <cellStyle name="Normal 13 3 43" xfId="4648" xr:uid="{1E56D62C-B49E-4A7A-94E0-33F61DA3453E}"/>
    <cellStyle name="Normal 13 3 44" xfId="4649" xr:uid="{C1EA4B8E-4B3C-4F25-9794-A4B58FEAF5EC}"/>
    <cellStyle name="Normal 13 3 45" xfId="4650" xr:uid="{B0223E2D-7EF2-4045-96E8-F2CE5166ACAF}"/>
    <cellStyle name="Normal 13 3 46" xfId="4651" xr:uid="{868417D5-3EE5-4B00-A5BD-EB9C4C581B42}"/>
    <cellStyle name="Normal 13 3 47" xfId="4652" xr:uid="{5A7384A1-8E67-4C04-ACBB-3BA65D118AA5}"/>
    <cellStyle name="Normal 13 3 5" xfId="4653" xr:uid="{792CF7B4-DE99-4EC1-B1DD-13A086ABC4AF}"/>
    <cellStyle name="Normal 13 3 6" xfId="4654" xr:uid="{9F986864-2EFD-4801-88A2-BFABC710AB53}"/>
    <cellStyle name="Normal 13 3 7" xfId="4655" xr:uid="{0B838CE7-9789-48DF-AA3E-132461F4E7B5}"/>
    <cellStyle name="Normal 13 3 8" xfId="4656" xr:uid="{3F864D84-4622-4356-BC97-C4AFEA98CC9A}"/>
    <cellStyle name="Normal 13 3 9" xfId="4657" xr:uid="{4B9B944B-2C2C-4044-8484-FFA557BC58D0}"/>
    <cellStyle name="Normal 13 30" xfId="4658" xr:uid="{78A4D234-B7C1-410E-9427-0F3C96317BCA}"/>
    <cellStyle name="Normal 13 31" xfId="4659" xr:uid="{A2C1DB63-46B6-4744-925A-A8F3779334FE}"/>
    <cellStyle name="Normal 13 32" xfId="4660" xr:uid="{5508689F-32CA-4406-9F92-3E7EA7E98F1A}"/>
    <cellStyle name="Normal 13 33" xfId="4661" xr:uid="{A3DFCBD4-795F-4B52-8226-D7DE88869CCD}"/>
    <cellStyle name="Normal 13 34" xfId="4662" xr:uid="{5860A634-6734-4651-B753-0E22AFBAC23B}"/>
    <cellStyle name="Normal 13 35" xfId="4663" xr:uid="{B67816D6-2FF4-4138-A629-72722C253CC8}"/>
    <cellStyle name="Normal 13 36" xfId="4664" xr:uid="{D115B56E-07B9-4BF0-9094-896895EA7A7A}"/>
    <cellStyle name="Normal 13 37" xfId="4665" xr:uid="{1788A1DE-EA69-43C2-980E-6F4908AD284D}"/>
    <cellStyle name="Normal 13 38" xfId="4666" xr:uid="{A03B21FF-DECB-49BA-B5E7-CF34746AF395}"/>
    <cellStyle name="Normal 13 39" xfId="4667" xr:uid="{EC6B43C4-116D-4673-ADBB-123230D3DF11}"/>
    <cellStyle name="Normal 13 4" xfId="4668" xr:uid="{1E12E352-3E3E-46E1-A3D3-96FE69E68A78}"/>
    <cellStyle name="Normal 13 4 10" xfId="4669" xr:uid="{6BFC9897-80B1-4BD0-8475-4B0A6A23B11E}"/>
    <cellStyle name="Normal 13 4 11" xfId="4670" xr:uid="{79462E87-CA8B-40E4-B421-F22CBAFF6FC4}"/>
    <cellStyle name="Normal 13 4 12" xfId="4671" xr:uid="{BC6DFD4B-30C2-468A-AED1-69C4F29805DE}"/>
    <cellStyle name="Normal 13 4 13" xfId="4672" xr:uid="{9B88F6B1-5972-454B-AE28-304AC841E979}"/>
    <cellStyle name="Normal 13 4 14" xfId="4673" xr:uid="{895B522E-622A-47AE-88F9-3B346DA61D96}"/>
    <cellStyle name="Normal 13 4 15" xfId="4674" xr:uid="{9F5DEC90-87DB-4094-911D-5BF654005795}"/>
    <cellStyle name="Normal 13 4 16" xfId="4675" xr:uid="{D8CB5131-A9E0-470C-A975-B0421319B6A5}"/>
    <cellStyle name="Normal 13 4 17" xfId="4676" xr:uid="{7B583B51-18AA-4D1D-B78B-E3E0C44F12E1}"/>
    <cellStyle name="Normal 13 4 18" xfId="4677" xr:uid="{DF6E6C06-794E-418F-8CBD-077BE70E4D7B}"/>
    <cellStyle name="Normal 13 4 19" xfId="4678" xr:uid="{E03CC5FB-C026-4CDB-8E82-EE64C128B62F}"/>
    <cellStyle name="Normal 13 4 2" xfId="4679" xr:uid="{D9C7707E-69BC-410B-AE68-55AAF0157157}"/>
    <cellStyle name="Normal 13 4 2 10" xfId="4680" xr:uid="{F4F2CF64-8DB9-4AB0-9F54-CC76C5FC3D18}"/>
    <cellStyle name="Normal 13 4 2 11" xfId="4681" xr:uid="{B42E3CB4-A35C-4872-B86A-5C6F1146D976}"/>
    <cellStyle name="Normal 13 4 2 12" xfId="4682" xr:uid="{F7C8BEA1-EF42-4E38-A4B4-3EF89960ACA3}"/>
    <cellStyle name="Normal 13 4 2 13" xfId="4683" xr:uid="{B16B9D09-DAE1-4059-BFD6-8A7A57C1E305}"/>
    <cellStyle name="Normal 13 4 2 14" xfId="4684" xr:uid="{EE4D5520-2F97-43AD-BCFD-26A055926089}"/>
    <cellStyle name="Normal 13 4 2 15" xfId="4685" xr:uid="{8921A987-ECCB-4A07-A0CB-4ADFE42E7F3B}"/>
    <cellStyle name="Normal 13 4 2 16" xfId="4686" xr:uid="{C06CE9D2-CE4B-4656-819B-51BFD72B3FD9}"/>
    <cellStyle name="Normal 13 4 2 17" xfId="4687" xr:uid="{60560923-00F7-4A29-AC0A-DBABC1657500}"/>
    <cellStyle name="Normal 13 4 2 18" xfId="4688" xr:uid="{873D91A3-7553-41B3-A275-EDD5EC3F4FA3}"/>
    <cellStyle name="Normal 13 4 2 19" xfId="4689" xr:uid="{4A569182-A9B6-47B4-8BB1-17B193D89CF1}"/>
    <cellStyle name="Normal 13 4 2 2" xfId="4690" xr:uid="{A2C4B221-4D3F-4000-9785-FE19FC908405}"/>
    <cellStyle name="Normal 13 4 2 2 10" xfId="4691" xr:uid="{E46FEDB6-CAAB-4A36-92F5-23874F6DCB90}"/>
    <cellStyle name="Normal 13 4 2 2 11" xfId="4692" xr:uid="{284BEEC1-DBD8-4EC1-8797-B0CE0115DE23}"/>
    <cellStyle name="Normal 13 4 2 2 12" xfId="4693" xr:uid="{759882F0-9B33-429C-BF30-FA1164E73831}"/>
    <cellStyle name="Normal 13 4 2 2 13" xfId="4694" xr:uid="{21D804E6-736B-4524-B851-A682338540E9}"/>
    <cellStyle name="Normal 13 4 2 2 14" xfId="4695" xr:uid="{4052333D-F7D7-4A64-B9E2-9DDA7A13E748}"/>
    <cellStyle name="Normal 13 4 2 2 15" xfId="4696" xr:uid="{B8D1F8EF-8F03-4B2B-8924-5BCF51E628FF}"/>
    <cellStyle name="Normal 13 4 2 2 16" xfId="4697" xr:uid="{9E337827-3834-4FD2-B382-CAF02E37E390}"/>
    <cellStyle name="Normal 13 4 2 2 17" xfId="4698" xr:uid="{37E5CA87-7AAC-4715-842C-E72FC34E249C}"/>
    <cellStyle name="Normal 13 4 2 2 18" xfId="4699" xr:uid="{6579473C-C638-4572-86F9-3A62B58D71C8}"/>
    <cellStyle name="Normal 13 4 2 2 19" xfId="4700" xr:uid="{EB767209-4CAD-4BE0-BC1E-10E58C3382CD}"/>
    <cellStyle name="Normal 13 4 2 2 2" xfId="4701" xr:uid="{DB0A6CD5-D00A-4865-A30B-2C7CD12B66F0}"/>
    <cellStyle name="Normal 13 4 2 2 2 10" xfId="4702" xr:uid="{32A2DDD1-6055-42F9-97DB-863DDEF35170}"/>
    <cellStyle name="Normal 13 4 2 2 2 11" xfId="4703" xr:uid="{D6525CD2-2F8B-4C07-B99D-DAD936477DC8}"/>
    <cellStyle name="Normal 13 4 2 2 2 12" xfId="4704" xr:uid="{449034FF-4F79-484F-9CCD-4F02874751D7}"/>
    <cellStyle name="Normal 13 4 2 2 2 13" xfId="4705" xr:uid="{D86CA155-246F-4F1E-A079-58CD1E1A8AFE}"/>
    <cellStyle name="Normal 13 4 2 2 2 14" xfId="4706" xr:uid="{B9D25B9E-59B2-44B1-8920-68DED8843CDD}"/>
    <cellStyle name="Normal 13 4 2 2 2 15" xfId="4707" xr:uid="{12895108-C304-404E-99F7-8086A6E9E9E2}"/>
    <cellStyle name="Normal 13 4 2 2 2 16" xfId="4708" xr:uid="{F266EBA9-42BF-494F-8FD3-EF63BFCFF8C9}"/>
    <cellStyle name="Normal 13 4 2 2 2 17" xfId="4709" xr:uid="{365A9862-6B57-47A4-B0C7-A916EA6577CE}"/>
    <cellStyle name="Normal 13 4 2 2 2 18" xfId="4710" xr:uid="{3DC44DFB-B8BA-4336-BA56-ED768C0CBBC6}"/>
    <cellStyle name="Normal 13 4 2 2 2 19" xfId="4711" xr:uid="{0E3A3507-9868-45CD-83F7-42F7C0387240}"/>
    <cellStyle name="Normal 13 4 2 2 2 2" xfId="4712" xr:uid="{4BC1C01B-46F4-4EBC-BA02-22F4E79A66D2}"/>
    <cellStyle name="Normal 13 4 2 2 2 20" xfId="4713" xr:uid="{9F458A64-3DF5-4C37-AD97-E9B13F7D0365}"/>
    <cellStyle name="Normal 13 4 2 2 2 21" xfId="4714" xr:uid="{FAFB3479-BDF8-4E6A-AFF9-6F7D51DF2886}"/>
    <cellStyle name="Normal 13 4 2 2 2 22" xfId="4715" xr:uid="{E108CB68-0087-448D-A75D-DDC961E311FD}"/>
    <cellStyle name="Normal 13 4 2 2 2 23" xfId="4716" xr:uid="{3178CC3F-15A2-4F4F-8BC6-032B448A77B4}"/>
    <cellStyle name="Normal 13 4 2 2 2 24" xfId="4717" xr:uid="{CB5B3105-4333-403F-BCB8-3EBA237DA379}"/>
    <cellStyle name="Normal 13 4 2 2 2 25" xfId="4718" xr:uid="{EB40513C-BA69-4C86-B308-797CBB5E6F2A}"/>
    <cellStyle name="Normal 13 4 2 2 2 26" xfId="4719" xr:uid="{DCA1ADDD-5A01-4F2E-AE30-36D65212BFF4}"/>
    <cellStyle name="Normal 13 4 2 2 2 27" xfId="4720" xr:uid="{B279C200-A550-40F6-BA43-C3F2E157DB4E}"/>
    <cellStyle name="Normal 13 4 2 2 2 28" xfId="4721" xr:uid="{FCE29146-F38C-49E6-834C-2C968C4037B7}"/>
    <cellStyle name="Normal 13 4 2 2 2 29" xfId="4722" xr:uid="{AF80B0FA-80E8-49DE-AD73-CC8ED94FE697}"/>
    <cellStyle name="Normal 13 4 2 2 2 3" xfId="4723" xr:uid="{B2D09AB1-0453-4250-A11D-D2D63E9F6B13}"/>
    <cellStyle name="Normal 13 4 2 2 2 30" xfId="4724" xr:uid="{F5FE449D-1E25-4617-86FD-5AC7AD0C6D82}"/>
    <cellStyle name="Normal 13 4 2 2 2 31" xfId="4725" xr:uid="{B9472C68-B09A-4692-B220-88204A91C348}"/>
    <cellStyle name="Normal 13 4 2 2 2 32" xfId="4726" xr:uid="{E917D6F6-F467-4D52-B269-7518233D77DF}"/>
    <cellStyle name="Normal 13 4 2 2 2 33" xfId="4727" xr:uid="{FF70AA88-E3A6-4E02-99F4-E22339458CDB}"/>
    <cellStyle name="Normal 13 4 2 2 2 34" xfId="4728" xr:uid="{D13A61EE-B550-4298-B390-9E1AFA30CF15}"/>
    <cellStyle name="Normal 13 4 2 2 2 35" xfId="4729" xr:uid="{31DF4A32-BAFD-40D7-91A6-48CE417D9B93}"/>
    <cellStyle name="Normal 13 4 2 2 2 36" xfId="4730" xr:uid="{B86126CD-04AE-41AB-946F-7C3470F2C235}"/>
    <cellStyle name="Normal 13 4 2 2 2 37" xfId="4731" xr:uid="{71FC7FEA-AC6F-47F8-A87C-1CE5FD938313}"/>
    <cellStyle name="Normal 13 4 2 2 2 38" xfId="4732" xr:uid="{42D420BF-3B6D-403B-99D4-97F301C1F65B}"/>
    <cellStyle name="Normal 13 4 2 2 2 4" xfId="4733" xr:uid="{D948E9EC-2F3B-4B1F-88E3-464BF595E807}"/>
    <cellStyle name="Normal 13 4 2 2 2 5" xfId="4734" xr:uid="{021425A3-FE7F-44C7-8F14-083418DED145}"/>
    <cellStyle name="Normal 13 4 2 2 2 6" xfId="4735" xr:uid="{CFF6D224-692C-4AD9-B348-ADABB848AE1A}"/>
    <cellStyle name="Normal 13 4 2 2 2 7" xfId="4736" xr:uid="{9C44C164-9B47-46D4-B83A-D23E3D2B23F6}"/>
    <cellStyle name="Normal 13 4 2 2 2 8" xfId="4737" xr:uid="{BA872AD0-8F25-4F6B-80D0-99421F461702}"/>
    <cellStyle name="Normal 13 4 2 2 2 9" xfId="4738" xr:uid="{E04B848A-C61D-4C35-9D88-FFA28DE560A5}"/>
    <cellStyle name="Normal 13 4 2 2 20" xfId="4739" xr:uid="{811A0C4D-8518-492D-8FAC-D690B2A17073}"/>
    <cellStyle name="Normal 13 4 2 2 21" xfId="4740" xr:uid="{FCE4545E-2BF0-4A4D-ACC5-7424713709F9}"/>
    <cellStyle name="Normal 13 4 2 2 22" xfId="4741" xr:uid="{BA9166F7-BCDC-44E4-A0AF-C0983596E003}"/>
    <cellStyle name="Normal 13 4 2 2 23" xfId="4742" xr:uid="{8DCD7B6F-B7C9-42F0-8E71-84C75E7A163F}"/>
    <cellStyle name="Normal 13 4 2 2 24" xfId="4743" xr:uid="{6B327D27-6102-46C2-973A-15324306CD75}"/>
    <cellStyle name="Normal 13 4 2 2 25" xfId="4744" xr:uid="{02ACA90A-804D-4DF9-AE50-FABD842E617D}"/>
    <cellStyle name="Normal 13 4 2 2 26" xfId="4745" xr:uid="{9177D66E-A16A-4ACE-BD22-C4F58271552B}"/>
    <cellStyle name="Normal 13 4 2 2 27" xfId="4746" xr:uid="{2EB40299-D329-449E-A17D-435E14AD9D00}"/>
    <cellStyle name="Normal 13 4 2 2 28" xfId="4747" xr:uid="{41D279F2-2E4B-4E69-BC31-0BFB1D2CFA18}"/>
    <cellStyle name="Normal 13 4 2 2 29" xfId="4748" xr:uid="{9D568FAF-3F48-4D79-B685-6E72E3920E05}"/>
    <cellStyle name="Normal 13 4 2 2 3" xfId="4749" xr:uid="{D38095C5-3332-4B04-B93F-B035D6CA665E}"/>
    <cellStyle name="Normal 13 4 2 2 30" xfId="4750" xr:uid="{01AEAC05-2E0B-4836-8108-1909E1726512}"/>
    <cellStyle name="Normal 13 4 2 2 31" xfId="4751" xr:uid="{84FB97C3-8A98-49B2-8F8D-E0E2AD379E67}"/>
    <cellStyle name="Normal 13 4 2 2 32" xfId="4752" xr:uid="{706C1367-0F3D-4E67-98C3-B1E39077624F}"/>
    <cellStyle name="Normal 13 4 2 2 33" xfId="4753" xr:uid="{3796384E-781C-473E-B9D5-D08E5F3A71BF}"/>
    <cellStyle name="Normal 13 4 2 2 34" xfId="4754" xr:uid="{EB6C128E-4277-4C54-AD40-C1CB79AAD7EB}"/>
    <cellStyle name="Normal 13 4 2 2 35" xfId="4755" xr:uid="{AB6BADF7-BE7C-4CBB-876F-A39135F239B6}"/>
    <cellStyle name="Normal 13 4 2 2 36" xfId="4756" xr:uid="{00B6AE74-4BA9-49CB-AB8F-CD4463EDC221}"/>
    <cellStyle name="Normal 13 4 2 2 37" xfId="4757" xr:uid="{5EFA3315-BB6B-4026-A958-CBF4EBFEE802}"/>
    <cellStyle name="Normal 13 4 2 2 38" xfId="4758" xr:uid="{C9361134-D306-42F0-AE25-2DDD4624A6F4}"/>
    <cellStyle name="Normal 13 4 2 2 4" xfId="4759" xr:uid="{C81A6086-5424-4CE5-95E1-E1D61AF65B58}"/>
    <cellStyle name="Normal 13 4 2 2 5" xfId="4760" xr:uid="{707A67E7-684D-4AF9-8F44-E783B4624855}"/>
    <cellStyle name="Normal 13 4 2 2 6" xfId="4761" xr:uid="{B88CE849-EC0A-442D-97EF-448852719E34}"/>
    <cellStyle name="Normal 13 4 2 2 7" xfId="4762" xr:uid="{56C6995E-539B-4C3D-A927-2C17A53484C4}"/>
    <cellStyle name="Normal 13 4 2 2 8" xfId="4763" xr:uid="{D474F8A8-08B4-4DB1-AF7A-EC637D58424C}"/>
    <cellStyle name="Normal 13 4 2 2 9" xfId="4764" xr:uid="{C76C12A9-FBF9-47B1-9BC4-288A19F2D914}"/>
    <cellStyle name="Normal 13 4 2 20" xfId="4765" xr:uid="{C35D03E0-FDBD-4568-A6FD-DBD0B086E89C}"/>
    <cellStyle name="Normal 13 4 2 21" xfId="4766" xr:uid="{5001D81D-3378-4C41-B8BE-19DFA77F2D1B}"/>
    <cellStyle name="Normal 13 4 2 22" xfId="4767" xr:uid="{E3C19254-D3AC-4073-A8D4-04C27975C4D5}"/>
    <cellStyle name="Normal 13 4 2 23" xfId="4768" xr:uid="{6DC646D8-EDC7-44A1-85B5-4FFFFEBEB106}"/>
    <cellStyle name="Normal 13 4 2 24" xfId="4769" xr:uid="{95C09BD4-C072-49DD-9202-1F7A6ABA7D05}"/>
    <cellStyle name="Normal 13 4 2 25" xfId="4770" xr:uid="{F35E728F-0189-4A28-B4D5-A1C7F49B367B}"/>
    <cellStyle name="Normal 13 4 2 26" xfId="4771" xr:uid="{AE2EA38C-76C2-4E08-8B9D-7CCED2707E15}"/>
    <cellStyle name="Normal 13 4 2 27" xfId="4772" xr:uid="{F7269B91-F127-487C-8759-B3797AC528E8}"/>
    <cellStyle name="Normal 13 4 2 28" xfId="4773" xr:uid="{27B5E49A-5E49-417A-9B0C-24AB53FA02CB}"/>
    <cellStyle name="Normal 13 4 2 29" xfId="4774" xr:uid="{6595554B-7B61-4373-968D-5AB654E57D2A}"/>
    <cellStyle name="Normal 13 4 2 3" xfId="4775" xr:uid="{8FF9619F-2725-4B0A-915B-523FDDE1E6DD}"/>
    <cellStyle name="Normal 13 4 2 30" xfId="4776" xr:uid="{1096939D-CE08-47B3-B936-FCD743161B09}"/>
    <cellStyle name="Normal 13 4 2 31" xfId="4777" xr:uid="{9A3AD2F2-7C50-48C7-9704-B33F4CFB6CE6}"/>
    <cellStyle name="Normal 13 4 2 32" xfId="4778" xr:uid="{37FE54A3-3064-456A-A2EC-48DC111FDB32}"/>
    <cellStyle name="Normal 13 4 2 33" xfId="4779" xr:uid="{C6A4F2EF-63B7-4165-BC0D-FDE9440EED9D}"/>
    <cellStyle name="Normal 13 4 2 34" xfId="4780" xr:uid="{30491330-F900-4C1A-B152-21D6E69CCEE1}"/>
    <cellStyle name="Normal 13 4 2 35" xfId="4781" xr:uid="{4265FF59-6E2C-4BA3-8514-D1CC7618E214}"/>
    <cellStyle name="Normal 13 4 2 36" xfId="4782" xr:uid="{6245D9AB-8CFF-45D0-8B1C-BDF87B48AAE7}"/>
    <cellStyle name="Normal 13 4 2 37" xfId="4783" xr:uid="{07440868-E608-45EE-99B8-6B43BCD2DA48}"/>
    <cellStyle name="Normal 13 4 2 38" xfId="4784" xr:uid="{0C7ED0B5-5E43-4740-8C64-05289A8A03EF}"/>
    <cellStyle name="Normal 13 4 2 39" xfId="4785" xr:uid="{70263212-E174-4C05-9548-C489BA6D8B44}"/>
    <cellStyle name="Normal 13 4 2 4" xfId="4786" xr:uid="{A62827B8-FA51-4947-9397-668BE2055461}"/>
    <cellStyle name="Normal 13 4 2 40" xfId="4787" xr:uid="{BC8C5096-F154-4DD7-AB7B-52383FFBBBE2}"/>
    <cellStyle name="Normal 13 4 2 5" xfId="4788" xr:uid="{7D37D8E0-7286-4179-AD5A-AA959EDD3A5C}"/>
    <cellStyle name="Normal 13 4 2 6" xfId="4789" xr:uid="{126FFB4B-3AAC-4B13-B8AB-D266A7F09AF1}"/>
    <cellStyle name="Normal 13 4 2 7" xfId="4790" xr:uid="{1DEED364-C2C0-4423-9C07-2F677AD196E6}"/>
    <cellStyle name="Normal 13 4 2 8" xfId="4791" xr:uid="{2D492AE7-CE19-4AD8-BF46-13F0D8C53D09}"/>
    <cellStyle name="Normal 13 4 2 9" xfId="4792" xr:uid="{1DE494BA-53B1-439F-880E-874E671247D5}"/>
    <cellStyle name="Normal 13 4 20" xfId="4793" xr:uid="{B51E863A-FE64-4833-BCDE-F61468E827AD}"/>
    <cellStyle name="Normal 13 4 21" xfId="4794" xr:uid="{A116A5D2-9A38-44AC-A25C-AEB1D10DAC59}"/>
    <cellStyle name="Normal 13 4 22" xfId="4795" xr:uid="{525F13DF-E615-4D51-8433-17A98B4C8FC6}"/>
    <cellStyle name="Normal 13 4 23" xfId="4796" xr:uid="{1411F1EB-7383-4CBD-ADEF-F2B3E4094DEF}"/>
    <cellStyle name="Normal 13 4 24" xfId="4797" xr:uid="{AC1C5A25-0CDD-4BC0-8C3E-DE5F54B08E49}"/>
    <cellStyle name="Normal 13 4 25" xfId="4798" xr:uid="{1ACB3F51-EAFB-4444-8D82-2F1522D3DA62}"/>
    <cellStyle name="Normal 13 4 26" xfId="4799" xr:uid="{917BB5EC-9A97-4A9B-825D-F181D1D7566C}"/>
    <cellStyle name="Normal 13 4 27" xfId="4800" xr:uid="{4555BF67-B994-4ED2-A4CE-00791475B1DA}"/>
    <cellStyle name="Normal 13 4 28" xfId="4801" xr:uid="{9AF98CDF-A1A2-4381-85B3-6647351AF54F}"/>
    <cellStyle name="Normal 13 4 29" xfId="4802" xr:uid="{F1409403-0319-4799-A753-5CFD4564B273}"/>
    <cellStyle name="Normal 13 4 3" xfId="4803" xr:uid="{800B6419-BC82-486B-9666-1308E9AD00FD}"/>
    <cellStyle name="Normal 13 4 3 10" xfId="4804" xr:uid="{28FE810C-4BDB-42FD-8678-975BDA7A9095}"/>
    <cellStyle name="Normal 13 4 3 11" xfId="4805" xr:uid="{C07CFB92-891C-4EFB-87F5-9377D3F231B4}"/>
    <cellStyle name="Normal 13 4 3 12" xfId="4806" xr:uid="{594A9FAD-A30E-4A18-9CCF-F8177AAAB67E}"/>
    <cellStyle name="Normal 13 4 3 13" xfId="4807" xr:uid="{EA3DC583-3FCF-4E56-9EE6-2A6DB8629240}"/>
    <cellStyle name="Normal 13 4 3 14" xfId="4808" xr:uid="{4989C505-4903-4B9F-860F-9FC4F60A3AFD}"/>
    <cellStyle name="Normal 13 4 3 15" xfId="4809" xr:uid="{75502D76-11A5-4AEF-86CC-CC3938DC3B27}"/>
    <cellStyle name="Normal 13 4 3 16" xfId="4810" xr:uid="{8BC9CC7D-4148-408A-A180-4C9FBFCED4FD}"/>
    <cellStyle name="Normal 13 4 3 17" xfId="4811" xr:uid="{ACC8579F-8947-4883-B504-44FEAEFBC088}"/>
    <cellStyle name="Normal 13 4 3 18" xfId="4812" xr:uid="{9EEEC902-01F9-4D23-A3D0-F838C64F5ADA}"/>
    <cellStyle name="Normal 13 4 3 19" xfId="4813" xr:uid="{6AC31337-43B4-46F7-8905-0A80990001CA}"/>
    <cellStyle name="Normal 13 4 3 2" xfId="4814" xr:uid="{5239A164-B534-4919-BA1E-424862A69B92}"/>
    <cellStyle name="Normal 13 4 3 2 10" xfId="4815" xr:uid="{B5AE91BE-CEB9-4573-A5F4-4E4DC5CAF610}"/>
    <cellStyle name="Normal 13 4 3 2 11" xfId="4816" xr:uid="{CEBE4393-FB63-41E2-B6EC-1CD81D14FA6C}"/>
    <cellStyle name="Normal 13 4 3 2 12" xfId="4817" xr:uid="{AE655207-D05E-401E-9835-73086113B798}"/>
    <cellStyle name="Normal 13 4 3 2 13" xfId="4818" xr:uid="{B3233705-ADCE-4206-ADA8-C85966B68A09}"/>
    <cellStyle name="Normal 13 4 3 2 14" xfId="4819" xr:uid="{88F5A0E8-0053-4EA4-BE36-5592F8866F47}"/>
    <cellStyle name="Normal 13 4 3 2 15" xfId="4820" xr:uid="{77CD9B20-84F2-47C3-BE66-5EF6232FCDF8}"/>
    <cellStyle name="Normal 13 4 3 2 16" xfId="4821" xr:uid="{C48FCC79-A3C5-42A7-B9B6-E7C7DDC84BD0}"/>
    <cellStyle name="Normal 13 4 3 2 17" xfId="4822" xr:uid="{F37ABA68-E86E-4E5E-80AB-13A40C00068B}"/>
    <cellStyle name="Normal 13 4 3 2 18" xfId="4823" xr:uid="{464E8694-E014-41E1-AAAA-8FB02564CCCC}"/>
    <cellStyle name="Normal 13 4 3 2 19" xfId="4824" xr:uid="{A534A023-AFBB-43CA-9D6B-7E48A4854801}"/>
    <cellStyle name="Normal 13 4 3 2 2" xfId="4825" xr:uid="{80DC8D16-CB93-4B52-9742-3FA14B7B3D8C}"/>
    <cellStyle name="Normal 13 4 3 2 20" xfId="4826" xr:uid="{E64790AC-DA2A-4685-AF3F-BF4D8574BD2B}"/>
    <cellStyle name="Normal 13 4 3 2 21" xfId="4827" xr:uid="{9467B745-FDFB-4615-A099-D2A25CF2DF75}"/>
    <cellStyle name="Normal 13 4 3 2 22" xfId="4828" xr:uid="{866E3CB6-7A22-44CA-A077-8EDABDCB6A6E}"/>
    <cellStyle name="Normal 13 4 3 2 23" xfId="4829" xr:uid="{934828C3-123F-4EF9-BC8F-945EFB903FD7}"/>
    <cellStyle name="Normal 13 4 3 2 24" xfId="4830" xr:uid="{DF796625-6537-483E-B334-9C6B98025A7A}"/>
    <cellStyle name="Normal 13 4 3 2 25" xfId="4831" xr:uid="{41D274C1-CBBE-40CF-AB44-2928D352260B}"/>
    <cellStyle name="Normal 13 4 3 2 26" xfId="4832" xr:uid="{90280B92-B0D5-42BE-9571-3714275B4107}"/>
    <cellStyle name="Normal 13 4 3 2 27" xfId="4833" xr:uid="{202B01FD-F40E-4696-BAA9-E08ADCCAD79A}"/>
    <cellStyle name="Normal 13 4 3 2 28" xfId="4834" xr:uid="{3DC3ABF6-A3EF-4A17-8AA7-FDCF14315208}"/>
    <cellStyle name="Normal 13 4 3 2 29" xfId="4835" xr:uid="{F5DD61F1-96BC-41DF-9BC2-BE28ACDCE325}"/>
    <cellStyle name="Normal 13 4 3 2 3" xfId="4836" xr:uid="{0C8F14C4-3958-4D01-9B80-B514E029F75C}"/>
    <cellStyle name="Normal 13 4 3 2 30" xfId="4837" xr:uid="{DE6842AC-DE70-4AF1-BEF3-E916B5C61923}"/>
    <cellStyle name="Normal 13 4 3 2 31" xfId="4838" xr:uid="{EF7B9859-EF87-4A92-BA5F-8F0EEDC1A899}"/>
    <cellStyle name="Normal 13 4 3 2 32" xfId="4839" xr:uid="{CC934A79-A168-4545-A724-0B327915EC22}"/>
    <cellStyle name="Normal 13 4 3 2 33" xfId="4840" xr:uid="{6FECB348-8026-488D-8A92-55F01448FDBB}"/>
    <cellStyle name="Normal 13 4 3 2 34" xfId="4841" xr:uid="{2799E413-8744-4E0B-858D-4481AA872986}"/>
    <cellStyle name="Normal 13 4 3 2 35" xfId="4842" xr:uid="{25F98DC0-0CEB-4E51-B15C-CBAB1E05C566}"/>
    <cellStyle name="Normal 13 4 3 2 36" xfId="4843" xr:uid="{5BB489DF-80E6-4487-92ED-78BE939AF533}"/>
    <cellStyle name="Normal 13 4 3 2 37" xfId="4844" xr:uid="{9B072372-F704-47F3-A4AA-B1897EBD78E9}"/>
    <cellStyle name="Normal 13 4 3 2 38" xfId="4845" xr:uid="{692E15B7-CE71-4F93-9F39-AFA0D1DC40AF}"/>
    <cellStyle name="Normal 13 4 3 2 4" xfId="4846" xr:uid="{2E7A2359-A273-4E40-97CE-639EC4DED908}"/>
    <cellStyle name="Normal 13 4 3 2 5" xfId="4847" xr:uid="{A1F97EC7-2A3F-4447-8873-1D00369BFDC1}"/>
    <cellStyle name="Normal 13 4 3 2 6" xfId="4848" xr:uid="{722611FA-346D-4710-A73B-CE54BD025372}"/>
    <cellStyle name="Normal 13 4 3 2 7" xfId="4849" xr:uid="{85C4DE95-19E4-40AF-92E6-17B8DF0A35E9}"/>
    <cellStyle name="Normal 13 4 3 2 8" xfId="4850" xr:uid="{BEED5C48-0B54-403A-AE8A-A65898233B99}"/>
    <cellStyle name="Normal 13 4 3 2 9" xfId="4851" xr:uid="{F828C62E-3EF0-4B4D-8286-C85E4CD7D1E0}"/>
    <cellStyle name="Normal 13 4 3 20" xfId="4852" xr:uid="{81748E01-1DDB-4ACE-ADFD-2FFAD5A38F1C}"/>
    <cellStyle name="Normal 13 4 3 21" xfId="4853" xr:uid="{38ACAC6E-0B55-4550-9A79-13275E28F526}"/>
    <cellStyle name="Normal 13 4 3 22" xfId="4854" xr:uid="{4C58CFEC-AA08-4BCF-AA08-FD09020EDA4C}"/>
    <cellStyle name="Normal 13 4 3 23" xfId="4855" xr:uid="{17CF0CA5-6919-411D-BC66-43B66F44567A}"/>
    <cellStyle name="Normal 13 4 3 24" xfId="4856" xr:uid="{AB73D246-A864-4CDD-AE9B-1C8C30BF0052}"/>
    <cellStyle name="Normal 13 4 3 25" xfId="4857" xr:uid="{08335BF0-3E73-46C9-899D-AFBFDDBB711B}"/>
    <cellStyle name="Normal 13 4 3 26" xfId="4858" xr:uid="{BE017902-181D-49B4-A390-01EB2A926F08}"/>
    <cellStyle name="Normal 13 4 3 27" xfId="4859" xr:uid="{7268EF2B-6E1A-4A9C-8604-1A431721ADC3}"/>
    <cellStyle name="Normal 13 4 3 28" xfId="4860" xr:uid="{4B9E6AA2-EEB7-4FB6-9DA0-C9F051C11BA9}"/>
    <cellStyle name="Normal 13 4 3 29" xfId="4861" xr:uid="{21E015A9-AF3A-417C-9FCF-A6C5F2FB25FE}"/>
    <cellStyle name="Normal 13 4 3 3" xfId="4862" xr:uid="{ED566F03-DB77-4E97-B848-80175C1AED2E}"/>
    <cellStyle name="Normal 13 4 3 30" xfId="4863" xr:uid="{21678AC2-122B-414B-8225-AB95C6766EF5}"/>
    <cellStyle name="Normal 13 4 3 31" xfId="4864" xr:uid="{8B1F744B-DC83-416D-A83D-7F7489FE027E}"/>
    <cellStyle name="Normal 13 4 3 32" xfId="4865" xr:uid="{83589BAA-85A2-4304-A3D3-308F3DFC4A10}"/>
    <cellStyle name="Normal 13 4 3 33" xfId="4866" xr:uid="{D48514BB-91E7-496E-80FE-164F1AFA060C}"/>
    <cellStyle name="Normal 13 4 3 34" xfId="4867" xr:uid="{E0E00D11-EDBD-4C34-BBDD-E968380B7315}"/>
    <cellStyle name="Normal 13 4 3 35" xfId="4868" xr:uid="{88BA2614-B579-4800-82CF-8944F691B03A}"/>
    <cellStyle name="Normal 13 4 3 36" xfId="4869" xr:uid="{1961C365-DBF9-4741-AAA9-75CC7CABEB31}"/>
    <cellStyle name="Normal 13 4 3 37" xfId="4870" xr:uid="{9DDFF355-DAF9-440A-BDA3-D7AA0289CB17}"/>
    <cellStyle name="Normal 13 4 3 38" xfId="4871" xr:uid="{BD65E912-DA39-4B97-A6C6-29699CEF0BF4}"/>
    <cellStyle name="Normal 13 4 3 4" xfId="4872" xr:uid="{C1399A03-F72A-4501-B733-91F9E041D6AB}"/>
    <cellStyle name="Normal 13 4 3 5" xfId="4873" xr:uid="{766ACCC1-F154-42C1-A44C-AB2A09230EFF}"/>
    <cellStyle name="Normal 13 4 3 6" xfId="4874" xr:uid="{352EE4BF-5EDC-45D7-AE30-E0DD64801A33}"/>
    <cellStyle name="Normal 13 4 3 7" xfId="4875" xr:uid="{5820040D-2CC9-466F-A05C-1B68817AD168}"/>
    <cellStyle name="Normal 13 4 3 8" xfId="4876" xr:uid="{5F20FD79-CDA6-4CA6-A96C-F53560899021}"/>
    <cellStyle name="Normal 13 4 3 9" xfId="4877" xr:uid="{83A7E3B4-C162-40F7-96FD-8B898A207E64}"/>
    <cellStyle name="Normal 13 4 30" xfId="4878" xr:uid="{A465AD7A-5C34-4E58-9650-3E6B4DCA9EFA}"/>
    <cellStyle name="Normal 13 4 31" xfId="4879" xr:uid="{F802F256-07FC-41F6-BC37-5C97FA7672A9}"/>
    <cellStyle name="Normal 13 4 32" xfId="4880" xr:uid="{67FE6B04-FBF9-4CD3-B0EE-0001EB3C9BD5}"/>
    <cellStyle name="Normal 13 4 33" xfId="4881" xr:uid="{A87AD6BF-EC31-4F4A-A05C-7843B1E19997}"/>
    <cellStyle name="Normal 13 4 34" xfId="4882" xr:uid="{CF4B7E8D-1D05-41F9-8E0B-8AA713D55B24}"/>
    <cellStyle name="Normal 13 4 35" xfId="4883" xr:uid="{B3C86FC0-5682-4562-8996-6DC7AB8F386E}"/>
    <cellStyle name="Normal 13 4 36" xfId="4884" xr:uid="{8B4D65F4-AFB4-44A5-9A80-3F14E19C166B}"/>
    <cellStyle name="Normal 13 4 37" xfId="4885" xr:uid="{B33804F1-6569-4094-9783-259181412799}"/>
    <cellStyle name="Normal 13 4 38" xfId="4886" xr:uid="{CC72479E-BAAF-4CD3-8B2D-47F4C13B47CA}"/>
    <cellStyle name="Normal 13 4 39" xfId="4887" xr:uid="{8B7BE5EA-0FFF-4117-A444-85F0DB82DDA2}"/>
    <cellStyle name="Normal 13 4 4" xfId="4888" xr:uid="{A8F42A1E-845E-47C8-9E9D-16F8B4BA923B}"/>
    <cellStyle name="Normal 13 4 40" xfId="4889" xr:uid="{620F864D-9B96-48A3-B020-93CAED219DA6}"/>
    <cellStyle name="Normal 13 4 41" xfId="4890" xr:uid="{7DDE1A82-28F4-4AE3-93FA-578D81F81AA5}"/>
    <cellStyle name="Normal 13 4 42" xfId="4891" xr:uid="{12B5E66F-D434-4FE2-B9C2-C1B7AFC2478A}"/>
    <cellStyle name="Normal 13 4 43" xfId="4892" xr:uid="{A8D5272E-4E8A-4690-9BF9-E6044EBC719A}"/>
    <cellStyle name="Normal 13 4 44" xfId="4893" xr:uid="{37D1CC61-4B56-447D-8F30-8FE6F7F98663}"/>
    <cellStyle name="Normal 13 4 45" xfId="4894" xr:uid="{1B3F53B2-D4C6-414E-A42A-C721CCC35546}"/>
    <cellStyle name="Normal 13 4 46" xfId="4895" xr:uid="{A2F84056-558F-4989-A97D-563AFBE288FC}"/>
    <cellStyle name="Normal 13 4 47" xfId="4896" xr:uid="{68C75FFC-C825-4756-8098-AC48E077BE34}"/>
    <cellStyle name="Normal 13 4 5" xfId="4897" xr:uid="{F5107757-36BB-46C2-982E-01B10AB88C3D}"/>
    <cellStyle name="Normal 13 4 6" xfId="4898" xr:uid="{8EE90354-06EA-4A44-B3FF-127A162F64D3}"/>
    <cellStyle name="Normal 13 4 7" xfId="4899" xr:uid="{B8CD50E2-4681-4A0F-BC07-17EAC1B92A16}"/>
    <cellStyle name="Normal 13 4 8" xfId="4900" xr:uid="{20464240-E458-4C2B-ACAC-EF5C1C90D3FE}"/>
    <cellStyle name="Normal 13 4 9" xfId="4901" xr:uid="{014CF509-148B-4C16-89FD-B204F41D54E9}"/>
    <cellStyle name="Normal 13 40" xfId="4902" xr:uid="{C364D377-2621-44CE-BEF0-BFE771B45495}"/>
    <cellStyle name="Normal 13 41" xfId="4903" xr:uid="{99B7016C-C031-4ACB-9DC4-F97EFADDECE6}"/>
    <cellStyle name="Normal 13 42" xfId="4904" xr:uid="{770FC529-AEEB-4ACD-BA0A-5EDF2D67F68D}"/>
    <cellStyle name="Normal 13 43" xfId="4905" xr:uid="{6C5C596D-8054-48DB-9D6A-C2342B43011B}"/>
    <cellStyle name="Normal 13 44" xfId="4906" xr:uid="{EC3104BE-D5B6-4FD1-8757-0F82DF4C918C}"/>
    <cellStyle name="Normal 13 45" xfId="4907" xr:uid="{00AACFA5-99BB-402F-8D20-A1C070E65856}"/>
    <cellStyle name="Normal 13 46" xfId="4908" xr:uid="{CE7DEA28-5571-4321-ACB4-22C51BB904D3}"/>
    <cellStyle name="Normal 13 47" xfId="4909" xr:uid="{212E272C-5A71-465F-8A80-0A52E4AF71D2}"/>
    <cellStyle name="Normal 13 48" xfId="4910" xr:uid="{D35681F7-8313-49A4-8C8A-33CBB55B25D1}"/>
    <cellStyle name="Normal 13 49" xfId="4911" xr:uid="{12A1A0CE-7A44-4EAF-A911-F236E80AD679}"/>
    <cellStyle name="Normal 13 5" xfId="4912" xr:uid="{7B6B4D46-58CA-405E-8601-34FD3DF25B26}"/>
    <cellStyle name="Normal 13 5 10" xfId="4913" xr:uid="{F2281961-5D8A-4D55-9D13-390662A7E498}"/>
    <cellStyle name="Normal 13 5 11" xfId="4914" xr:uid="{9751A4AA-D094-453C-A67C-AA5C9FB3DF6B}"/>
    <cellStyle name="Normal 13 5 12" xfId="4915" xr:uid="{C316FB54-0123-4D71-8B68-374992C237CF}"/>
    <cellStyle name="Normal 13 5 13" xfId="4916" xr:uid="{CCEA159D-A8B9-4417-8149-F85D50E9DCF2}"/>
    <cellStyle name="Normal 13 5 14" xfId="4917" xr:uid="{739AC2FC-A0D9-46EE-BC5B-B29AB440B6F7}"/>
    <cellStyle name="Normal 13 5 15" xfId="4918" xr:uid="{FF4CBB42-AAFA-4484-A138-1AD425FB22C3}"/>
    <cellStyle name="Normal 13 5 16" xfId="4919" xr:uid="{3FE26926-E810-45D6-BD80-1477D7C4FCEE}"/>
    <cellStyle name="Normal 13 5 17" xfId="4920" xr:uid="{DC6039B5-892D-4AD0-BCCB-24F2353F457E}"/>
    <cellStyle name="Normal 13 5 18" xfId="4921" xr:uid="{55A81BEA-45EC-425A-8293-976B8CB387ED}"/>
    <cellStyle name="Normal 13 5 19" xfId="4922" xr:uid="{B4240FC3-EC9D-43DD-9273-B6DBD799463C}"/>
    <cellStyle name="Normal 13 5 2" xfId="4923" xr:uid="{CB5FEE15-F4F6-4138-B792-1DA06C906E0F}"/>
    <cellStyle name="Normal 13 5 2 10" xfId="4924" xr:uid="{D5CCA827-B88B-481D-94B4-5D8D06E98B64}"/>
    <cellStyle name="Normal 13 5 2 11" xfId="4925" xr:uid="{957802E9-06A4-4EEB-9465-D10ED68BD2EC}"/>
    <cellStyle name="Normal 13 5 2 12" xfId="4926" xr:uid="{1C24487A-BD07-4CBB-B8E9-FC568990420F}"/>
    <cellStyle name="Normal 13 5 2 13" xfId="4927" xr:uid="{5B4B84E7-55AA-4DCE-863A-69559A556AAC}"/>
    <cellStyle name="Normal 13 5 2 14" xfId="4928" xr:uid="{BDE5F0A4-9502-4B20-A0BC-424CFF7892E0}"/>
    <cellStyle name="Normal 13 5 2 15" xfId="4929" xr:uid="{AA26FFE7-4C97-41A5-8594-90787DB17F9B}"/>
    <cellStyle name="Normal 13 5 2 16" xfId="4930" xr:uid="{54E9C8B0-4F60-430C-8CE8-3C07935E932E}"/>
    <cellStyle name="Normal 13 5 2 17" xfId="4931" xr:uid="{292F0448-A1DD-4422-B63E-5001A37A98CA}"/>
    <cellStyle name="Normal 13 5 2 18" xfId="4932" xr:uid="{1481B086-3F8C-44C2-889E-2F38116A8C9E}"/>
    <cellStyle name="Normal 13 5 2 19" xfId="4933" xr:uid="{A14F4AA7-99CD-4B80-B856-64B34CC3D739}"/>
    <cellStyle name="Normal 13 5 2 2" xfId="4934" xr:uid="{18F9F059-810F-4CBA-BA16-5BC293B590F6}"/>
    <cellStyle name="Normal 13 5 2 2 10" xfId="4935" xr:uid="{A6ED92DC-3563-40F8-8F2C-1E959DE5C8CB}"/>
    <cellStyle name="Normal 13 5 2 2 11" xfId="4936" xr:uid="{87A36F1A-A76F-43B0-BAFD-9FAECD2F19CD}"/>
    <cellStyle name="Normal 13 5 2 2 12" xfId="4937" xr:uid="{CAD8E406-BB8B-42C2-B02A-3A3FA569ECE9}"/>
    <cellStyle name="Normal 13 5 2 2 13" xfId="4938" xr:uid="{2ECB431F-6211-4336-9995-ED45559E43C5}"/>
    <cellStyle name="Normal 13 5 2 2 14" xfId="4939" xr:uid="{A38BB602-DF49-43A3-B648-9B299A0169AC}"/>
    <cellStyle name="Normal 13 5 2 2 15" xfId="4940" xr:uid="{CFB4A2DE-6163-49D8-BC70-9D6ED6A135D9}"/>
    <cellStyle name="Normal 13 5 2 2 16" xfId="4941" xr:uid="{514B15BB-E38E-481B-A4CE-FED4B1717ED4}"/>
    <cellStyle name="Normal 13 5 2 2 17" xfId="4942" xr:uid="{A6C69ED0-5D42-40C7-8FF5-F064F63CB12F}"/>
    <cellStyle name="Normal 13 5 2 2 18" xfId="4943" xr:uid="{C8DF9570-7D0D-48B5-9B00-F641A2AFC1A7}"/>
    <cellStyle name="Normal 13 5 2 2 19" xfId="4944" xr:uid="{2B213800-AFFD-4169-9A92-58B7FEC82EAB}"/>
    <cellStyle name="Normal 13 5 2 2 2" xfId="4945" xr:uid="{CEF71B25-1BC7-40F8-B291-CAC8ED412F73}"/>
    <cellStyle name="Normal 13 5 2 2 2 10" xfId="4946" xr:uid="{B3B8221D-9DAD-4476-81D5-974D11C26F96}"/>
    <cellStyle name="Normal 13 5 2 2 2 11" xfId="4947" xr:uid="{59EB623F-7196-477A-8C59-6E8CC098594C}"/>
    <cellStyle name="Normal 13 5 2 2 2 12" xfId="4948" xr:uid="{33AFD807-106B-407F-B10F-7CE8260AFA1F}"/>
    <cellStyle name="Normal 13 5 2 2 2 13" xfId="4949" xr:uid="{EC402CBF-01AE-4D5C-847F-F9928439AE6D}"/>
    <cellStyle name="Normal 13 5 2 2 2 14" xfId="4950" xr:uid="{A5107EC7-1852-42D4-92F1-CD7A25482EA0}"/>
    <cellStyle name="Normal 13 5 2 2 2 15" xfId="4951" xr:uid="{FEA7A855-285D-43F0-BE36-701861D77E7C}"/>
    <cellStyle name="Normal 13 5 2 2 2 16" xfId="4952" xr:uid="{4085D3F9-CB91-4F17-B5BF-3242EC9190D7}"/>
    <cellStyle name="Normal 13 5 2 2 2 17" xfId="4953" xr:uid="{8AD8901B-3EB6-4B35-AA4D-077C35DAC69E}"/>
    <cellStyle name="Normal 13 5 2 2 2 18" xfId="4954" xr:uid="{C73FDD24-7F1F-4669-88EA-905242491EC1}"/>
    <cellStyle name="Normal 13 5 2 2 2 19" xfId="4955" xr:uid="{291D1980-AEDF-461B-8B37-7398919FE66E}"/>
    <cellStyle name="Normal 13 5 2 2 2 2" xfId="4956" xr:uid="{E67B7786-A987-4918-9D9B-F8ED48EB33A7}"/>
    <cellStyle name="Normal 13 5 2 2 2 20" xfId="4957" xr:uid="{5CBF8A6B-15AC-49FC-A41A-A227D9DB87A0}"/>
    <cellStyle name="Normal 13 5 2 2 2 21" xfId="4958" xr:uid="{C2995A41-5395-4C2D-BDFE-38D341D83003}"/>
    <cellStyle name="Normal 13 5 2 2 2 22" xfId="4959" xr:uid="{317B1927-A33B-4D25-97D8-60AC133C1D98}"/>
    <cellStyle name="Normal 13 5 2 2 2 23" xfId="4960" xr:uid="{5AE60711-36A4-44F6-AA38-8B3E619462BA}"/>
    <cellStyle name="Normal 13 5 2 2 2 24" xfId="4961" xr:uid="{6D885411-5D09-40BF-A98D-428426D07197}"/>
    <cellStyle name="Normal 13 5 2 2 2 25" xfId="4962" xr:uid="{599BCF53-8447-47B2-A68F-3BBCEED4A075}"/>
    <cellStyle name="Normal 13 5 2 2 2 26" xfId="4963" xr:uid="{20168503-0DB9-479F-8207-464830A280E2}"/>
    <cellStyle name="Normal 13 5 2 2 2 27" xfId="4964" xr:uid="{24AF4B83-BCBB-4611-976E-A0BC9FEDECC4}"/>
    <cellStyle name="Normal 13 5 2 2 2 28" xfId="4965" xr:uid="{DEDD9499-E112-46CA-8359-24980E2EFBDE}"/>
    <cellStyle name="Normal 13 5 2 2 2 29" xfId="4966" xr:uid="{AC5EEB2D-D327-47B0-9F1A-1416F3DE3B7F}"/>
    <cellStyle name="Normal 13 5 2 2 2 3" xfId="4967" xr:uid="{0DB248F9-D0CB-4D84-A657-B47BA38BF43F}"/>
    <cellStyle name="Normal 13 5 2 2 2 30" xfId="4968" xr:uid="{FF696A65-A268-48AF-9F14-C19381AA8F6E}"/>
    <cellStyle name="Normal 13 5 2 2 2 31" xfId="4969" xr:uid="{E34823CC-EE2E-4EA5-849D-450C5CA6C218}"/>
    <cellStyle name="Normal 13 5 2 2 2 32" xfId="4970" xr:uid="{4DB810F8-050D-426F-AC38-F2C3212F9F09}"/>
    <cellStyle name="Normal 13 5 2 2 2 33" xfId="4971" xr:uid="{A009CD69-AF4E-41E5-A65C-8ECF01354A9A}"/>
    <cellStyle name="Normal 13 5 2 2 2 34" xfId="4972" xr:uid="{1195E880-E6E8-4E12-A7B9-99A07F4C04DC}"/>
    <cellStyle name="Normal 13 5 2 2 2 35" xfId="4973" xr:uid="{C4785D36-BFBF-4381-92B5-75EE3F9AF870}"/>
    <cellStyle name="Normal 13 5 2 2 2 36" xfId="4974" xr:uid="{2DE63F11-EEBD-4710-BD2D-478B431B77E3}"/>
    <cellStyle name="Normal 13 5 2 2 2 37" xfId="4975" xr:uid="{0B2C1286-C809-4892-9E1D-B724386A5957}"/>
    <cellStyle name="Normal 13 5 2 2 2 38" xfId="4976" xr:uid="{C2F1311C-6C9B-42C8-9C20-99A6A8D8634F}"/>
    <cellStyle name="Normal 13 5 2 2 2 4" xfId="4977" xr:uid="{9F943818-4E09-4280-B668-51BE11FB7C22}"/>
    <cellStyle name="Normal 13 5 2 2 2 5" xfId="4978" xr:uid="{1FE21A8C-C042-43D1-AA2E-D2F401E4746D}"/>
    <cellStyle name="Normal 13 5 2 2 2 6" xfId="4979" xr:uid="{57663ED7-3E9A-42A7-A6B4-E7D5D4060F18}"/>
    <cellStyle name="Normal 13 5 2 2 2 7" xfId="4980" xr:uid="{224FE65C-C361-40D2-A8F7-EEAA699D8FB0}"/>
    <cellStyle name="Normal 13 5 2 2 2 8" xfId="4981" xr:uid="{3488AFCF-7789-4E8D-B7CC-B72221081DFB}"/>
    <cellStyle name="Normal 13 5 2 2 2 9" xfId="4982" xr:uid="{8480D688-A775-45EF-9965-F4066A9DF219}"/>
    <cellStyle name="Normal 13 5 2 2 20" xfId="4983" xr:uid="{79CA9A35-A6F4-43A9-B4B1-FD5D8B38A2A3}"/>
    <cellStyle name="Normal 13 5 2 2 21" xfId="4984" xr:uid="{B080A4C0-47A8-402B-8E80-A2A5D4255A09}"/>
    <cellStyle name="Normal 13 5 2 2 22" xfId="4985" xr:uid="{B25D4E51-2760-4AF1-B0E2-6C41AB038C34}"/>
    <cellStyle name="Normal 13 5 2 2 23" xfId="4986" xr:uid="{DD333299-53D3-46DB-9691-A687D0BDD466}"/>
    <cellStyle name="Normal 13 5 2 2 24" xfId="4987" xr:uid="{11C8F5AC-1452-45D7-A895-EA017332F322}"/>
    <cellStyle name="Normal 13 5 2 2 25" xfId="4988" xr:uid="{05D8D9EF-94CC-4339-B537-302DB94F68AB}"/>
    <cellStyle name="Normal 13 5 2 2 26" xfId="4989" xr:uid="{A97ACBA3-0227-4C80-957E-47AF42ED2DD8}"/>
    <cellStyle name="Normal 13 5 2 2 27" xfId="4990" xr:uid="{CFC5BD2E-1012-4111-B0FD-637B74BEEE0B}"/>
    <cellStyle name="Normal 13 5 2 2 28" xfId="4991" xr:uid="{4FB36493-3752-4BBC-BFB7-1F5E4225F7EC}"/>
    <cellStyle name="Normal 13 5 2 2 29" xfId="4992" xr:uid="{9B6E60B7-A8DA-49CA-8532-A6C41C5A9B79}"/>
    <cellStyle name="Normal 13 5 2 2 3" xfId="4993" xr:uid="{6B02D421-E45A-4657-B23E-3D6FB3866D11}"/>
    <cellStyle name="Normal 13 5 2 2 30" xfId="4994" xr:uid="{BD74C799-7006-46F4-84D6-4FFED19C1554}"/>
    <cellStyle name="Normal 13 5 2 2 31" xfId="4995" xr:uid="{454B72EC-92DD-42C6-B8FD-E1EC1FC16211}"/>
    <cellStyle name="Normal 13 5 2 2 32" xfId="4996" xr:uid="{0B72C106-46EC-4645-9ECF-63E2E707F671}"/>
    <cellStyle name="Normal 13 5 2 2 33" xfId="4997" xr:uid="{30636702-0F70-4D6A-AD24-E0FC4A97DD94}"/>
    <cellStyle name="Normal 13 5 2 2 34" xfId="4998" xr:uid="{BBFFF7E6-7A19-4F09-9259-4ED63ED9BF35}"/>
    <cellStyle name="Normal 13 5 2 2 35" xfId="4999" xr:uid="{2C789A00-EEA8-4580-89B2-83368BF117C5}"/>
    <cellStyle name="Normal 13 5 2 2 36" xfId="5000" xr:uid="{7DDEB70B-6F21-4180-8AEC-18DF0EC7EB92}"/>
    <cellStyle name="Normal 13 5 2 2 37" xfId="5001" xr:uid="{E3D07B59-BF42-4541-AD4A-46E35B302BCB}"/>
    <cellStyle name="Normal 13 5 2 2 38" xfId="5002" xr:uid="{9636AE9B-2D1C-4FA1-8679-0739BF831571}"/>
    <cellStyle name="Normal 13 5 2 2 4" xfId="5003" xr:uid="{DEB2AD88-5861-440A-80EE-D35E0960631E}"/>
    <cellStyle name="Normal 13 5 2 2 5" xfId="5004" xr:uid="{F44907EB-F7CF-4FF3-B657-14241E04AA3D}"/>
    <cellStyle name="Normal 13 5 2 2 6" xfId="5005" xr:uid="{7238E762-DC8F-4FF6-9321-6F34AEE936A6}"/>
    <cellStyle name="Normal 13 5 2 2 7" xfId="5006" xr:uid="{5FE31E04-E817-4903-9607-8420E0FDFA28}"/>
    <cellStyle name="Normal 13 5 2 2 8" xfId="5007" xr:uid="{8D1F6296-C68A-47B5-8FE1-7E8371F01E06}"/>
    <cellStyle name="Normal 13 5 2 2 9" xfId="5008" xr:uid="{92942F0B-BB29-46CD-A4A5-AECAEEF9C3C8}"/>
    <cellStyle name="Normal 13 5 2 20" xfId="5009" xr:uid="{79E004A1-E01A-4D4A-9B0B-11D9F4F807C1}"/>
    <cellStyle name="Normal 13 5 2 21" xfId="5010" xr:uid="{7B73AC6F-FB9B-4B66-8F7D-87878433FB39}"/>
    <cellStyle name="Normal 13 5 2 22" xfId="5011" xr:uid="{D15C394D-3037-48DB-8B9B-BA5E18D4448B}"/>
    <cellStyle name="Normal 13 5 2 23" xfId="5012" xr:uid="{B5208397-7EC0-4D55-B8C5-49D0CEE021E3}"/>
    <cellStyle name="Normal 13 5 2 24" xfId="5013" xr:uid="{5DDEECE9-94B1-4B1D-AA50-DB0671870018}"/>
    <cellStyle name="Normal 13 5 2 25" xfId="5014" xr:uid="{F877E75F-E51A-485F-A056-AEC511DA2C2C}"/>
    <cellStyle name="Normal 13 5 2 26" xfId="5015" xr:uid="{0DB77CF4-7977-4981-82CA-33A5EAEB20B5}"/>
    <cellStyle name="Normal 13 5 2 27" xfId="5016" xr:uid="{DBC8E559-B058-4A3A-98DD-A0FEDD1A41E2}"/>
    <cellStyle name="Normal 13 5 2 28" xfId="5017" xr:uid="{763A39D6-5B3B-46BB-B175-2A8C319106D9}"/>
    <cellStyle name="Normal 13 5 2 29" xfId="5018" xr:uid="{1BD403EC-AC37-4B73-9E3D-01F2A9F3B929}"/>
    <cellStyle name="Normal 13 5 2 3" xfId="5019" xr:uid="{2904230A-98C0-4536-B787-269AA0089393}"/>
    <cellStyle name="Normal 13 5 2 30" xfId="5020" xr:uid="{529755E8-88E4-4615-BA7E-3E2724F148A4}"/>
    <cellStyle name="Normal 13 5 2 31" xfId="5021" xr:uid="{5DDDE6CF-2E19-4473-8315-1EC945228C35}"/>
    <cellStyle name="Normal 13 5 2 32" xfId="5022" xr:uid="{74855143-4BFF-4434-B85C-DCA092B6E3B7}"/>
    <cellStyle name="Normal 13 5 2 33" xfId="5023" xr:uid="{F8142540-C927-4B7C-96BE-727430E62B1C}"/>
    <cellStyle name="Normal 13 5 2 34" xfId="5024" xr:uid="{C85F497F-B15A-48A8-85DD-51BA1F201132}"/>
    <cellStyle name="Normal 13 5 2 35" xfId="5025" xr:uid="{2741D3C6-9887-4602-BA56-D55DB5185A75}"/>
    <cellStyle name="Normal 13 5 2 36" xfId="5026" xr:uid="{D9565304-36B9-4455-87EF-829A6AC8B022}"/>
    <cellStyle name="Normal 13 5 2 37" xfId="5027" xr:uid="{8BD1A01B-D525-4514-ACA1-FCEC24148595}"/>
    <cellStyle name="Normal 13 5 2 38" xfId="5028" xr:uid="{C7ECC978-8CAB-41C9-BAC6-FCAC356AF21D}"/>
    <cellStyle name="Normal 13 5 2 39" xfId="5029" xr:uid="{B8BB4A3C-E0B5-4264-9B69-09A61C27ADF3}"/>
    <cellStyle name="Normal 13 5 2 4" xfId="5030" xr:uid="{B7654D3A-F2E6-49BC-9B04-C7EFEBD01B6A}"/>
    <cellStyle name="Normal 13 5 2 40" xfId="5031" xr:uid="{E7C7B289-B478-4583-A4C1-A1497B3FC899}"/>
    <cellStyle name="Normal 13 5 2 5" xfId="5032" xr:uid="{71DC1BAE-C3DA-4F12-A305-59E06D827358}"/>
    <cellStyle name="Normal 13 5 2 6" xfId="5033" xr:uid="{CD202965-FA79-4181-8016-2361F28E895B}"/>
    <cellStyle name="Normal 13 5 2 7" xfId="5034" xr:uid="{7E438A66-4878-496B-BDA7-84BFCE0584B3}"/>
    <cellStyle name="Normal 13 5 2 8" xfId="5035" xr:uid="{31720E2B-0F61-46F1-82C1-A6680276880A}"/>
    <cellStyle name="Normal 13 5 2 9" xfId="5036" xr:uid="{BC9BF066-9BC2-4CB6-A8E7-0A18EA015A75}"/>
    <cellStyle name="Normal 13 5 20" xfId="5037" xr:uid="{3611B8E7-B121-427C-8509-1386AA9707DC}"/>
    <cellStyle name="Normal 13 5 21" xfId="5038" xr:uid="{8D67D6DD-8B02-411D-8C84-78F53F56929A}"/>
    <cellStyle name="Normal 13 5 22" xfId="5039" xr:uid="{DB5895D1-7D99-4BC0-8AE4-72E6FD3C60C5}"/>
    <cellStyle name="Normal 13 5 23" xfId="5040" xr:uid="{55631A6C-1B52-478D-A432-0BD56ECD4E6B}"/>
    <cellStyle name="Normal 13 5 24" xfId="5041" xr:uid="{C3ACB9D2-13B5-4562-9A01-9443E209FC23}"/>
    <cellStyle name="Normal 13 5 25" xfId="5042" xr:uid="{04DF8CC3-645D-4E81-A8B2-F236F66577D4}"/>
    <cellStyle name="Normal 13 5 26" xfId="5043" xr:uid="{97349C78-2DED-4787-AE38-D0FCCB5822D8}"/>
    <cellStyle name="Normal 13 5 27" xfId="5044" xr:uid="{B45DB408-AE9C-499A-991F-F757FF53BD12}"/>
    <cellStyle name="Normal 13 5 28" xfId="5045" xr:uid="{2142A666-73A3-415E-8EBC-C6FD8CCF6FF1}"/>
    <cellStyle name="Normal 13 5 29" xfId="5046" xr:uid="{B73F724F-3AE8-406F-9BDB-35A7B4F72FC9}"/>
    <cellStyle name="Normal 13 5 3" xfId="5047" xr:uid="{C95A2A34-F94A-4A5F-8E49-3514E4C63D0F}"/>
    <cellStyle name="Normal 13 5 3 10" xfId="5048" xr:uid="{D30A5387-5E96-42CE-B1CC-3B10D1CA474E}"/>
    <cellStyle name="Normal 13 5 3 11" xfId="5049" xr:uid="{FF420A9F-FAF1-4033-ACD0-FA52CF5A72C1}"/>
    <cellStyle name="Normal 13 5 3 12" xfId="5050" xr:uid="{79AD8585-9B27-49CE-BFE5-DC5798BEE776}"/>
    <cellStyle name="Normal 13 5 3 13" xfId="5051" xr:uid="{C0F15187-3E6B-44B3-943F-75B7082F4C65}"/>
    <cellStyle name="Normal 13 5 3 14" xfId="5052" xr:uid="{0EE124B7-9EB5-49DE-A733-1F1F2C790287}"/>
    <cellStyle name="Normal 13 5 3 15" xfId="5053" xr:uid="{2FDF8CA1-C471-43FB-8360-227C32B78219}"/>
    <cellStyle name="Normal 13 5 3 16" xfId="5054" xr:uid="{16601A6A-D14E-4674-8470-57E406D59C66}"/>
    <cellStyle name="Normal 13 5 3 17" xfId="5055" xr:uid="{B90B82DA-C8C1-490E-8573-A1BFD3DF797A}"/>
    <cellStyle name="Normal 13 5 3 18" xfId="5056" xr:uid="{A92A3D76-DC9E-44DB-9A8F-573EB7C7B24A}"/>
    <cellStyle name="Normal 13 5 3 19" xfId="5057" xr:uid="{3CC3D8DD-D026-4EDA-9466-760950984A1F}"/>
    <cellStyle name="Normal 13 5 3 2" xfId="5058" xr:uid="{E8BC8691-72C0-44E0-A5F3-931520763B73}"/>
    <cellStyle name="Normal 13 5 3 2 10" xfId="5059" xr:uid="{D6720C05-584E-4CA0-8346-024E7CE8E953}"/>
    <cellStyle name="Normal 13 5 3 2 11" xfId="5060" xr:uid="{7B67E7EB-F8CC-406D-929F-E23CD5181BE3}"/>
    <cellStyle name="Normal 13 5 3 2 12" xfId="5061" xr:uid="{1F7029A4-BBB3-45B8-95BF-D8A3567332BB}"/>
    <cellStyle name="Normal 13 5 3 2 13" xfId="5062" xr:uid="{0D6D1DC6-0C12-4FEB-A4B9-2B86418EC9CE}"/>
    <cellStyle name="Normal 13 5 3 2 14" xfId="5063" xr:uid="{8DD5D868-AB54-4297-94C3-5801C5280CA1}"/>
    <cellStyle name="Normal 13 5 3 2 15" xfId="5064" xr:uid="{DD5FF8C9-B9A3-4E11-8461-C2699881083C}"/>
    <cellStyle name="Normal 13 5 3 2 16" xfId="5065" xr:uid="{3EF08871-6A63-4DE1-B4D4-CC2E27B087FA}"/>
    <cellStyle name="Normal 13 5 3 2 17" xfId="5066" xr:uid="{C1AB7AD1-374E-4C31-B395-1CA39F43E37B}"/>
    <cellStyle name="Normal 13 5 3 2 18" xfId="5067" xr:uid="{182369D6-508B-4361-969A-CD21F717D2A2}"/>
    <cellStyle name="Normal 13 5 3 2 19" xfId="5068" xr:uid="{64F970F9-E3F1-466B-8868-A9F2505CE8C7}"/>
    <cellStyle name="Normal 13 5 3 2 2" xfId="5069" xr:uid="{053ECD9F-7343-40DA-AEF4-A9C080451D3F}"/>
    <cellStyle name="Normal 13 5 3 2 20" xfId="5070" xr:uid="{AEB05A23-E2B2-4AB1-815E-3D11E55D63FF}"/>
    <cellStyle name="Normal 13 5 3 2 21" xfId="5071" xr:uid="{10E29319-3082-463E-AD54-788A8B8510BB}"/>
    <cellStyle name="Normal 13 5 3 2 22" xfId="5072" xr:uid="{0BC4F07D-D6FE-475C-AD52-25557AF9CE41}"/>
    <cellStyle name="Normal 13 5 3 2 23" xfId="5073" xr:uid="{7177B5A9-AF6B-4000-BBCD-8C3250C29663}"/>
    <cellStyle name="Normal 13 5 3 2 24" xfId="5074" xr:uid="{3BCE4106-2138-4B1F-9D27-67A3D7BBB9E6}"/>
    <cellStyle name="Normal 13 5 3 2 25" xfId="5075" xr:uid="{3FD2A550-92DA-4B0E-8993-5CA17EFA128F}"/>
    <cellStyle name="Normal 13 5 3 2 26" xfId="5076" xr:uid="{19DC071C-205A-4F7C-8F20-4823D2796269}"/>
    <cellStyle name="Normal 13 5 3 2 27" xfId="5077" xr:uid="{AFB53D3A-306F-407A-A14B-339EEE192D26}"/>
    <cellStyle name="Normal 13 5 3 2 28" xfId="5078" xr:uid="{D551DC6A-3829-4CE5-8229-DFD858CB195F}"/>
    <cellStyle name="Normal 13 5 3 2 29" xfId="5079" xr:uid="{7E968B75-DF30-4B44-8ED1-E6D42E148EC3}"/>
    <cellStyle name="Normal 13 5 3 2 3" xfId="5080" xr:uid="{27BF7067-0014-4A7E-8548-EE3196D8C1B0}"/>
    <cellStyle name="Normal 13 5 3 2 30" xfId="5081" xr:uid="{A9B89F8E-308C-4D30-A6CD-81093FF1E9FB}"/>
    <cellStyle name="Normal 13 5 3 2 31" xfId="5082" xr:uid="{BF5E1F2D-0E3D-478D-A684-F6F5B6EC72E6}"/>
    <cellStyle name="Normal 13 5 3 2 32" xfId="5083" xr:uid="{8D24EF9C-9E98-4D62-A415-491D3B47815B}"/>
    <cellStyle name="Normal 13 5 3 2 33" xfId="5084" xr:uid="{2EF77B7B-E272-4662-8487-B214B56D1D71}"/>
    <cellStyle name="Normal 13 5 3 2 34" xfId="5085" xr:uid="{18A98D8F-A214-4422-ACBA-8F3BC46BC719}"/>
    <cellStyle name="Normal 13 5 3 2 35" xfId="5086" xr:uid="{D3836501-2EC9-43EF-AF95-961AB0523234}"/>
    <cellStyle name="Normal 13 5 3 2 36" xfId="5087" xr:uid="{047A2E94-9DDF-49A6-A672-E87C615A744D}"/>
    <cellStyle name="Normal 13 5 3 2 37" xfId="5088" xr:uid="{37779E49-CC47-453D-9535-8BC39167F0EA}"/>
    <cellStyle name="Normal 13 5 3 2 38" xfId="5089" xr:uid="{1C3EB072-E50B-4A89-B69F-D71D4AA69A24}"/>
    <cellStyle name="Normal 13 5 3 2 4" xfId="5090" xr:uid="{41EB37F2-A259-49E7-BF61-9F2D4C7B7DCB}"/>
    <cellStyle name="Normal 13 5 3 2 5" xfId="5091" xr:uid="{48CAA5A0-7810-434A-8A5F-A3CB6F4DD193}"/>
    <cellStyle name="Normal 13 5 3 2 6" xfId="5092" xr:uid="{3C766303-FCB5-44BA-86F5-7030C959FBDF}"/>
    <cellStyle name="Normal 13 5 3 2 7" xfId="5093" xr:uid="{4623FCBC-A853-4FA3-8389-764EEDDC936A}"/>
    <cellStyle name="Normal 13 5 3 2 8" xfId="5094" xr:uid="{A3A2F255-ACA2-409F-A104-EB1104F3E253}"/>
    <cellStyle name="Normal 13 5 3 2 9" xfId="5095" xr:uid="{03857582-4915-490C-BFCA-463A079AD862}"/>
    <cellStyle name="Normal 13 5 3 20" xfId="5096" xr:uid="{3DD4C136-F5EA-48F4-8031-EF72D5E4D113}"/>
    <cellStyle name="Normal 13 5 3 21" xfId="5097" xr:uid="{41940B13-9E60-46F9-8791-4EA5F674B8A2}"/>
    <cellStyle name="Normal 13 5 3 22" xfId="5098" xr:uid="{9CAA8128-46B5-433F-90D0-8D8FCBA3D0B3}"/>
    <cellStyle name="Normal 13 5 3 23" xfId="5099" xr:uid="{B09372C8-2949-44EE-8F9D-E0A2FEAC9A83}"/>
    <cellStyle name="Normal 13 5 3 24" xfId="5100" xr:uid="{F170615B-48A7-4384-970B-68A0BA5DE04D}"/>
    <cellStyle name="Normal 13 5 3 25" xfId="5101" xr:uid="{CAE88B34-2358-4959-9874-362A0F1B4ED8}"/>
    <cellStyle name="Normal 13 5 3 26" xfId="5102" xr:uid="{405B7700-9910-440D-81F8-FF36009C58CF}"/>
    <cellStyle name="Normal 13 5 3 27" xfId="5103" xr:uid="{5E0612B3-6394-43E0-856E-D936235C2C10}"/>
    <cellStyle name="Normal 13 5 3 28" xfId="5104" xr:uid="{353F9063-89B1-4C12-ABED-6DDC45893DFD}"/>
    <cellStyle name="Normal 13 5 3 29" xfId="5105" xr:uid="{8DA89EE1-1232-403D-9D82-4ED48AEC6A13}"/>
    <cellStyle name="Normal 13 5 3 3" xfId="5106" xr:uid="{55ACD84A-45EA-478C-B20E-A6A0A4165F60}"/>
    <cellStyle name="Normal 13 5 3 30" xfId="5107" xr:uid="{41C60921-612F-4324-A185-6359386F1CD4}"/>
    <cellStyle name="Normal 13 5 3 31" xfId="5108" xr:uid="{0AC8872C-EC66-448C-ADF6-AD54E2CA8E5C}"/>
    <cellStyle name="Normal 13 5 3 32" xfId="5109" xr:uid="{A74BC734-230C-4AE4-8BBC-91CDF0DCB772}"/>
    <cellStyle name="Normal 13 5 3 33" xfId="5110" xr:uid="{6E908ECD-A689-467B-A517-56DF67BFF7B2}"/>
    <cellStyle name="Normal 13 5 3 34" xfId="5111" xr:uid="{A00E1ECA-5583-48A8-81AF-E98A538A8123}"/>
    <cellStyle name="Normal 13 5 3 35" xfId="5112" xr:uid="{247FBA78-EEF6-4D5A-BECA-0444EADA04AE}"/>
    <cellStyle name="Normal 13 5 3 36" xfId="5113" xr:uid="{413CC5D9-2074-4744-8476-905559FEB8CE}"/>
    <cellStyle name="Normal 13 5 3 37" xfId="5114" xr:uid="{9054E432-105A-4BE5-817D-20A9C97BD8E3}"/>
    <cellStyle name="Normal 13 5 3 38" xfId="5115" xr:uid="{C470EB24-7B59-4984-8A5F-0DBC0DFF38A8}"/>
    <cellStyle name="Normal 13 5 3 4" xfId="5116" xr:uid="{D7C7515A-4703-45E4-AB2B-A31CDC775FAA}"/>
    <cellStyle name="Normal 13 5 3 5" xfId="5117" xr:uid="{42ABC776-A158-4B11-9B9C-FAE766C00317}"/>
    <cellStyle name="Normal 13 5 3 6" xfId="5118" xr:uid="{01BDCAEB-2B78-47B6-B6F4-8D85E629B880}"/>
    <cellStyle name="Normal 13 5 3 7" xfId="5119" xr:uid="{164EA3DD-CF3B-4BCA-9947-3958E20EE018}"/>
    <cellStyle name="Normal 13 5 3 8" xfId="5120" xr:uid="{624F87E1-5A18-402C-89B5-2466E879A010}"/>
    <cellStyle name="Normal 13 5 3 9" xfId="5121" xr:uid="{33B08CE1-D420-4FB6-930A-2D0B19AD5E56}"/>
    <cellStyle name="Normal 13 5 30" xfId="5122" xr:uid="{16D8E68B-0C09-402B-BFE9-41B6346A0569}"/>
    <cellStyle name="Normal 13 5 31" xfId="5123" xr:uid="{1FF30A01-1C34-48EB-8F97-06B2F7C5DE53}"/>
    <cellStyle name="Normal 13 5 32" xfId="5124" xr:uid="{C4F54CA4-16C7-4918-A4C7-E046E96BBAC5}"/>
    <cellStyle name="Normal 13 5 33" xfId="5125" xr:uid="{9A36FEF6-A329-4791-B2F7-7AC2F75DC9E4}"/>
    <cellStyle name="Normal 13 5 34" xfId="5126" xr:uid="{EBC3CAA0-84EA-45B0-BFAB-0609A90D7F69}"/>
    <cellStyle name="Normal 13 5 35" xfId="5127" xr:uid="{B12A81F2-F211-44B1-A8C0-650085805630}"/>
    <cellStyle name="Normal 13 5 36" xfId="5128" xr:uid="{67C1256D-18E2-4A94-B891-CDB82E28B6C0}"/>
    <cellStyle name="Normal 13 5 37" xfId="5129" xr:uid="{2587B8FE-C76D-4013-B96F-0F624B95CA1F}"/>
    <cellStyle name="Normal 13 5 38" xfId="5130" xr:uid="{33743B8F-03FC-4B4C-8A14-D02F9F86ACB9}"/>
    <cellStyle name="Normal 13 5 39" xfId="5131" xr:uid="{C4A803CF-9D25-463B-BF36-0155692D9886}"/>
    <cellStyle name="Normal 13 5 4" xfId="5132" xr:uid="{2A1AEFB0-21E8-41B3-BE5E-30EF2247E6A2}"/>
    <cellStyle name="Normal 13 5 40" xfId="5133" xr:uid="{7D83EFDF-3ED6-4C0B-A58D-D7C9034AC963}"/>
    <cellStyle name="Normal 13 5 41" xfId="5134" xr:uid="{C6D59EEA-45AB-4951-8CF7-A980C4BB9101}"/>
    <cellStyle name="Normal 13 5 42" xfId="5135" xr:uid="{CED384A8-B282-4641-A787-A38C7CE0D0D1}"/>
    <cellStyle name="Normal 13 5 43" xfId="5136" xr:uid="{BD41ADD1-A471-4DE8-A8E5-985756B49AD4}"/>
    <cellStyle name="Normal 13 5 44" xfId="5137" xr:uid="{F8C033D6-CC22-45EE-96D2-D26626D65B17}"/>
    <cellStyle name="Normal 13 5 45" xfId="5138" xr:uid="{9B41A4A6-7808-41F4-8DBB-F31C80161B54}"/>
    <cellStyle name="Normal 13 5 46" xfId="5139" xr:uid="{5D708DC7-8997-4517-8EFD-6AA266C68179}"/>
    <cellStyle name="Normal 13 5 47" xfId="5140" xr:uid="{F89967FB-81A4-4403-9946-BF03C8E9449C}"/>
    <cellStyle name="Normal 13 5 5" xfId="5141" xr:uid="{6DA8A766-0582-40C9-8249-E98DF6EBAF34}"/>
    <cellStyle name="Normal 13 5 6" xfId="5142" xr:uid="{0F0605D0-CAB5-48B1-B81A-1E149BC45F63}"/>
    <cellStyle name="Normal 13 5 7" xfId="5143" xr:uid="{042D7ABB-CA2C-4F03-A3DE-60DC551F7C7F}"/>
    <cellStyle name="Normal 13 5 8" xfId="5144" xr:uid="{4FF307F0-FC1A-48D0-A672-BB17A1B831DD}"/>
    <cellStyle name="Normal 13 5 9" xfId="5145" xr:uid="{005A38C0-5466-4A7C-81C7-B36C596F86D7}"/>
    <cellStyle name="Normal 13 50" xfId="5146" xr:uid="{636ADD95-FDF5-477F-92E2-52816A1A5F60}"/>
    <cellStyle name="Normal 13 51" xfId="5147" xr:uid="{A423E8B7-4B2F-4FBA-9EBF-A4EAF2C0F709}"/>
    <cellStyle name="Normal 13 52" xfId="5148" xr:uid="{C6CB85C2-F84C-489D-BD03-D674900834E7}"/>
    <cellStyle name="Normal 13 53" xfId="5149" xr:uid="{7AA547DF-D86B-41BB-8777-A32660EC9F79}"/>
    <cellStyle name="Normal 13 6" xfId="5150" xr:uid="{F0E2F13D-3241-47F6-9B97-4237F3906882}"/>
    <cellStyle name="Normal 13 6 10" xfId="5151" xr:uid="{694243C4-0501-4270-B0A8-FA2417AB7A20}"/>
    <cellStyle name="Normal 13 6 11" xfId="5152" xr:uid="{13C48058-22AD-497F-B6E5-BABC53D9C631}"/>
    <cellStyle name="Normal 13 6 12" xfId="5153" xr:uid="{D6B179C7-E84D-45E1-A21D-3EBC18DD40CC}"/>
    <cellStyle name="Normal 13 6 13" xfId="5154" xr:uid="{1FF85640-F223-4F28-8C54-658BC4827B93}"/>
    <cellStyle name="Normal 13 6 14" xfId="5155" xr:uid="{30476EA5-3DF4-4A4A-A164-196ADBE89D5B}"/>
    <cellStyle name="Normal 13 6 15" xfId="5156" xr:uid="{65C0BABC-48D9-4524-BD56-81F0F9A4C338}"/>
    <cellStyle name="Normal 13 6 16" xfId="5157" xr:uid="{64AFCA5B-2CFE-4FFA-9505-8FCCF25CF0BF}"/>
    <cellStyle name="Normal 13 6 17" xfId="5158" xr:uid="{496C3622-C7D9-4B5C-897D-B0A46E5354A3}"/>
    <cellStyle name="Normal 13 6 18" xfId="5159" xr:uid="{3D610112-AA1F-48A3-A6F6-D60D7A76839E}"/>
    <cellStyle name="Normal 13 6 19" xfId="5160" xr:uid="{5666F79A-95C4-49BE-B660-708B35DB8895}"/>
    <cellStyle name="Normal 13 6 2" xfId="5161" xr:uid="{435E8E66-90D3-4DA2-BA62-74C7DF10E1ED}"/>
    <cellStyle name="Normal 13 6 2 10" xfId="5162" xr:uid="{6A7942F6-B6FC-4EC8-A307-AEFCB900A89D}"/>
    <cellStyle name="Normal 13 6 2 11" xfId="5163" xr:uid="{12B7A45F-1A2C-4BE6-8563-2E24B8FEBD88}"/>
    <cellStyle name="Normal 13 6 2 12" xfId="5164" xr:uid="{F4CA04D8-D775-4888-9F7F-9E0801E9B61C}"/>
    <cellStyle name="Normal 13 6 2 13" xfId="5165" xr:uid="{279B10BB-67D8-426F-B44B-1CA719E24A51}"/>
    <cellStyle name="Normal 13 6 2 14" xfId="5166" xr:uid="{E11EE318-CAE9-4284-BDB6-0DDF85EBC141}"/>
    <cellStyle name="Normal 13 6 2 15" xfId="5167" xr:uid="{ADDEB34C-3DD7-4077-B8BA-6C04997FF167}"/>
    <cellStyle name="Normal 13 6 2 16" xfId="5168" xr:uid="{57AD5CC4-35D9-48D7-A1BF-6FEE5F40CE0B}"/>
    <cellStyle name="Normal 13 6 2 17" xfId="5169" xr:uid="{797052AE-8492-45AA-A17E-2E5279424B40}"/>
    <cellStyle name="Normal 13 6 2 18" xfId="5170" xr:uid="{EFCF83A1-B6DC-45F8-AFE4-5973DB29D3F6}"/>
    <cellStyle name="Normal 13 6 2 19" xfId="5171" xr:uid="{7E6FE73C-62BA-40B6-B983-8D778DDA8B72}"/>
    <cellStyle name="Normal 13 6 2 2" xfId="5172" xr:uid="{BD7A2475-3BFF-44FE-BB1E-D423B1DB0BD9}"/>
    <cellStyle name="Normal 13 6 2 2 10" xfId="5173" xr:uid="{62C01CBC-162B-4480-B550-FB49DCF55AB7}"/>
    <cellStyle name="Normal 13 6 2 2 11" xfId="5174" xr:uid="{379147BA-9C98-420D-9254-9CFA8DF34279}"/>
    <cellStyle name="Normal 13 6 2 2 12" xfId="5175" xr:uid="{A0B012E7-5729-495A-B62E-2E35F4AFB0F8}"/>
    <cellStyle name="Normal 13 6 2 2 13" xfId="5176" xr:uid="{FCEE0ADA-F94D-4721-892B-51DD9F8A1080}"/>
    <cellStyle name="Normal 13 6 2 2 14" xfId="5177" xr:uid="{7CB5D205-3BF7-45CD-B923-4C4A8A47B856}"/>
    <cellStyle name="Normal 13 6 2 2 15" xfId="5178" xr:uid="{3E8A14C4-3950-4C33-ADCF-B4570FF992C6}"/>
    <cellStyle name="Normal 13 6 2 2 16" xfId="5179" xr:uid="{DCCFD68D-7918-4112-BC02-EB149C14C78E}"/>
    <cellStyle name="Normal 13 6 2 2 17" xfId="5180" xr:uid="{2FDE8B0D-7FC2-45B4-9EE2-93C90D45C877}"/>
    <cellStyle name="Normal 13 6 2 2 18" xfId="5181" xr:uid="{DDF1FE12-0526-43AD-9F07-F20AA86E5B49}"/>
    <cellStyle name="Normal 13 6 2 2 19" xfId="5182" xr:uid="{CEA86E76-3AE8-48A7-9F74-73D532030EAC}"/>
    <cellStyle name="Normal 13 6 2 2 2" xfId="5183" xr:uid="{A3A89A1C-5553-429D-9A79-81E094CE095A}"/>
    <cellStyle name="Normal 13 6 2 2 2 10" xfId="5184" xr:uid="{1B40E96E-D454-48D0-B7CD-AE2B8F95BD16}"/>
    <cellStyle name="Normal 13 6 2 2 2 11" xfId="5185" xr:uid="{96DEEEFC-4F7A-466A-AF02-301847598377}"/>
    <cellStyle name="Normal 13 6 2 2 2 12" xfId="5186" xr:uid="{E3B03C26-DE88-46AE-B832-5EAB9F46B034}"/>
    <cellStyle name="Normal 13 6 2 2 2 13" xfId="5187" xr:uid="{CD92DCFC-EE26-4BF6-B070-500B215FFB67}"/>
    <cellStyle name="Normal 13 6 2 2 2 14" xfId="5188" xr:uid="{AF2E5B8B-D741-4999-800F-1C549D5AB32D}"/>
    <cellStyle name="Normal 13 6 2 2 2 15" xfId="5189" xr:uid="{E8A6121C-E941-45EA-AE53-FB0E46770C50}"/>
    <cellStyle name="Normal 13 6 2 2 2 16" xfId="5190" xr:uid="{2ED06EFA-0456-4C0D-A715-03B6D51D1C06}"/>
    <cellStyle name="Normal 13 6 2 2 2 17" xfId="5191" xr:uid="{9CAA974A-0DA2-4751-A194-C560CF7FCB49}"/>
    <cellStyle name="Normal 13 6 2 2 2 18" xfId="5192" xr:uid="{39669A4C-A16B-489D-B870-49403E792A47}"/>
    <cellStyle name="Normal 13 6 2 2 2 19" xfId="5193" xr:uid="{61868CC0-F738-4D93-9E2B-A4A2405ED249}"/>
    <cellStyle name="Normal 13 6 2 2 2 2" xfId="5194" xr:uid="{4A640032-63C9-4933-A4A6-C33459E04130}"/>
    <cellStyle name="Normal 13 6 2 2 2 20" xfId="5195" xr:uid="{8E9EC69A-F766-41FB-B738-511C64CDAC3B}"/>
    <cellStyle name="Normal 13 6 2 2 2 21" xfId="5196" xr:uid="{0D086C97-9CD5-48BF-8F41-F36FA74E611B}"/>
    <cellStyle name="Normal 13 6 2 2 2 22" xfId="5197" xr:uid="{DA9D892B-B39B-49C1-A72B-DF2A46DF7946}"/>
    <cellStyle name="Normal 13 6 2 2 2 23" xfId="5198" xr:uid="{79C34F0D-4E51-4105-9A6D-EB772D28CEEA}"/>
    <cellStyle name="Normal 13 6 2 2 2 24" xfId="5199" xr:uid="{415D1AE5-74B2-4749-8078-7B650A2F994E}"/>
    <cellStyle name="Normal 13 6 2 2 2 25" xfId="5200" xr:uid="{F786F9C5-D9DB-410C-82A0-97BE2826BD6A}"/>
    <cellStyle name="Normal 13 6 2 2 2 26" xfId="5201" xr:uid="{6A7C1DBA-9F3F-400B-9B76-4B6FC08F981C}"/>
    <cellStyle name="Normal 13 6 2 2 2 27" xfId="5202" xr:uid="{21ED2183-CD4B-4ADE-B7FE-2AF8EFB4D946}"/>
    <cellStyle name="Normal 13 6 2 2 2 28" xfId="5203" xr:uid="{B9CA4B70-151C-4CD7-A13C-1165588D96E1}"/>
    <cellStyle name="Normal 13 6 2 2 2 29" xfId="5204" xr:uid="{D02FE874-33E9-4D5C-B676-F8063A41FDF1}"/>
    <cellStyle name="Normal 13 6 2 2 2 3" xfId="5205" xr:uid="{68E1C981-284F-4D5F-BB10-4EA26A661E4D}"/>
    <cellStyle name="Normal 13 6 2 2 2 30" xfId="5206" xr:uid="{81B8238D-427A-4083-9674-56820374B516}"/>
    <cellStyle name="Normal 13 6 2 2 2 31" xfId="5207" xr:uid="{E3BE1C33-2748-40D3-9ACE-6459327BEA6F}"/>
    <cellStyle name="Normal 13 6 2 2 2 32" xfId="5208" xr:uid="{6E76D91E-816C-4F60-85B7-B26E9FFB0535}"/>
    <cellStyle name="Normal 13 6 2 2 2 33" xfId="5209" xr:uid="{F7A63AC7-2C8A-49D8-B61C-BC4082CFC41E}"/>
    <cellStyle name="Normal 13 6 2 2 2 34" xfId="5210" xr:uid="{434B1045-913C-4172-B037-1BD199504ABF}"/>
    <cellStyle name="Normal 13 6 2 2 2 35" xfId="5211" xr:uid="{CF16A2EE-1E61-4A6D-9B4B-B9B7C8F0B13A}"/>
    <cellStyle name="Normal 13 6 2 2 2 36" xfId="5212" xr:uid="{F9FAE4E1-AF3D-416B-B1A2-8F46C1307584}"/>
    <cellStyle name="Normal 13 6 2 2 2 37" xfId="5213" xr:uid="{8A695BFA-5A39-43FE-B477-F4C4067BA376}"/>
    <cellStyle name="Normal 13 6 2 2 2 38" xfId="5214" xr:uid="{1A0C8CCF-EB0B-49FE-B381-06F9D4B8889F}"/>
    <cellStyle name="Normal 13 6 2 2 2 4" xfId="5215" xr:uid="{CA364AB4-6AAD-4AF0-B390-F708525A14B6}"/>
    <cellStyle name="Normal 13 6 2 2 2 5" xfId="5216" xr:uid="{07655392-75C6-44DC-B92A-6F42D08BF853}"/>
    <cellStyle name="Normal 13 6 2 2 2 6" xfId="5217" xr:uid="{D3CF8031-5317-432B-819D-76E6FEDB137A}"/>
    <cellStyle name="Normal 13 6 2 2 2 7" xfId="5218" xr:uid="{93DA3FBE-6F1F-4199-8650-23B3FDDC9723}"/>
    <cellStyle name="Normal 13 6 2 2 2 8" xfId="5219" xr:uid="{694D03F8-3723-402C-A252-ED907D7B6C23}"/>
    <cellStyle name="Normal 13 6 2 2 2 9" xfId="5220" xr:uid="{49E4905D-705B-4C33-BE30-1C298C97DB83}"/>
    <cellStyle name="Normal 13 6 2 2 20" xfId="5221" xr:uid="{2D3C7FE0-723D-4DC4-A876-89236EE609B0}"/>
    <cellStyle name="Normal 13 6 2 2 21" xfId="5222" xr:uid="{20E6E204-0C58-430B-A045-DD324DB79D16}"/>
    <cellStyle name="Normal 13 6 2 2 22" xfId="5223" xr:uid="{DACA9174-3221-4766-A474-78E3F206B7F7}"/>
    <cellStyle name="Normal 13 6 2 2 23" xfId="5224" xr:uid="{93AC710E-1911-4B72-B514-8A9D313BA469}"/>
    <cellStyle name="Normal 13 6 2 2 24" xfId="5225" xr:uid="{FE7D7A02-156F-4129-B8A4-8785DEF8BFDC}"/>
    <cellStyle name="Normal 13 6 2 2 25" xfId="5226" xr:uid="{149AD7E8-6824-42ED-AC76-93BB92095329}"/>
    <cellStyle name="Normal 13 6 2 2 26" xfId="5227" xr:uid="{97402092-0454-4C88-A382-9B4D0C6C532B}"/>
    <cellStyle name="Normal 13 6 2 2 27" xfId="5228" xr:uid="{463A0477-BA03-422C-9E91-3DF1D4068501}"/>
    <cellStyle name="Normal 13 6 2 2 28" xfId="5229" xr:uid="{03B38B15-42F4-4668-98B2-D09E06ED4390}"/>
    <cellStyle name="Normal 13 6 2 2 29" xfId="5230" xr:uid="{ACB7ECE3-43E5-4F8B-BC7B-DAA35D5165A7}"/>
    <cellStyle name="Normal 13 6 2 2 3" xfId="5231" xr:uid="{2C64E608-FCDA-4B7B-AFE1-44975A85D6A5}"/>
    <cellStyle name="Normal 13 6 2 2 30" xfId="5232" xr:uid="{8A6B8D2D-E309-44F3-A68C-D42C54CC2D24}"/>
    <cellStyle name="Normal 13 6 2 2 31" xfId="5233" xr:uid="{2C4CC651-2703-4C75-AFFB-ED06E029204D}"/>
    <cellStyle name="Normal 13 6 2 2 32" xfId="5234" xr:uid="{36158316-7FE0-4323-82C4-F40B156B89A5}"/>
    <cellStyle name="Normal 13 6 2 2 33" xfId="5235" xr:uid="{32BC692D-CBFB-4313-93E6-A2752E4F561B}"/>
    <cellStyle name="Normal 13 6 2 2 34" xfId="5236" xr:uid="{535E450F-0E96-4C32-8A86-AF36AEDF4F4B}"/>
    <cellStyle name="Normal 13 6 2 2 35" xfId="5237" xr:uid="{2B8130CE-408C-4AB5-9843-B693E5BA2573}"/>
    <cellStyle name="Normal 13 6 2 2 36" xfId="5238" xr:uid="{D6B1C6DC-3293-4334-AA0C-DA544DF9EE38}"/>
    <cellStyle name="Normal 13 6 2 2 37" xfId="5239" xr:uid="{515729F2-671E-47B6-939F-5B6BED89518F}"/>
    <cellStyle name="Normal 13 6 2 2 38" xfId="5240" xr:uid="{9301B019-82BF-4D05-A837-3DACEB46430E}"/>
    <cellStyle name="Normal 13 6 2 2 4" xfId="5241" xr:uid="{BE95C821-08D9-400C-AAF9-7DBF5D790B10}"/>
    <cellStyle name="Normal 13 6 2 2 5" xfId="5242" xr:uid="{967E1DD8-ACD1-4268-A0A0-13991A5B5427}"/>
    <cellStyle name="Normal 13 6 2 2 6" xfId="5243" xr:uid="{8983490C-4159-40B0-ACA9-C46A032ACAC3}"/>
    <cellStyle name="Normal 13 6 2 2 7" xfId="5244" xr:uid="{1B9511BF-ECEE-4E5C-8EC3-88F7C652F397}"/>
    <cellStyle name="Normal 13 6 2 2 8" xfId="5245" xr:uid="{775B44B4-ACC3-4745-A7E4-6FF3503AC185}"/>
    <cellStyle name="Normal 13 6 2 2 9" xfId="5246" xr:uid="{A9992849-81E2-4369-80C7-B8FB429EA80A}"/>
    <cellStyle name="Normal 13 6 2 20" xfId="5247" xr:uid="{2EBC592D-442A-44F8-8532-407299D5B257}"/>
    <cellStyle name="Normal 13 6 2 21" xfId="5248" xr:uid="{53407F61-0535-40DB-B8E6-90A53A306FA5}"/>
    <cellStyle name="Normal 13 6 2 22" xfId="5249" xr:uid="{3C92A011-0072-4860-8687-33D5C29A40EC}"/>
    <cellStyle name="Normal 13 6 2 23" xfId="5250" xr:uid="{BC140463-8EDB-4BA1-80B2-848D03627E56}"/>
    <cellStyle name="Normal 13 6 2 24" xfId="5251" xr:uid="{BCB31618-0DBA-406C-AF00-C31618B757F1}"/>
    <cellStyle name="Normal 13 6 2 25" xfId="5252" xr:uid="{5F02CF37-171B-4475-9BF0-76DB51C6CF79}"/>
    <cellStyle name="Normal 13 6 2 26" xfId="5253" xr:uid="{73F78B7C-F266-4AA1-83B7-D84C232CE44D}"/>
    <cellStyle name="Normal 13 6 2 27" xfId="5254" xr:uid="{D39BD556-58DC-414A-9E77-F36FA985986D}"/>
    <cellStyle name="Normal 13 6 2 28" xfId="5255" xr:uid="{1A22D228-ABDE-41B9-9CC2-15C0C07712E5}"/>
    <cellStyle name="Normal 13 6 2 29" xfId="5256" xr:uid="{05BCB5FF-3B2D-4D70-A17F-BAAA88FD47F2}"/>
    <cellStyle name="Normal 13 6 2 3" xfId="5257" xr:uid="{4B6EFEEC-5E0B-444D-AE3F-CCDA3A4AA93D}"/>
    <cellStyle name="Normal 13 6 2 30" xfId="5258" xr:uid="{827F167A-EBA7-49B6-A19F-03904062FCCC}"/>
    <cellStyle name="Normal 13 6 2 31" xfId="5259" xr:uid="{B8C9530E-133E-4CE0-B293-9BE8DE8BC5F8}"/>
    <cellStyle name="Normal 13 6 2 32" xfId="5260" xr:uid="{52C81E42-E920-4035-9741-3C43129023B1}"/>
    <cellStyle name="Normal 13 6 2 33" xfId="5261" xr:uid="{5E9DCD02-7157-43BC-97AC-80DF158F2DAA}"/>
    <cellStyle name="Normal 13 6 2 34" xfId="5262" xr:uid="{82578429-B118-484A-941C-DAA46D26F201}"/>
    <cellStyle name="Normal 13 6 2 35" xfId="5263" xr:uid="{1AE3C07A-4335-41EB-B285-FBDEFEC153CA}"/>
    <cellStyle name="Normal 13 6 2 36" xfId="5264" xr:uid="{34BC4733-A47E-4FD3-9669-A8A9B2C13A70}"/>
    <cellStyle name="Normal 13 6 2 37" xfId="5265" xr:uid="{D76A4032-99F4-486A-9C8D-51000244DC94}"/>
    <cellStyle name="Normal 13 6 2 38" xfId="5266" xr:uid="{38943921-237D-48A5-8AC8-0AAFE70AAE9A}"/>
    <cellStyle name="Normal 13 6 2 39" xfId="5267" xr:uid="{E79044F9-D731-42D0-8DEA-8DA54BB7F411}"/>
    <cellStyle name="Normal 13 6 2 4" xfId="5268" xr:uid="{0B18CB3D-5662-48FF-8154-40921ED99D77}"/>
    <cellStyle name="Normal 13 6 2 40" xfId="5269" xr:uid="{962C3E4B-066F-4CB1-AB88-5F619CD73D85}"/>
    <cellStyle name="Normal 13 6 2 5" xfId="5270" xr:uid="{9EC20A99-0B0C-4BCA-820E-F19F1B54D078}"/>
    <cellStyle name="Normal 13 6 2 6" xfId="5271" xr:uid="{6B33DCCE-7C67-48BA-AAAA-8057D65C932C}"/>
    <cellStyle name="Normal 13 6 2 7" xfId="5272" xr:uid="{5B7CDD00-0A06-46F4-853A-072D48E39FFE}"/>
    <cellStyle name="Normal 13 6 2 8" xfId="5273" xr:uid="{F8590435-7C69-4865-8D88-912E52D9FB08}"/>
    <cellStyle name="Normal 13 6 2 9" xfId="5274" xr:uid="{529C0E37-54DC-45CF-B701-AD8224351985}"/>
    <cellStyle name="Normal 13 6 20" xfId="5275" xr:uid="{1B57C291-8A40-4836-96D7-C2DBD5FAF007}"/>
    <cellStyle name="Normal 13 6 21" xfId="5276" xr:uid="{17110540-4476-4B23-9AB5-ADC5EC73C486}"/>
    <cellStyle name="Normal 13 6 22" xfId="5277" xr:uid="{C2161AAA-5D1F-453C-8002-F042AACE361E}"/>
    <cellStyle name="Normal 13 6 23" xfId="5278" xr:uid="{C5424AED-3E8F-4C8B-859E-35074F4484F7}"/>
    <cellStyle name="Normal 13 6 24" xfId="5279" xr:uid="{CDEBE044-5647-4171-9576-0E42101A5A5B}"/>
    <cellStyle name="Normal 13 6 25" xfId="5280" xr:uid="{76A82678-388B-4AC2-8DAA-C5950A58BADB}"/>
    <cellStyle name="Normal 13 6 26" xfId="5281" xr:uid="{CFCA92F8-5E81-4399-A5B5-FBDFD04E5555}"/>
    <cellStyle name="Normal 13 6 27" xfId="5282" xr:uid="{4209C7CA-2975-4EBB-9131-01082ECB4110}"/>
    <cellStyle name="Normal 13 6 28" xfId="5283" xr:uid="{C71C5D68-0954-4ECD-9CFA-D71705D4A460}"/>
    <cellStyle name="Normal 13 6 29" xfId="5284" xr:uid="{DA97793E-3C6C-4141-8480-20BBFEC1E806}"/>
    <cellStyle name="Normal 13 6 3" xfId="5285" xr:uid="{7287EFAB-4F2B-4642-BDF4-ABC399AEA0B5}"/>
    <cellStyle name="Normal 13 6 3 10" xfId="5286" xr:uid="{6601E0D4-17CC-45FB-BFEE-C709D5FAE334}"/>
    <cellStyle name="Normal 13 6 3 11" xfId="5287" xr:uid="{0A044E7E-0869-4852-B478-B70F7AB5912E}"/>
    <cellStyle name="Normal 13 6 3 12" xfId="5288" xr:uid="{6413EC70-293F-4604-AC17-00C66CF86A01}"/>
    <cellStyle name="Normal 13 6 3 13" xfId="5289" xr:uid="{4DF3A001-47F2-412C-92A0-99F676570FA1}"/>
    <cellStyle name="Normal 13 6 3 14" xfId="5290" xr:uid="{2152112A-D613-4087-B4FF-CF6FAFEA464C}"/>
    <cellStyle name="Normal 13 6 3 15" xfId="5291" xr:uid="{606A99DC-F7BC-4169-888E-A5C6020ADC39}"/>
    <cellStyle name="Normal 13 6 3 16" xfId="5292" xr:uid="{6844239A-88D8-4991-8DA8-53537315B805}"/>
    <cellStyle name="Normal 13 6 3 17" xfId="5293" xr:uid="{779C4239-0A5D-4DB1-A52A-238AE68EBF34}"/>
    <cellStyle name="Normal 13 6 3 18" xfId="5294" xr:uid="{D8C2AF76-8DED-4BBC-84A0-C13DFD194DD1}"/>
    <cellStyle name="Normal 13 6 3 19" xfId="5295" xr:uid="{6239E596-C003-4E54-9579-A1AF631D6B1E}"/>
    <cellStyle name="Normal 13 6 3 2" xfId="5296" xr:uid="{79E86B48-28D4-4C73-823D-5C572E50606F}"/>
    <cellStyle name="Normal 13 6 3 2 10" xfId="5297" xr:uid="{8216F1F6-3A22-4337-B803-F134482DDB54}"/>
    <cellStyle name="Normal 13 6 3 2 11" xfId="5298" xr:uid="{2A8F476C-1746-4F63-9A67-928FE69FD1B2}"/>
    <cellStyle name="Normal 13 6 3 2 12" xfId="5299" xr:uid="{B2851559-D815-4EA5-8A8E-3FEAAFEF5226}"/>
    <cellStyle name="Normal 13 6 3 2 13" xfId="5300" xr:uid="{613F7AB0-AF5B-4F74-9B1B-7F548455F9AF}"/>
    <cellStyle name="Normal 13 6 3 2 14" xfId="5301" xr:uid="{7DF345CC-1553-48CC-ABE2-AFF55FAA6BF0}"/>
    <cellStyle name="Normal 13 6 3 2 15" xfId="5302" xr:uid="{D4021043-D762-4794-9685-511530301665}"/>
    <cellStyle name="Normal 13 6 3 2 16" xfId="5303" xr:uid="{152AC83E-A1A3-4709-B363-6BFCFDDA6871}"/>
    <cellStyle name="Normal 13 6 3 2 17" xfId="5304" xr:uid="{3EED114A-D636-4A57-B1BA-D56631F7E380}"/>
    <cellStyle name="Normal 13 6 3 2 18" xfId="5305" xr:uid="{57DC5D8A-FCBB-4CF3-9A12-DF9FEC415EBC}"/>
    <cellStyle name="Normal 13 6 3 2 19" xfId="5306" xr:uid="{F81C3E6D-B912-4228-A750-EFD801F8261D}"/>
    <cellStyle name="Normal 13 6 3 2 2" xfId="5307" xr:uid="{94DD51FD-33BB-4941-9C2C-17586089D0F8}"/>
    <cellStyle name="Normal 13 6 3 2 20" xfId="5308" xr:uid="{9B9DC282-171E-45DF-A4DD-D4BACEB2D46F}"/>
    <cellStyle name="Normal 13 6 3 2 21" xfId="5309" xr:uid="{866F0CE7-7669-460C-BB19-B952BBAC1397}"/>
    <cellStyle name="Normal 13 6 3 2 22" xfId="5310" xr:uid="{CB38088F-2E25-403C-86BE-C825272123B7}"/>
    <cellStyle name="Normal 13 6 3 2 23" xfId="5311" xr:uid="{AAC79A87-C694-476A-A93C-C042EE6AB062}"/>
    <cellStyle name="Normal 13 6 3 2 24" xfId="5312" xr:uid="{9F110E84-F8AC-402B-8402-294B78E68047}"/>
    <cellStyle name="Normal 13 6 3 2 25" xfId="5313" xr:uid="{F9908E8E-40A6-4ECC-ABA1-57DDAF909885}"/>
    <cellStyle name="Normal 13 6 3 2 26" xfId="5314" xr:uid="{BA6D2049-7194-44BC-8939-8F1D4729B77D}"/>
    <cellStyle name="Normal 13 6 3 2 27" xfId="5315" xr:uid="{6F26C2AA-7C43-4477-AB7E-E665C5C17F5F}"/>
    <cellStyle name="Normal 13 6 3 2 28" xfId="5316" xr:uid="{4E868374-A488-4E93-B223-C2FEC6A21962}"/>
    <cellStyle name="Normal 13 6 3 2 29" xfId="5317" xr:uid="{3055645C-63E1-4CA4-BDEA-B585D4F2EAB3}"/>
    <cellStyle name="Normal 13 6 3 2 3" xfId="5318" xr:uid="{C9FFBF8E-A476-47C1-8B33-5E630C3B7734}"/>
    <cellStyle name="Normal 13 6 3 2 30" xfId="5319" xr:uid="{B27BF85E-FED6-4FB9-A5FE-90D590704CB6}"/>
    <cellStyle name="Normal 13 6 3 2 31" xfId="5320" xr:uid="{CD3E96E6-03DF-4497-9D1B-656E1AEAD428}"/>
    <cellStyle name="Normal 13 6 3 2 32" xfId="5321" xr:uid="{B04064A3-6A2F-4352-84E9-4BE5EDFBA363}"/>
    <cellStyle name="Normal 13 6 3 2 33" xfId="5322" xr:uid="{2AB1371B-D93C-4E0E-B11F-18C22A280BF0}"/>
    <cellStyle name="Normal 13 6 3 2 34" xfId="5323" xr:uid="{BD2B7CFE-B303-484F-83DA-B6BE1B826A04}"/>
    <cellStyle name="Normal 13 6 3 2 35" xfId="5324" xr:uid="{EE35F3DC-8721-468B-96F5-E027ACA41292}"/>
    <cellStyle name="Normal 13 6 3 2 36" xfId="5325" xr:uid="{F33A03E0-6A44-4524-BA62-20D3C70D69D4}"/>
    <cellStyle name="Normal 13 6 3 2 37" xfId="5326" xr:uid="{3DF5C612-EAA0-4FB8-9BAD-D1B7F6FA534B}"/>
    <cellStyle name="Normal 13 6 3 2 38" xfId="5327" xr:uid="{DF542049-55B7-434D-BB92-0FA71D5CD397}"/>
    <cellStyle name="Normal 13 6 3 2 4" xfId="5328" xr:uid="{7DB1CB83-E3B2-4347-BC85-03E0CB1957DA}"/>
    <cellStyle name="Normal 13 6 3 2 5" xfId="5329" xr:uid="{0401C25B-3485-4200-B34C-62563DF74099}"/>
    <cellStyle name="Normal 13 6 3 2 6" xfId="5330" xr:uid="{C9AD3D8D-2C97-4844-9467-7DFB6A2F4278}"/>
    <cellStyle name="Normal 13 6 3 2 7" xfId="5331" xr:uid="{64D7CBD1-812B-465C-8D3F-BDCECE77F607}"/>
    <cellStyle name="Normal 13 6 3 2 8" xfId="5332" xr:uid="{53F63C2E-BC24-4CFD-A0D2-B74B2F49BF87}"/>
    <cellStyle name="Normal 13 6 3 2 9" xfId="5333" xr:uid="{F02F3ECB-D45A-4704-B143-6844F33F6389}"/>
    <cellStyle name="Normal 13 6 3 20" xfId="5334" xr:uid="{51305102-8CF0-44D0-A637-412779D9408F}"/>
    <cellStyle name="Normal 13 6 3 21" xfId="5335" xr:uid="{2D723351-0881-4A86-8A29-D398C4B59A97}"/>
    <cellStyle name="Normal 13 6 3 22" xfId="5336" xr:uid="{19A9A660-DED2-4159-ABC7-DABF938D7EF8}"/>
    <cellStyle name="Normal 13 6 3 23" xfId="5337" xr:uid="{42EE57AD-8936-4EC8-8252-72EC64D6103D}"/>
    <cellStyle name="Normal 13 6 3 24" xfId="5338" xr:uid="{E259E70A-0369-4355-8B57-11ED7A2C3DD6}"/>
    <cellStyle name="Normal 13 6 3 25" xfId="5339" xr:uid="{14477B4F-543F-49BD-BBB3-8F0E911DD185}"/>
    <cellStyle name="Normal 13 6 3 26" xfId="5340" xr:uid="{56900C43-E9FC-463B-B739-B9E577469EAC}"/>
    <cellStyle name="Normal 13 6 3 27" xfId="5341" xr:uid="{F850DE43-291D-455F-AB60-6B54CB7633B3}"/>
    <cellStyle name="Normal 13 6 3 28" xfId="5342" xr:uid="{C32299E0-19EF-4713-A64F-25FA3485AB4D}"/>
    <cellStyle name="Normal 13 6 3 29" xfId="5343" xr:uid="{463309C3-9BD8-4E73-8B52-DBCA56BF51E1}"/>
    <cellStyle name="Normal 13 6 3 3" xfId="5344" xr:uid="{133577F4-78C4-441F-A8AB-E80B61597177}"/>
    <cellStyle name="Normal 13 6 3 30" xfId="5345" xr:uid="{EE56E074-CC7C-4C04-904D-5948311ACC32}"/>
    <cellStyle name="Normal 13 6 3 31" xfId="5346" xr:uid="{74B973A8-9023-4F0E-B085-B570C0CA0369}"/>
    <cellStyle name="Normal 13 6 3 32" xfId="5347" xr:uid="{923ED901-E6DF-4D9E-9CAF-7F4A3CE0D8A1}"/>
    <cellStyle name="Normal 13 6 3 33" xfId="5348" xr:uid="{BE197DB8-488E-4710-9346-2F3303CA8271}"/>
    <cellStyle name="Normal 13 6 3 34" xfId="5349" xr:uid="{FB3D91EC-89F4-44F7-B891-BBB040E1887D}"/>
    <cellStyle name="Normal 13 6 3 35" xfId="5350" xr:uid="{A9782048-88FA-4887-A3E5-CBF3702ABD84}"/>
    <cellStyle name="Normal 13 6 3 36" xfId="5351" xr:uid="{FC740BF1-388A-482A-B291-FAC9B049B50C}"/>
    <cellStyle name="Normal 13 6 3 37" xfId="5352" xr:uid="{A12FF483-EE52-4F5F-8183-EC8AB78D511F}"/>
    <cellStyle name="Normal 13 6 3 38" xfId="5353" xr:uid="{CF1291B0-8C73-42C6-99FB-75C0EF77BEBC}"/>
    <cellStyle name="Normal 13 6 3 4" xfId="5354" xr:uid="{5641610E-C92E-43FA-9C35-9417706B8F05}"/>
    <cellStyle name="Normal 13 6 3 5" xfId="5355" xr:uid="{8274815C-FD07-4592-8A0E-AEB8E81A3A3D}"/>
    <cellStyle name="Normal 13 6 3 6" xfId="5356" xr:uid="{C4B14C5D-1C66-4F35-90A7-59B056486681}"/>
    <cellStyle name="Normal 13 6 3 7" xfId="5357" xr:uid="{EA7DF28F-EAAE-4082-950C-EF9EA0E0A284}"/>
    <cellStyle name="Normal 13 6 3 8" xfId="5358" xr:uid="{6935E87D-A885-4DDE-A220-B533D7EEDDA2}"/>
    <cellStyle name="Normal 13 6 3 9" xfId="5359" xr:uid="{01618E8C-CCE9-4B2C-A11D-CDE166AF97BC}"/>
    <cellStyle name="Normal 13 6 30" xfId="5360" xr:uid="{73D6A24D-C98F-4803-AFA4-9EBBE8E8575C}"/>
    <cellStyle name="Normal 13 6 31" xfId="5361" xr:uid="{7E76C3CE-D74A-45EF-B350-3ADEF4FB323F}"/>
    <cellStyle name="Normal 13 6 32" xfId="5362" xr:uid="{8A06B93F-631E-4219-BE59-0B0C37016E53}"/>
    <cellStyle name="Normal 13 6 33" xfId="5363" xr:uid="{D71A3C27-D26F-4838-8A57-F5733F85C981}"/>
    <cellStyle name="Normal 13 6 34" xfId="5364" xr:uid="{300B4772-7CEF-410C-B190-5ABE9E2A51FF}"/>
    <cellStyle name="Normal 13 6 35" xfId="5365" xr:uid="{6C26BCB0-2D31-4228-AE0E-8AC354EDC69D}"/>
    <cellStyle name="Normal 13 6 36" xfId="5366" xr:uid="{4EFC8D67-C750-496D-9193-B35C90D3CCD7}"/>
    <cellStyle name="Normal 13 6 37" xfId="5367" xr:uid="{7594AF1C-E6DC-4492-863C-7F2863F98ACC}"/>
    <cellStyle name="Normal 13 6 38" xfId="5368" xr:uid="{D38E7C7A-4394-40A2-9ED7-5A98DC553B0E}"/>
    <cellStyle name="Normal 13 6 39" xfId="5369" xr:uid="{1FC50145-7752-47F7-A357-6A2CD4CC971B}"/>
    <cellStyle name="Normal 13 6 4" xfId="5370" xr:uid="{3A7D2C2C-A2C9-4491-93C2-F436A0DC206B}"/>
    <cellStyle name="Normal 13 6 40" xfId="5371" xr:uid="{2475D348-607D-479B-A8A2-47D491E9CC78}"/>
    <cellStyle name="Normal 13 6 41" xfId="5372" xr:uid="{996FA7A7-911D-48B7-A9CA-8D1B16E7551F}"/>
    <cellStyle name="Normal 13 6 42" xfId="5373" xr:uid="{EC4ADFE2-8926-4244-A096-D83032E86C11}"/>
    <cellStyle name="Normal 13 6 43" xfId="5374" xr:uid="{E5D6EB49-058F-4F95-B5A1-9F96ADC68509}"/>
    <cellStyle name="Normal 13 6 44" xfId="5375" xr:uid="{36E51962-D289-4478-AE47-869D5C4428FA}"/>
    <cellStyle name="Normal 13 6 45" xfId="5376" xr:uid="{02F251DA-C783-4471-B57A-0AB801A13732}"/>
    <cellStyle name="Normal 13 6 46" xfId="5377" xr:uid="{1B730556-41C3-40C9-BE38-F935ABA589E6}"/>
    <cellStyle name="Normal 13 6 47" xfId="5378" xr:uid="{762377EA-869D-48C0-92AF-6EC48BE13646}"/>
    <cellStyle name="Normal 13 6 5" xfId="5379" xr:uid="{F6E837DC-2601-4050-B098-41611F2E8BA4}"/>
    <cellStyle name="Normal 13 6 6" xfId="5380" xr:uid="{C96FA2F8-DE62-46DA-A424-068E46990CF5}"/>
    <cellStyle name="Normal 13 6 7" xfId="5381" xr:uid="{2577BBFE-7A4F-47D8-B5E3-C4DBFD11C843}"/>
    <cellStyle name="Normal 13 6 8" xfId="5382" xr:uid="{E8C8FC4B-0D9A-4C3B-B4C9-F97EA71CF25D}"/>
    <cellStyle name="Normal 13 6 9" xfId="5383" xr:uid="{15559287-03D7-400F-9F84-84B3FECFCA4C}"/>
    <cellStyle name="Normal 13 7" xfId="5384" xr:uid="{B1888D0F-6137-4902-B755-D3F3B70BF313}"/>
    <cellStyle name="Normal 13 8" xfId="5385" xr:uid="{011F5610-A982-4FA3-AB24-6E855CDF814F}"/>
    <cellStyle name="Normal 13 9" xfId="5386" xr:uid="{FEF638CB-5CAF-4FFC-9559-4889A62F5C71}"/>
    <cellStyle name="Normal 14" xfId="5387" xr:uid="{DF3F0C05-4BEF-4610-A58F-3D198191089D}"/>
    <cellStyle name="Normal 14 10" xfId="5388" xr:uid="{0690B3AB-2268-494A-8347-92C96C7A3B16}"/>
    <cellStyle name="Normal 14 11" xfId="5389" xr:uid="{571F5659-AC03-407A-97CB-2C662862188F}"/>
    <cellStyle name="Normal 14 12" xfId="5390" xr:uid="{C9EFB446-3034-432B-A57B-3195F7624775}"/>
    <cellStyle name="Normal 14 13" xfId="5391" xr:uid="{08A451C6-DAF3-4BDA-9829-557465706930}"/>
    <cellStyle name="Normal 14 14" xfId="5392" xr:uid="{8AE00AEA-9E80-4CC2-90EC-1BCD1897596D}"/>
    <cellStyle name="Normal 14 15" xfId="5393" xr:uid="{033C1AB8-38AC-4664-9B32-274854230EE2}"/>
    <cellStyle name="Normal 14 16" xfId="5394" xr:uid="{046597E7-0E5C-465B-AA26-0DFEA67F7399}"/>
    <cellStyle name="Normal 14 17" xfId="5395" xr:uid="{046110D5-0399-4545-8DB1-BACCFF7F9324}"/>
    <cellStyle name="Normal 14 18" xfId="5396" xr:uid="{4CEB6F40-AC04-46CB-AD48-56A18383DC6A}"/>
    <cellStyle name="Normal 14 19" xfId="5397" xr:uid="{331E2331-1626-4C1C-8090-8B7D98DF1BF0}"/>
    <cellStyle name="Normal 14 2" xfId="5398" xr:uid="{2C24CA2D-18C7-465F-A5E3-895088F34251}"/>
    <cellStyle name="Normal 14 20" xfId="5399" xr:uid="{33856A9D-8D9D-42AC-AD23-781450FB5D87}"/>
    <cellStyle name="Normal 14 21" xfId="5400" xr:uid="{F1B48BA5-BADD-48D7-B9C9-655B5154CD94}"/>
    <cellStyle name="Normal 14 22" xfId="5401" xr:uid="{FBE9C92D-0974-4AD1-ACCC-C1AFCD65D7B8}"/>
    <cellStyle name="Normal 14 23" xfId="5402" xr:uid="{89FBCF05-03DA-46F9-A2DE-DF4E2FC959EC}"/>
    <cellStyle name="Normal 14 24" xfId="5403" xr:uid="{525B0514-8268-4064-9D06-DA77D5B60B84}"/>
    <cellStyle name="Normal 14 25" xfId="5404" xr:uid="{2C325696-F842-46FE-A416-84E96EDE5AEA}"/>
    <cellStyle name="Normal 14 26" xfId="5405" xr:uid="{40E2EBFF-317B-4B16-8185-F3598CDD000A}"/>
    <cellStyle name="Normal 14 27" xfId="5406" xr:uid="{5D024CDE-F2A8-454E-9777-6FAE2457BCA0}"/>
    <cellStyle name="Normal 14 28" xfId="5407" xr:uid="{15C2124E-5931-48D8-A535-DBE0083B7E3A}"/>
    <cellStyle name="Normal 14 29" xfId="5408" xr:uid="{063E3690-E36D-4CC0-85B0-83841768ACBE}"/>
    <cellStyle name="Normal 14 3" xfId="5409" xr:uid="{B0D45A2E-F04F-4754-B5E9-B973A33EDFE7}"/>
    <cellStyle name="Normal 14 30" xfId="5410" xr:uid="{8D2CD1B1-3954-442C-8603-D626F8411574}"/>
    <cellStyle name="Normal 14 31" xfId="5411" xr:uid="{D37C5010-FB4E-4972-85C9-34551A0CCF63}"/>
    <cellStyle name="Normal 14 32" xfId="5412" xr:uid="{0D21CBF3-D003-4253-BCCD-3285A7B93EFD}"/>
    <cellStyle name="Normal 14 33" xfId="5413" xr:uid="{02BB1BF2-A1BD-44CF-851B-83C80A28063C}"/>
    <cellStyle name="Normal 14 34" xfId="5414" xr:uid="{E4EDDA6F-B46A-427D-8AF2-3C0AD20DCC4B}"/>
    <cellStyle name="Normal 14 35" xfId="5415" xr:uid="{84542CD7-749C-405C-815D-293633171136}"/>
    <cellStyle name="Normal 14 36" xfId="5416" xr:uid="{56A398FB-7E32-4353-8B72-715A933C3092}"/>
    <cellStyle name="Normal 14 37" xfId="5417" xr:uid="{3196311E-D018-440E-88A4-EEE2E44E7309}"/>
    <cellStyle name="Normal 14 38" xfId="5418" xr:uid="{4187F78B-71C5-4493-BA75-26D5A7AB6A91}"/>
    <cellStyle name="Normal 14 39" xfId="5419" xr:uid="{481E72C1-67E9-4D73-AF3D-1C943C714A40}"/>
    <cellStyle name="Normal 14 4" xfId="5420" xr:uid="{529FCD6F-5B2A-4875-B3BC-998B8669DEB9}"/>
    <cellStyle name="Normal 14 40" xfId="5421" xr:uid="{72E85BB9-BCBB-4F42-88D7-7E4D4C00E715}"/>
    <cellStyle name="Normal 14 41" xfId="5422" xr:uid="{5DBF963D-F478-4FD8-B4C9-C8BC4701C3FA}"/>
    <cellStyle name="Normal 14 42" xfId="5423" xr:uid="{BEF87CB2-C781-4106-AA5A-ADB6B8B0FCFF}"/>
    <cellStyle name="Normal 14 43" xfId="5424" xr:uid="{1FA5DA3F-164D-4A83-B921-1077499B8952}"/>
    <cellStyle name="Normal 14 44" xfId="5425" xr:uid="{A01BA7C5-47EB-42D4-8217-6570191E9833}"/>
    <cellStyle name="Normal 14 45" xfId="5426" xr:uid="{A8C4FBE2-AEEE-41A2-85A7-271C51FCC43D}"/>
    <cellStyle name="Normal 14 46" xfId="5427" xr:uid="{C0AB269B-C702-4A1C-9602-FF7AA2BC075B}"/>
    <cellStyle name="Normal 14 47" xfId="5428" xr:uid="{2E7DC889-D628-4CBF-B04D-A6F9E3B29C12}"/>
    <cellStyle name="Normal 14 48" xfId="5429" xr:uid="{CBF397B0-8C5B-4673-A227-091AB0A8CFF0}"/>
    <cellStyle name="Normal 14 49" xfId="5430" xr:uid="{793C5595-462B-41F2-B9AF-AC46804D1B79}"/>
    <cellStyle name="Normal 14 5" xfId="5431" xr:uid="{4492954E-88A2-47D7-85F1-62A861DCBFC6}"/>
    <cellStyle name="Normal 14 50" xfId="5432" xr:uid="{C13E3135-59B7-4626-9448-76D2B77D4B54}"/>
    <cellStyle name="Normal 14 51" xfId="5433" xr:uid="{AF492393-2C7C-4FBB-B1C0-A443F6188704}"/>
    <cellStyle name="Normal 14 52" xfId="5434" xr:uid="{07BE7971-6D34-466D-B6A5-AF073E091C08}"/>
    <cellStyle name="Normal 14 53" xfId="5435" xr:uid="{46EAFDD1-4971-4E85-A4AC-196F28A60FB9}"/>
    <cellStyle name="Normal 14 6" xfId="5436" xr:uid="{ACD49A73-37BF-43A5-9A2A-B305985CB744}"/>
    <cellStyle name="Normal 14 7" xfId="5437" xr:uid="{8727295E-FB38-4103-8F19-38729E18A282}"/>
    <cellStyle name="Normal 14 8" xfId="5438" xr:uid="{22BC20F5-9C95-4D30-A64B-AE3DC046687D}"/>
    <cellStyle name="Normal 14 9" xfId="5439" xr:uid="{2684B67C-3172-4461-A99A-D878FF4514DA}"/>
    <cellStyle name="Normal 15" xfId="5440" xr:uid="{4EF172FE-47D2-479D-B9A8-380F91B2083E}"/>
    <cellStyle name="Normal 15 2" xfId="5441" xr:uid="{E820B0BA-A965-4C6A-8626-AC4AAF9EC602}"/>
    <cellStyle name="Normal 16" xfId="57" xr:uid="{610257FC-12D6-4454-9D28-0D1F4F7BFA7E}"/>
    <cellStyle name="Normal 16 2" xfId="5442" xr:uid="{70C6D507-C3AE-4877-A4D2-317AD8CCFEBB}"/>
    <cellStyle name="Normal 17" xfId="16753" xr:uid="{F3FCFF82-60CF-44F7-83F6-EAFE4C1E37B4}"/>
    <cellStyle name="Normal 18" xfId="16756" xr:uid="{E492B2F8-7B21-4365-8F4A-DDC83578AF4D}"/>
    <cellStyle name="Normal 19" xfId="16758" xr:uid="{DB20D940-B2C0-4167-9B57-B64F21484C16}"/>
    <cellStyle name="Normal 2" xfId="47" xr:uid="{844CF2A8-9C57-4E3D-89E3-5B62E40EF033}"/>
    <cellStyle name="Normal 2 10" xfId="5444" xr:uid="{B71B30F2-2BD2-4504-8FCD-F600C98467E4}"/>
    <cellStyle name="Normal 2 10 10" xfId="5445" xr:uid="{E52D4767-FCBE-4C00-A010-73AD30C4465F}"/>
    <cellStyle name="Normal 2 10 11" xfId="5446" xr:uid="{8811025F-EE28-4414-8A38-92B11ED545C5}"/>
    <cellStyle name="Normal 2 10 12" xfId="5447" xr:uid="{9D0F827F-AA86-4C2C-93A4-B2F8642B7E0F}"/>
    <cellStyle name="Normal 2 10 13" xfId="5448" xr:uid="{4F8FC426-47E3-4942-A3C2-0687EEB211C3}"/>
    <cellStyle name="Normal 2 10 14" xfId="5449" xr:uid="{544E88BF-AB03-489F-981E-462E282C6B0F}"/>
    <cellStyle name="Normal 2 10 15" xfId="5450" xr:uid="{22A69C01-B56A-46E3-9960-A704AB41D016}"/>
    <cellStyle name="Normal 2 10 16" xfId="5451" xr:uid="{B7F3A390-CD9E-41B3-87CD-5A61D101B4C9}"/>
    <cellStyle name="Normal 2 10 17" xfId="5452" xr:uid="{45015461-1306-4B0F-A738-EAB1DC66E4C0}"/>
    <cellStyle name="Normal 2 10 18" xfId="5453" xr:uid="{303525F2-9999-4707-9EB6-6593BA82D369}"/>
    <cellStyle name="Normal 2 10 19" xfId="5454" xr:uid="{2FD11D5B-D7B9-471F-B0B9-CE1AF25A0D65}"/>
    <cellStyle name="Normal 2 10 2" xfId="5455" xr:uid="{2AB638AA-05DB-49C4-85EE-C8FBE16102C0}"/>
    <cellStyle name="Normal 2 10 2 10" xfId="5456" xr:uid="{CBA63E0F-9D76-4688-8470-FA462336C27D}"/>
    <cellStyle name="Normal 2 10 2 11" xfId="5457" xr:uid="{4309DD65-944E-47CF-8E95-85D4F25BA03E}"/>
    <cellStyle name="Normal 2 10 2 12" xfId="5458" xr:uid="{64CEE2DB-931A-425B-A9AC-BAA6E7A382F8}"/>
    <cellStyle name="Normal 2 10 2 13" xfId="5459" xr:uid="{1B13F271-DAAA-4C54-8B43-1E56C6C25175}"/>
    <cellStyle name="Normal 2 10 2 14" xfId="5460" xr:uid="{75FBCACA-1677-4755-BFF5-949FF82834FE}"/>
    <cellStyle name="Normal 2 10 2 15" xfId="5461" xr:uid="{F2B19351-A970-4820-AE47-A037513C57E0}"/>
    <cellStyle name="Normal 2 10 2 16" xfId="5462" xr:uid="{0DDF8B43-AA90-4B31-B932-651D1CDAC540}"/>
    <cellStyle name="Normal 2 10 2 17" xfId="5463" xr:uid="{67DE327E-CF91-43BA-9CD4-15887DF55488}"/>
    <cellStyle name="Normal 2 10 2 18" xfId="5464" xr:uid="{BCCC492D-7BA4-47A4-96D0-E497C510C443}"/>
    <cellStyle name="Normal 2 10 2 19" xfId="5465" xr:uid="{31F1875C-0147-4E13-8353-A296FA67D0DA}"/>
    <cellStyle name="Normal 2 10 2 2" xfId="5466" xr:uid="{1C301B5D-A394-4383-A72E-145C8BCD1DD9}"/>
    <cellStyle name="Normal 2 10 2 2 10" xfId="5467" xr:uid="{5B0C9D89-2BB5-4CC2-A9DB-063823ACE7FD}"/>
    <cellStyle name="Normal 2 10 2 2 11" xfId="5468" xr:uid="{00F663B4-3DBC-4681-97A5-0C8D6EA84C64}"/>
    <cellStyle name="Normal 2 10 2 2 12" xfId="5469" xr:uid="{70D27DDE-0995-41CA-BCCF-11DE71AE14FD}"/>
    <cellStyle name="Normal 2 10 2 2 13" xfId="5470" xr:uid="{BD92A6D2-AA69-4557-98FB-5FB7337F5469}"/>
    <cellStyle name="Normal 2 10 2 2 14" xfId="5471" xr:uid="{64228562-89E7-4D47-824D-5B07471E48A3}"/>
    <cellStyle name="Normal 2 10 2 2 15" xfId="5472" xr:uid="{39D833E9-8858-4683-AC46-755630511E2A}"/>
    <cellStyle name="Normal 2 10 2 2 16" xfId="5473" xr:uid="{C20CC31A-93E1-4E43-88F9-112D31F7ACB6}"/>
    <cellStyle name="Normal 2 10 2 2 17" xfId="5474" xr:uid="{95666788-E78E-47BD-8E8F-AE84889E8C47}"/>
    <cellStyle name="Normal 2 10 2 2 18" xfId="5475" xr:uid="{AF290E6D-0C92-4106-AD98-908BA4C97F08}"/>
    <cellStyle name="Normal 2 10 2 2 19" xfId="5476" xr:uid="{837ABDB6-59C0-4E02-89C5-A54731F8B424}"/>
    <cellStyle name="Normal 2 10 2 2 2" xfId="5477" xr:uid="{99482A2E-4586-4AB2-9F9E-4767EDF46CD0}"/>
    <cellStyle name="Normal 2 10 2 2 2 10" xfId="5478" xr:uid="{764B9B0F-E4CA-4DEA-9F3A-1A2513423E2F}"/>
    <cellStyle name="Normal 2 10 2 2 2 11" xfId="5479" xr:uid="{84319344-3E04-49B0-BFFC-481E3681DA19}"/>
    <cellStyle name="Normal 2 10 2 2 2 12" xfId="5480" xr:uid="{F2C1A098-47BD-4EEE-9B2B-74B561B67F62}"/>
    <cellStyle name="Normal 2 10 2 2 2 13" xfId="5481" xr:uid="{6F8EE46B-6659-4CF8-91B6-076E1B1FB527}"/>
    <cellStyle name="Normal 2 10 2 2 2 14" xfId="5482" xr:uid="{CEA0296E-0FC3-425E-8802-4702586E68DA}"/>
    <cellStyle name="Normal 2 10 2 2 2 15" xfId="5483" xr:uid="{AA851FC7-3FD7-470C-B7C2-4BEB2B4D90A3}"/>
    <cellStyle name="Normal 2 10 2 2 2 16" xfId="5484" xr:uid="{BE57A615-B40B-4CED-8295-C9B96623F7F1}"/>
    <cellStyle name="Normal 2 10 2 2 2 17" xfId="5485" xr:uid="{78517CAD-73EC-4C9E-8063-BEC03AF23273}"/>
    <cellStyle name="Normal 2 10 2 2 2 18" xfId="5486" xr:uid="{96CA72C2-A2B7-4E95-A6D3-CBB6A4EB3B8D}"/>
    <cellStyle name="Normal 2 10 2 2 2 19" xfId="5487" xr:uid="{2CB925AF-5A21-48FB-A180-E09658AFB66E}"/>
    <cellStyle name="Normal 2 10 2 2 2 2" xfId="5488" xr:uid="{64DE8603-6A79-4D97-A9F6-B698096A2AF1}"/>
    <cellStyle name="Normal 2 10 2 2 2 20" xfId="5489" xr:uid="{F71E6CA2-49FA-4AE0-A284-E04B3BDBD0BD}"/>
    <cellStyle name="Normal 2 10 2 2 2 21" xfId="5490" xr:uid="{CA83BBC8-D23F-4150-AC01-4A83F754069E}"/>
    <cellStyle name="Normal 2 10 2 2 2 22" xfId="5491" xr:uid="{5C806C42-F273-43A5-A3FC-CB131C06996F}"/>
    <cellStyle name="Normal 2 10 2 2 2 23" xfId="5492" xr:uid="{50512B0F-D074-4929-8D81-CE9B06E322C8}"/>
    <cellStyle name="Normal 2 10 2 2 2 24" xfId="5493" xr:uid="{7C420511-EE38-47FA-BC75-64E547125F08}"/>
    <cellStyle name="Normal 2 10 2 2 2 25" xfId="5494" xr:uid="{AC014D0B-178A-4CE2-880E-AC8B32319A02}"/>
    <cellStyle name="Normal 2 10 2 2 2 26" xfId="5495" xr:uid="{64849015-DC41-4C03-9B80-FF43E6A7BFBF}"/>
    <cellStyle name="Normal 2 10 2 2 2 27" xfId="5496" xr:uid="{AB12EF5B-2BB0-411E-B90C-09EC4813414C}"/>
    <cellStyle name="Normal 2 10 2 2 2 28" xfId="5497" xr:uid="{9E355D57-2373-4441-B327-E4E8C359D944}"/>
    <cellStyle name="Normal 2 10 2 2 2 29" xfId="5498" xr:uid="{A86C31E7-AD48-4B65-9042-688B28F2A417}"/>
    <cellStyle name="Normal 2 10 2 2 2 3" xfId="5499" xr:uid="{CD866023-6153-45FB-8FBC-34F8469255F9}"/>
    <cellStyle name="Normal 2 10 2 2 2 30" xfId="5500" xr:uid="{D69CE128-6FFB-47DA-A811-906D40C3BE9E}"/>
    <cellStyle name="Normal 2 10 2 2 2 31" xfId="5501" xr:uid="{043D87C4-92F2-4B2B-BD56-FD0563C24BF6}"/>
    <cellStyle name="Normal 2 10 2 2 2 32" xfId="5502" xr:uid="{FA4BF1AA-F9DD-4EFA-B94E-610B8DB97E18}"/>
    <cellStyle name="Normal 2 10 2 2 2 33" xfId="5503" xr:uid="{D0187169-7A16-4D90-815D-CF828E692F59}"/>
    <cellStyle name="Normal 2 10 2 2 2 34" xfId="5504" xr:uid="{6C27711B-E2EF-4B90-989E-AD07E514F013}"/>
    <cellStyle name="Normal 2 10 2 2 2 35" xfId="5505" xr:uid="{591C6929-F653-41FE-AA58-B9EA5AB8311F}"/>
    <cellStyle name="Normal 2 10 2 2 2 36" xfId="5506" xr:uid="{F50930E1-D530-4416-9A41-F0183FEF8ABC}"/>
    <cellStyle name="Normal 2 10 2 2 2 37" xfId="5507" xr:uid="{F1B0FAE5-5004-4099-8CEA-4E8F44A3601A}"/>
    <cellStyle name="Normal 2 10 2 2 2 38" xfId="5508" xr:uid="{9CD5957B-4AC1-4834-B860-408D71E48D00}"/>
    <cellStyle name="Normal 2 10 2 2 2 4" xfId="5509" xr:uid="{063B7092-BB77-4A9B-B71A-80E991F48B38}"/>
    <cellStyle name="Normal 2 10 2 2 2 5" xfId="5510" xr:uid="{B79250A0-092A-42D9-84F5-118C48F68D80}"/>
    <cellStyle name="Normal 2 10 2 2 2 6" xfId="5511" xr:uid="{F1633E27-93EB-48BD-914D-6A7C7DAEDC00}"/>
    <cellStyle name="Normal 2 10 2 2 2 7" xfId="5512" xr:uid="{4E883244-D320-4619-B2F6-5614E5E84884}"/>
    <cellStyle name="Normal 2 10 2 2 2 8" xfId="5513" xr:uid="{E0406326-1C6B-402A-889E-C5FC9FC87920}"/>
    <cellStyle name="Normal 2 10 2 2 2 9" xfId="5514" xr:uid="{374107EC-6955-4914-9344-C6A76BCE9BAC}"/>
    <cellStyle name="Normal 2 10 2 2 20" xfId="5515" xr:uid="{E8E19ED6-7B48-492C-9B3C-5F08E3AFE945}"/>
    <cellStyle name="Normal 2 10 2 2 21" xfId="5516" xr:uid="{13E4A015-AEB0-4735-B039-CAC46124FF29}"/>
    <cellStyle name="Normal 2 10 2 2 22" xfId="5517" xr:uid="{A863A528-E349-4C4B-BA39-BFF03433E746}"/>
    <cellStyle name="Normal 2 10 2 2 23" xfId="5518" xr:uid="{161AA01A-CCD7-4120-A87A-D74DCA94D4BE}"/>
    <cellStyle name="Normal 2 10 2 2 24" xfId="5519" xr:uid="{88452D8C-71DF-448F-AD66-BC3A02120024}"/>
    <cellStyle name="Normal 2 10 2 2 25" xfId="5520" xr:uid="{AED4BC96-A6FB-40A8-966C-DF8DF4205107}"/>
    <cellStyle name="Normal 2 10 2 2 26" xfId="5521" xr:uid="{23CE91CD-DAD6-4D6F-B13E-AD1CD439CBAF}"/>
    <cellStyle name="Normal 2 10 2 2 27" xfId="5522" xr:uid="{EE179A2E-AFC6-48A0-BD5C-C238EB5903B6}"/>
    <cellStyle name="Normal 2 10 2 2 28" xfId="5523" xr:uid="{FDC6FA1D-3F66-4607-BF6B-A5576D0F96CF}"/>
    <cellStyle name="Normal 2 10 2 2 29" xfId="5524" xr:uid="{EFC835E6-AE52-4DB7-91E0-B6282EEC41D0}"/>
    <cellStyle name="Normal 2 10 2 2 3" xfId="5525" xr:uid="{3F54D5B3-8313-4902-A18E-E5BFC5060A9B}"/>
    <cellStyle name="Normal 2 10 2 2 30" xfId="5526" xr:uid="{9E70A6B6-D506-4405-84F3-6B42A94498BB}"/>
    <cellStyle name="Normal 2 10 2 2 31" xfId="5527" xr:uid="{F23D8A2D-2069-4135-9919-F3AF0C54380F}"/>
    <cellStyle name="Normal 2 10 2 2 32" xfId="5528" xr:uid="{9AEF046F-0C1B-4201-9F70-D20B4D17FBE9}"/>
    <cellStyle name="Normal 2 10 2 2 33" xfId="5529" xr:uid="{FA9F6265-009E-4B85-BFDE-C5336EC7BB24}"/>
    <cellStyle name="Normal 2 10 2 2 34" xfId="5530" xr:uid="{76F579D4-CA31-46DE-A432-037B1457048F}"/>
    <cellStyle name="Normal 2 10 2 2 35" xfId="5531" xr:uid="{12077EB5-B7CA-4720-80CC-29DA3A9DF411}"/>
    <cellStyle name="Normal 2 10 2 2 36" xfId="5532" xr:uid="{B6D01C3C-6323-4159-A830-378CCDA8AB48}"/>
    <cellStyle name="Normal 2 10 2 2 37" xfId="5533" xr:uid="{8BFCD22C-B06C-4F50-9B4F-743658E40308}"/>
    <cellStyle name="Normal 2 10 2 2 38" xfId="5534" xr:uid="{D6D9787F-CA12-4FEE-B16E-5F1F02413C75}"/>
    <cellStyle name="Normal 2 10 2 2 4" xfId="5535" xr:uid="{FF86660F-B6CF-4E41-A43C-928E4F736E97}"/>
    <cellStyle name="Normal 2 10 2 2 5" xfId="5536" xr:uid="{D245EEBD-4E8E-4B76-A85B-48C442E86E50}"/>
    <cellStyle name="Normal 2 10 2 2 6" xfId="5537" xr:uid="{CF6DA7C6-C7CA-409E-9E23-79F9933FA6BD}"/>
    <cellStyle name="Normal 2 10 2 2 7" xfId="5538" xr:uid="{2EDDF06A-354C-4603-8CB9-797DC7EBEF18}"/>
    <cellStyle name="Normal 2 10 2 2 8" xfId="5539" xr:uid="{38BF8152-84DB-4910-9FD8-62369A635840}"/>
    <cellStyle name="Normal 2 10 2 2 9" xfId="5540" xr:uid="{3C4B008E-906F-4DC0-8603-4F3C2D7FDF62}"/>
    <cellStyle name="Normal 2 10 2 20" xfId="5541" xr:uid="{511B3EB3-D124-453F-B0B7-5581DF8E61AB}"/>
    <cellStyle name="Normal 2 10 2 21" xfId="5542" xr:uid="{A09AFFC6-953F-4EC3-9864-DED828477554}"/>
    <cellStyle name="Normal 2 10 2 22" xfId="5543" xr:uid="{FE858584-AC0C-49D1-B0C4-ED7DAB2DB101}"/>
    <cellStyle name="Normal 2 10 2 23" xfId="5544" xr:uid="{B0B3F601-2685-44FD-A561-DF8261593DA1}"/>
    <cellStyle name="Normal 2 10 2 24" xfId="5545" xr:uid="{9CF809AC-EADE-4283-9ED2-DAA29576E043}"/>
    <cellStyle name="Normal 2 10 2 25" xfId="5546" xr:uid="{4C96CF37-1000-47AE-A8C7-740D2A3274B1}"/>
    <cellStyle name="Normal 2 10 2 26" xfId="5547" xr:uid="{CB130EA3-BBAB-46E5-BB9C-BBF365E63AB8}"/>
    <cellStyle name="Normal 2 10 2 27" xfId="5548" xr:uid="{52FC8FF2-843E-471A-93F6-655A883D2F1C}"/>
    <cellStyle name="Normal 2 10 2 28" xfId="5549" xr:uid="{D8BDE9D6-8D35-4CA1-A2A1-1E309B29B85D}"/>
    <cellStyle name="Normal 2 10 2 29" xfId="5550" xr:uid="{88C1D627-09AF-4CFF-B66C-F53BBBF38B76}"/>
    <cellStyle name="Normal 2 10 2 3" xfId="5551" xr:uid="{09AA3FC1-6D5C-48CB-BF1B-B26B2CC9DB60}"/>
    <cellStyle name="Normal 2 10 2 30" xfId="5552" xr:uid="{523046EC-25FB-4A99-91AE-47C12ABCF664}"/>
    <cellStyle name="Normal 2 10 2 31" xfId="5553" xr:uid="{A88A08D4-162C-47CA-80AE-ABC6AEC6A7EA}"/>
    <cellStyle name="Normal 2 10 2 32" xfId="5554" xr:uid="{ECDA5271-0857-496C-A2B2-271309626413}"/>
    <cellStyle name="Normal 2 10 2 33" xfId="5555" xr:uid="{D27DF4C3-856A-4DFB-89C3-20B3E17D12FE}"/>
    <cellStyle name="Normal 2 10 2 34" xfId="5556" xr:uid="{42C76DF4-803C-4202-A97F-FAE0F95B0AF2}"/>
    <cellStyle name="Normal 2 10 2 35" xfId="5557" xr:uid="{84AFBBB7-798F-4586-96A9-B4BC87615B6C}"/>
    <cellStyle name="Normal 2 10 2 36" xfId="5558" xr:uid="{7FB77F58-F89A-4CE0-99CA-0DE4D269CDFD}"/>
    <cellStyle name="Normal 2 10 2 37" xfId="5559" xr:uid="{98C2A45A-1529-4C9D-9A2A-2B01C87C39DB}"/>
    <cellStyle name="Normal 2 10 2 38" xfId="5560" xr:uid="{0BF11B27-F214-44D7-8F63-7EAA8B9A5EEA}"/>
    <cellStyle name="Normal 2 10 2 39" xfId="5561" xr:uid="{699F7995-5517-4EC0-B18C-1630A7288331}"/>
    <cellStyle name="Normal 2 10 2 4" xfId="5562" xr:uid="{ECBA48A4-797F-4609-83CE-6382812075C3}"/>
    <cellStyle name="Normal 2 10 2 40" xfId="5563" xr:uid="{757717BE-7B00-464B-8DA6-8639D589D4E2}"/>
    <cellStyle name="Normal 2 10 2 5" xfId="5564" xr:uid="{CEFD8A8D-8D5E-444C-90EB-40806DE391BB}"/>
    <cellStyle name="Normal 2 10 2 6" xfId="5565" xr:uid="{488CD9EB-4C2D-4727-8A11-3D7FE3FD7C4A}"/>
    <cellStyle name="Normal 2 10 2 7" xfId="5566" xr:uid="{A85BA0CE-2A7A-4616-84A4-405CB08A6830}"/>
    <cellStyle name="Normal 2 10 2 8" xfId="5567" xr:uid="{5A13A240-EF1F-49BC-A540-FE2F2592D302}"/>
    <cellStyle name="Normal 2 10 2 9" xfId="5568" xr:uid="{D1E4BCC8-81E6-494C-88A5-A68382A744D0}"/>
    <cellStyle name="Normal 2 10 20" xfId="5569" xr:uid="{595C471B-1E83-4A8D-9387-81CDCF011713}"/>
    <cellStyle name="Normal 2 10 21" xfId="5570" xr:uid="{30D92887-55E2-4E6F-B511-72E6577B079F}"/>
    <cellStyle name="Normal 2 10 22" xfId="5571" xr:uid="{A27FDE44-007F-48AF-B182-16D40FEC8706}"/>
    <cellStyle name="Normal 2 10 23" xfId="5572" xr:uid="{D1BAC1E1-9839-493B-8B3C-47D19BD06D5F}"/>
    <cellStyle name="Normal 2 10 24" xfId="5573" xr:uid="{819B1D1F-7BC5-4823-8CCE-195DF0DD3DE2}"/>
    <cellStyle name="Normal 2 10 25" xfId="5574" xr:uid="{11E24284-30BC-4D76-A923-791318ABC73A}"/>
    <cellStyle name="Normal 2 10 26" xfId="5575" xr:uid="{AE67F4F6-2E5C-42BA-AF1B-D53243ECDD72}"/>
    <cellStyle name="Normal 2 10 27" xfId="5576" xr:uid="{349B820E-2F42-4289-B790-C952C9CF7B0C}"/>
    <cellStyle name="Normal 2 10 28" xfId="5577" xr:uid="{54B415D1-176B-4F9F-AD12-224A7806EC87}"/>
    <cellStyle name="Normal 2 10 29" xfId="5578" xr:uid="{46301566-AE77-4A42-B614-D69CC4D74644}"/>
    <cellStyle name="Normal 2 10 3" xfId="5579" xr:uid="{C0EAA9AC-58C7-4C71-9332-FC35511B15CF}"/>
    <cellStyle name="Normal 2 10 3 10" xfId="5580" xr:uid="{2E4A9538-3038-4E54-BEBA-A7F6924595E2}"/>
    <cellStyle name="Normal 2 10 3 11" xfId="5581" xr:uid="{1C42126F-022F-4DA5-8A55-5B9D5B7ECE78}"/>
    <cellStyle name="Normal 2 10 3 12" xfId="5582" xr:uid="{1EE8A274-13A3-4D40-8099-1E0A038786DB}"/>
    <cellStyle name="Normal 2 10 3 13" xfId="5583" xr:uid="{33B03E6B-66BD-4F97-A097-1ECAFBD9597F}"/>
    <cellStyle name="Normal 2 10 3 14" xfId="5584" xr:uid="{4B40771B-A640-4571-8164-47A7FF0CE964}"/>
    <cellStyle name="Normal 2 10 3 15" xfId="5585" xr:uid="{2A994D3F-71E4-45DC-BB7C-FEDF36923E73}"/>
    <cellStyle name="Normal 2 10 3 16" xfId="5586" xr:uid="{0C15E006-5268-4238-AABF-FAB7B077E90B}"/>
    <cellStyle name="Normal 2 10 3 17" xfId="5587" xr:uid="{1B2A7750-4505-4437-90C4-33E974607895}"/>
    <cellStyle name="Normal 2 10 3 18" xfId="5588" xr:uid="{00688EF4-A39A-45E6-8B53-2B5CEBC379C8}"/>
    <cellStyle name="Normal 2 10 3 19" xfId="5589" xr:uid="{ED1ED39A-89F9-404C-BF45-C892FEC60239}"/>
    <cellStyle name="Normal 2 10 3 2" xfId="5590" xr:uid="{980E10F8-5AB9-4C8C-A9D4-BA1F297F09A7}"/>
    <cellStyle name="Normal 2 10 3 2 10" xfId="5591" xr:uid="{72AC7521-5968-442C-86C9-46DB3B64A884}"/>
    <cellStyle name="Normal 2 10 3 2 11" xfId="5592" xr:uid="{E8B89DE0-2377-40DC-9D43-E3055377ECB7}"/>
    <cellStyle name="Normal 2 10 3 2 12" xfId="5593" xr:uid="{B9291221-549D-45AC-A95C-32D4A3C6D638}"/>
    <cellStyle name="Normal 2 10 3 2 13" xfId="5594" xr:uid="{5E8E8201-D208-44DF-8FB0-899CA8339DB6}"/>
    <cellStyle name="Normal 2 10 3 2 14" xfId="5595" xr:uid="{718A9C80-37D2-4342-8D26-FB38A754B2B6}"/>
    <cellStyle name="Normal 2 10 3 2 15" xfId="5596" xr:uid="{C0AB214F-724E-44EB-A486-F0AF5F1157C4}"/>
    <cellStyle name="Normal 2 10 3 2 16" xfId="5597" xr:uid="{41BA1E2B-810F-4687-8653-B4ECD03C4C67}"/>
    <cellStyle name="Normal 2 10 3 2 17" xfId="5598" xr:uid="{83A46EA7-DF48-4303-9394-B19258739CC8}"/>
    <cellStyle name="Normal 2 10 3 2 18" xfId="5599" xr:uid="{B38187B9-7C74-45BC-AB92-60D8D7314767}"/>
    <cellStyle name="Normal 2 10 3 2 19" xfId="5600" xr:uid="{7E8B4C0E-B072-45E1-A706-4BA8E7C11201}"/>
    <cellStyle name="Normal 2 10 3 2 2" xfId="5601" xr:uid="{6DF27562-D216-45EC-988B-D7CDDCDD8367}"/>
    <cellStyle name="Normal 2 10 3 2 20" xfId="5602" xr:uid="{13D174D3-9B26-4097-B58B-3C4E7A6638E1}"/>
    <cellStyle name="Normal 2 10 3 2 21" xfId="5603" xr:uid="{E935F7C7-1DB2-461B-836D-8C3286FDD33A}"/>
    <cellStyle name="Normal 2 10 3 2 22" xfId="5604" xr:uid="{98AC7117-7685-439C-9014-15C7BACABD98}"/>
    <cellStyle name="Normal 2 10 3 2 23" xfId="5605" xr:uid="{7CAC4503-F5CD-4FFC-8A87-17BA926B4EFF}"/>
    <cellStyle name="Normal 2 10 3 2 24" xfId="5606" xr:uid="{8E7F569E-3E39-465E-8221-61B487F37E87}"/>
    <cellStyle name="Normal 2 10 3 2 25" xfId="5607" xr:uid="{0D2DC03C-B634-4D18-9754-6F9AAF154643}"/>
    <cellStyle name="Normal 2 10 3 2 26" xfId="5608" xr:uid="{9B88287B-FBA1-47D3-9359-E4DBD4BF5643}"/>
    <cellStyle name="Normal 2 10 3 2 27" xfId="5609" xr:uid="{81A27585-0514-43AA-9237-EE49DE4722D5}"/>
    <cellStyle name="Normal 2 10 3 2 28" xfId="5610" xr:uid="{30CF6E95-5E97-41B7-8903-7CD89DF7A048}"/>
    <cellStyle name="Normal 2 10 3 2 29" xfId="5611" xr:uid="{C7773ABA-B27C-4B13-B97A-9335E96CB5AD}"/>
    <cellStyle name="Normal 2 10 3 2 3" xfId="5612" xr:uid="{0772B65C-237B-4235-A1FA-A5AEB4CAD01A}"/>
    <cellStyle name="Normal 2 10 3 2 30" xfId="5613" xr:uid="{10DCDC49-F507-4A24-A9E5-82E27D886D1F}"/>
    <cellStyle name="Normal 2 10 3 2 31" xfId="5614" xr:uid="{7A389DCF-3CF4-4BFC-A127-10952BDB3F8D}"/>
    <cellStyle name="Normal 2 10 3 2 32" xfId="5615" xr:uid="{0DDD027A-3085-4013-8AFA-45AFDA406335}"/>
    <cellStyle name="Normal 2 10 3 2 33" xfId="5616" xr:uid="{BC7565CE-0234-4888-8C11-D34C38144322}"/>
    <cellStyle name="Normal 2 10 3 2 34" xfId="5617" xr:uid="{B1C9F7F2-B0E9-40F2-A5C3-0F5A6B6D6FB8}"/>
    <cellStyle name="Normal 2 10 3 2 35" xfId="5618" xr:uid="{D67C9F0E-994A-4066-BBBF-3193552A366A}"/>
    <cellStyle name="Normal 2 10 3 2 36" xfId="5619" xr:uid="{D04D9F17-FD42-442D-8745-FF0F651DBF5C}"/>
    <cellStyle name="Normal 2 10 3 2 37" xfId="5620" xr:uid="{2DA8E57E-7091-4548-B19B-8A63E2B24F28}"/>
    <cellStyle name="Normal 2 10 3 2 38" xfId="5621" xr:uid="{5C5F8875-5236-4048-8A35-15DCE13E83DF}"/>
    <cellStyle name="Normal 2 10 3 2 4" xfId="5622" xr:uid="{4A50C935-E2D0-407B-9CEC-D893AFD548D1}"/>
    <cellStyle name="Normal 2 10 3 2 5" xfId="5623" xr:uid="{01A98834-945F-422D-A127-6A89F3DB4636}"/>
    <cellStyle name="Normal 2 10 3 2 6" xfId="5624" xr:uid="{9C99614C-7907-4D13-A045-30DAE4993C51}"/>
    <cellStyle name="Normal 2 10 3 2 7" xfId="5625" xr:uid="{4AF8DDFA-5375-4F8B-A18D-570FDC76B730}"/>
    <cellStyle name="Normal 2 10 3 2 8" xfId="5626" xr:uid="{CB82516C-30E4-4B16-B527-8FEF0BA28C4A}"/>
    <cellStyle name="Normal 2 10 3 2 9" xfId="5627" xr:uid="{4C76051C-B0B7-4D9E-8F11-0A3196293705}"/>
    <cellStyle name="Normal 2 10 3 20" xfId="5628" xr:uid="{6C1CFA61-E1A2-463A-8C24-AA8A5FA7720E}"/>
    <cellStyle name="Normal 2 10 3 21" xfId="5629" xr:uid="{B7FEC8CE-9CA3-4A82-BFDE-48BFC26E191F}"/>
    <cellStyle name="Normal 2 10 3 22" xfId="5630" xr:uid="{0EAAF902-A70E-422C-AEB1-DBE2CAB89595}"/>
    <cellStyle name="Normal 2 10 3 23" xfId="5631" xr:uid="{DF882BDA-7AFD-4FA9-9F52-733DA6142A12}"/>
    <cellStyle name="Normal 2 10 3 24" xfId="5632" xr:uid="{7F670DF2-F695-4A2B-A336-2D3EE15C34A3}"/>
    <cellStyle name="Normal 2 10 3 25" xfId="5633" xr:uid="{5050E1ED-2CE5-4EA1-B248-8EB7D60B0ADC}"/>
    <cellStyle name="Normal 2 10 3 26" xfId="5634" xr:uid="{21C30BA0-3105-4A88-9568-EBA15C737240}"/>
    <cellStyle name="Normal 2 10 3 27" xfId="5635" xr:uid="{A6F629B0-4160-4CCB-9823-07571C8CF9E0}"/>
    <cellStyle name="Normal 2 10 3 28" xfId="5636" xr:uid="{544A5451-4E83-43E6-96D5-27ED21D1903F}"/>
    <cellStyle name="Normal 2 10 3 29" xfId="5637" xr:uid="{FFF8214D-06C6-452B-98F7-3102B9AD0776}"/>
    <cellStyle name="Normal 2 10 3 3" xfId="5638" xr:uid="{6A717963-913C-48C2-B02F-85D9E947DE20}"/>
    <cellStyle name="Normal 2 10 3 30" xfId="5639" xr:uid="{980B0838-D061-49CC-974D-CD8FFD1EBF9B}"/>
    <cellStyle name="Normal 2 10 3 31" xfId="5640" xr:uid="{9B3EEA47-E95E-4F53-9A24-1E13D7670923}"/>
    <cellStyle name="Normal 2 10 3 32" xfId="5641" xr:uid="{A29993E5-93C5-4A3A-87F6-6F413F18BA46}"/>
    <cellStyle name="Normal 2 10 3 33" xfId="5642" xr:uid="{DE21E949-EBD3-4CE1-92E8-096ECCC1F8F2}"/>
    <cellStyle name="Normal 2 10 3 34" xfId="5643" xr:uid="{07E2F95F-4663-496B-887D-9548F3F18831}"/>
    <cellStyle name="Normal 2 10 3 35" xfId="5644" xr:uid="{0BF7ED6B-3C0B-4662-8EFD-8C13CA2CDF29}"/>
    <cellStyle name="Normal 2 10 3 36" xfId="5645" xr:uid="{2F22EE43-027E-48A5-BA59-7D2E2B76C50B}"/>
    <cellStyle name="Normal 2 10 3 37" xfId="5646" xr:uid="{64645119-F19E-4772-85AD-AB3415E934CD}"/>
    <cellStyle name="Normal 2 10 3 38" xfId="5647" xr:uid="{A2F23E5F-4F12-4FF5-ADA8-1D0A71CEF330}"/>
    <cellStyle name="Normal 2 10 3 4" xfId="5648" xr:uid="{D212EEE8-8F56-48B0-BD79-C6B3838D783F}"/>
    <cellStyle name="Normal 2 10 3 5" xfId="5649" xr:uid="{805D2506-6ACD-425E-A973-CA5AEC29604B}"/>
    <cellStyle name="Normal 2 10 3 6" xfId="5650" xr:uid="{DA8CAFFE-9E5E-4483-9C2B-F2AD362B166E}"/>
    <cellStyle name="Normal 2 10 3 7" xfId="5651" xr:uid="{643F31FA-8AE8-4C41-9593-942A4A696711}"/>
    <cellStyle name="Normal 2 10 3 8" xfId="5652" xr:uid="{E6B811A4-F56A-47DE-ACBE-EBA01AEC8B02}"/>
    <cellStyle name="Normal 2 10 3 9" xfId="5653" xr:uid="{4502D454-FFA2-4406-8E8C-80EA6A317624}"/>
    <cellStyle name="Normal 2 10 30" xfId="5654" xr:uid="{701A65C6-82C4-40FA-B0A4-63F8C925D0BA}"/>
    <cellStyle name="Normal 2 10 31" xfId="5655" xr:uid="{D663E96D-333C-4C30-BED6-3C5D0942E9E5}"/>
    <cellStyle name="Normal 2 10 32" xfId="5656" xr:uid="{FC5F57B0-E00F-4B3D-A096-67BB6E4C2B28}"/>
    <cellStyle name="Normal 2 10 33" xfId="5657" xr:uid="{6FEB7D1E-0B6F-488D-83C8-B2602FF5B775}"/>
    <cellStyle name="Normal 2 10 34" xfId="5658" xr:uid="{D1B238F2-839C-46F6-8F18-1C8987C43B5D}"/>
    <cellStyle name="Normal 2 10 35" xfId="5659" xr:uid="{F26D4DD9-C830-4121-8905-9E369C4D8000}"/>
    <cellStyle name="Normal 2 10 36" xfId="5660" xr:uid="{9A1A6BBB-6DD7-497F-B2CE-E31CB3056F41}"/>
    <cellStyle name="Normal 2 10 37" xfId="5661" xr:uid="{79F7E926-4640-4127-8C64-9CB9C9EB1FAC}"/>
    <cellStyle name="Normal 2 10 38" xfId="5662" xr:uid="{16B6E0C7-C7EB-48E7-BD72-4FC589C67477}"/>
    <cellStyle name="Normal 2 10 39" xfId="5663" xr:uid="{78E3071E-5241-4FB4-9A47-00172353A4F2}"/>
    <cellStyle name="Normal 2 10 4" xfId="5664" xr:uid="{804FE715-97F2-4B7B-B13A-761AA0EE7512}"/>
    <cellStyle name="Normal 2 10 40" xfId="5665" xr:uid="{C503BC4F-C433-41FC-9537-1D5E7B843EF9}"/>
    <cellStyle name="Normal 2 10 5" xfId="5666" xr:uid="{C36D45FF-6031-46AA-820B-01E25B867520}"/>
    <cellStyle name="Normal 2 10 6" xfId="5667" xr:uid="{A022724A-3DBB-4271-AC05-439B519F1290}"/>
    <cellStyle name="Normal 2 10 7" xfId="5668" xr:uid="{A0588E34-A341-4B86-B6BA-4059E1F1E504}"/>
    <cellStyle name="Normal 2 10 8" xfId="5669" xr:uid="{26D7CE92-3E8E-4761-A1DA-DCD23B6F30DE}"/>
    <cellStyle name="Normal 2 10 9" xfId="5670" xr:uid="{9F4C2BC3-019C-4426-9E92-87959EF9580B}"/>
    <cellStyle name="Normal 2 11" xfId="5671" xr:uid="{7BD4F327-6EB9-4834-B14C-9135593007DE}"/>
    <cellStyle name="Normal 2 11 10" xfId="5672" xr:uid="{395C70A9-B8FD-4E42-B39D-55FE01839EBB}"/>
    <cellStyle name="Normal 2 11 11" xfId="5673" xr:uid="{C873431C-FF91-49DE-9264-921B6327E84A}"/>
    <cellStyle name="Normal 2 11 12" xfId="5674" xr:uid="{2D2A970B-B656-4CC8-A238-549E9F49C32A}"/>
    <cellStyle name="Normal 2 11 13" xfId="5675" xr:uid="{5A3518DD-C984-46FF-BC65-FDE321EF6038}"/>
    <cellStyle name="Normal 2 11 14" xfId="5676" xr:uid="{348B5BE5-F7A4-4583-89B1-1F3A986F1AEC}"/>
    <cellStyle name="Normal 2 11 15" xfId="5677" xr:uid="{10921881-C1A1-447A-943F-C4446B37A988}"/>
    <cellStyle name="Normal 2 11 16" xfId="5678" xr:uid="{D327CF18-1C0F-41A1-9063-B85ABB65CA6D}"/>
    <cellStyle name="Normal 2 11 17" xfId="5679" xr:uid="{C6A3B63D-C632-48F9-857C-1BDA13C2361E}"/>
    <cellStyle name="Normal 2 11 18" xfId="5680" xr:uid="{4882842D-310F-4341-8F64-941E3F5E2C7A}"/>
    <cellStyle name="Normal 2 11 19" xfId="5681" xr:uid="{67A2124C-6C1B-4148-BAD9-8C230ADD2ACD}"/>
    <cellStyle name="Normal 2 11 2" xfId="5682" xr:uid="{0E0CBDB4-EEFF-4B5D-BEB9-DBEFC3E616B3}"/>
    <cellStyle name="Normal 2 11 2 10" xfId="5683" xr:uid="{19E823FD-B81A-4072-A406-83D01937E960}"/>
    <cellStyle name="Normal 2 11 2 11" xfId="5684" xr:uid="{A173640F-2B1F-40D6-AFBA-942016410F27}"/>
    <cellStyle name="Normal 2 11 2 12" xfId="5685" xr:uid="{05A113EB-93CB-4630-803D-852F0167FDE6}"/>
    <cellStyle name="Normal 2 11 2 13" xfId="5686" xr:uid="{1D103106-5393-4E07-A15D-57FACA3AE09A}"/>
    <cellStyle name="Normal 2 11 2 14" xfId="5687" xr:uid="{378DDDC0-6BBD-40E5-BA64-AD8F755BCAE7}"/>
    <cellStyle name="Normal 2 11 2 15" xfId="5688" xr:uid="{DC535384-2020-41EB-85D4-B48FB1DF3913}"/>
    <cellStyle name="Normal 2 11 2 16" xfId="5689" xr:uid="{BFB7176B-E29C-477F-B6C1-863BB783162A}"/>
    <cellStyle name="Normal 2 11 2 17" xfId="5690" xr:uid="{B36B0330-B49A-4D78-8963-4C2770F74ED3}"/>
    <cellStyle name="Normal 2 11 2 18" xfId="5691" xr:uid="{941087DF-24A6-4F33-A003-94E516BB6098}"/>
    <cellStyle name="Normal 2 11 2 19" xfId="5692" xr:uid="{F07FB640-FE99-4E98-B29B-BB5CE1DED96C}"/>
    <cellStyle name="Normal 2 11 2 2" xfId="5693" xr:uid="{D8099F75-EC91-4615-BD34-4D49563243D0}"/>
    <cellStyle name="Normal 2 11 2 2 10" xfId="5694" xr:uid="{086EF71C-DB9B-449C-9760-F5FCE317B9B6}"/>
    <cellStyle name="Normal 2 11 2 2 11" xfId="5695" xr:uid="{CFD439D6-E7CD-4330-9058-835C3BCA829D}"/>
    <cellStyle name="Normal 2 11 2 2 12" xfId="5696" xr:uid="{2ACE5822-D819-4134-A8F3-57F5B7735B49}"/>
    <cellStyle name="Normal 2 11 2 2 13" xfId="5697" xr:uid="{BB3D77DA-44DA-4F56-8863-F46816FB5FC3}"/>
    <cellStyle name="Normal 2 11 2 2 14" xfId="5698" xr:uid="{66AE0ADD-F6E1-4039-BFFC-0BF4FE87AEBA}"/>
    <cellStyle name="Normal 2 11 2 2 15" xfId="5699" xr:uid="{05E827A7-566B-4AB5-9036-27C0A3BC3BD2}"/>
    <cellStyle name="Normal 2 11 2 2 16" xfId="5700" xr:uid="{0D08375D-F3D7-4032-AE8A-2F232BB6DC0D}"/>
    <cellStyle name="Normal 2 11 2 2 17" xfId="5701" xr:uid="{B7E41AAE-3927-429C-8584-8497AE84B3D2}"/>
    <cellStyle name="Normal 2 11 2 2 18" xfId="5702" xr:uid="{821FD5C6-0F29-4DAD-87B9-94C23EA4CC93}"/>
    <cellStyle name="Normal 2 11 2 2 19" xfId="5703" xr:uid="{DA12BA7F-D785-4F8B-BF31-3D24EEF18305}"/>
    <cellStyle name="Normal 2 11 2 2 2" xfId="5704" xr:uid="{E869488A-19AA-47F6-BE8F-1F0C386225EE}"/>
    <cellStyle name="Normal 2 11 2 2 2 10" xfId="5705" xr:uid="{640654E0-BBF4-4E2C-909E-CF8253BB6390}"/>
    <cellStyle name="Normal 2 11 2 2 2 11" xfId="5706" xr:uid="{C86E503F-817F-4932-881B-731747BB6B8C}"/>
    <cellStyle name="Normal 2 11 2 2 2 12" xfId="5707" xr:uid="{A3E05771-1A41-4E7A-BBE3-BD582EECD220}"/>
    <cellStyle name="Normal 2 11 2 2 2 13" xfId="5708" xr:uid="{DEC577DA-4F49-487E-B78B-31B6D2CD7E59}"/>
    <cellStyle name="Normal 2 11 2 2 2 14" xfId="5709" xr:uid="{A85497B5-A0AE-4D41-B7F4-34A473148E0B}"/>
    <cellStyle name="Normal 2 11 2 2 2 15" xfId="5710" xr:uid="{822A4AB9-DF1D-4B2B-AB4B-F0A48AEE6DE1}"/>
    <cellStyle name="Normal 2 11 2 2 2 16" xfId="5711" xr:uid="{3C78C6B1-58B7-4500-B5E0-2C3882D33459}"/>
    <cellStyle name="Normal 2 11 2 2 2 17" xfId="5712" xr:uid="{0C58A8EC-5F2A-46AF-953F-06F19B552A28}"/>
    <cellStyle name="Normal 2 11 2 2 2 18" xfId="5713" xr:uid="{A90B4BE0-2530-413D-B51A-8387356A606B}"/>
    <cellStyle name="Normal 2 11 2 2 2 19" xfId="5714" xr:uid="{F7B89BBB-CC32-4A1B-AC22-B5614A7022EC}"/>
    <cellStyle name="Normal 2 11 2 2 2 2" xfId="5715" xr:uid="{70F3204D-980B-475D-B514-A1B05AF6F8A3}"/>
    <cellStyle name="Normal 2 11 2 2 2 20" xfId="5716" xr:uid="{AFA2FA44-C9D0-4869-B2C0-2B76B390F779}"/>
    <cellStyle name="Normal 2 11 2 2 2 21" xfId="5717" xr:uid="{90EEE7D6-34D4-4DB9-843E-B582B65A8E54}"/>
    <cellStyle name="Normal 2 11 2 2 2 22" xfId="5718" xr:uid="{2EB74F41-484C-4549-B384-855F92E34EBA}"/>
    <cellStyle name="Normal 2 11 2 2 2 23" xfId="5719" xr:uid="{2E52752C-5DDC-4213-960C-CDC1F1D162F8}"/>
    <cellStyle name="Normal 2 11 2 2 2 24" xfId="5720" xr:uid="{5F747CEB-6A3D-4E8E-97EC-9FDB97E1C68A}"/>
    <cellStyle name="Normal 2 11 2 2 2 25" xfId="5721" xr:uid="{AFD0E5FE-9F15-416C-8BBC-F22493913651}"/>
    <cellStyle name="Normal 2 11 2 2 2 26" xfId="5722" xr:uid="{4BF4CD5B-770C-4AC1-B604-A9360D6E4D2A}"/>
    <cellStyle name="Normal 2 11 2 2 2 27" xfId="5723" xr:uid="{413E3E77-C2E5-49A6-A8A9-5F9C6D545BE9}"/>
    <cellStyle name="Normal 2 11 2 2 2 28" xfId="5724" xr:uid="{33462254-735B-46FB-B18A-5C525B3AAEF0}"/>
    <cellStyle name="Normal 2 11 2 2 2 29" xfId="5725" xr:uid="{8899E71D-B9B7-4276-9D7B-27CDFA1F5F54}"/>
    <cellStyle name="Normal 2 11 2 2 2 3" xfId="5726" xr:uid="{AB10E932-E475-4F5D-A760-D6E809F0261D}"/>
    <cellStyle name="Normal 2 11 2 2 2 30" xfId="5727" xr:uid="{861A0A99-2724-4586-A422-9350FEDC8601}"/>
    <cellStyle name="Normal 2 11 2 2 2 31" xfId="5728" xr:uid="{F1A95D6E-9BF8-49C4-BB88-989348F2EE60}"/>
    <cellStyle name="Normal 2 11 2 2 2 32" xfId="5729" xr:uid="{49BAC732-343C-4CD0-9B4D-39DE300BDB32}"/>
    <cellStyle name="Normal 2 11 2 2 2 33" xfId="5730" xr:uid="{66ECDD84-B596-4B16-9870-7EE17346A87D}"/>
    <cellStyle name="Normal 2 11 2 2 2 34" xfId="5731" xr:uid="{B992417F-F5B9-4D04-BAFF-E75CEE70E01A}"/>
    <cellStyle name="Normal 2 11 2 2 2 35" xfId="5732" xr:uid="{6CDBCA92-E9EA-4A66-985F-16D5CE924877}"/>
    <cellStyle name="Normal 2 11 2 2 2 36" xfId="5733" xr:uid="{3DB6FE63-1A43-411E-ACAA-5883E3A0C56E}"/>
    <cellStyle name="Normal 2 11 2 2 2 37" xfId="5734" xr:uid="{B5C3427F-85DD-446F-AF01-C5F7FCA0290F}"/>
    <cellStyle name="Normal 2 11 2 2 2 38" xfId="5735" xr:uid="{208AA51D-F150-4B12-AF24-835ADD04CF5A}"/>
    <cellStyle name="Normal 2 11 2 2 2 4" xfId="5736" xr:uid="{584F974F-0609-4733-8717-C3E71EF47EC3}"/>
    <cellStyle name="Normal 2 11 2 2 2 5" xfId="5737" xr:uid="{84BBEFC7-D29E-4612-B801-732DF0A8A22D}"/>
    <cellStyle name="Normal 2 11 2 2 2 6" xfId="5738" xr:uid="{810887FD-C934-4090-9875-1BBD9488FB5A}"/>
    <cellStyle name="Normal 2 11 2 2 2 7" xfId="5739" xr:uid="{021DCD63-D51D-46A6-A0A3-B2F1B7ACEBCD}"/>
    <cellStyle name="Normal 2 11 2 2 2 8" xfId="5740" xr:uid="{9C9DBD74-5BD5-490F-B26D-5B8503914925}"/>
    <cellStyle name="Normal 2 11 2 2 2 9" xfId="5741" xr:uid="{D528DA33-2C72-4C05-A7C0-D88664777D42}"/>
    <cellStyle name="Normal 2 11 2 2 20" xfId="5742" xr:uid="{A50F37DC-2609-4077-877F-F20C210EAD03}"/>
    <cellStyle name="Normal 2 11 2 2 21" xfId="5743" xr:uid="{9A15DF48-D7C5-4D70-B191-7EB5B4BD0F56}"/>
    <cellStyle name="Normal 2 11 2 2 22" xfId="5744" xr:uid="{9B689E61-1EC1-45F7-8D90-CD4B16BF55B4}"/>
    <cellStyle name="Normal 2 11 2 2 23" xfId="5745" xr:uid="{AC44F82B-6D0A-47F6-9E4B-45C2C25DE288}"/>
    <cellStyle name="Normal 2 11 2 2 24" xfId="5746" xr:uid="{B5B40D2A-98BD-4BA2-8D66-37F69FA71ACF}"/>
    <cellStyle name="Normal 2 11 2 2 25" xfId="5747" xr:uid="{1ABF351A-418F-4BAC-9170-0B310EC952AA}"/>
    <cellStyle name="Normal 2 11 2 2 26" xfId="5748" xr:uid="{DA7CDA4B-693F-498F-8352-BB01381C9142}"/>
    <cellStyle name="Normal 2 11 2 2 27" xfId="5749" xr:uid="{757CE684-9904-42AD-95A9-EA5223702A82}"/>
    <cellStyle name="Normal 2 11 2 2 28" xfId="5750" xr:uid="{D8E8DC91-DC2C-464B-A74C-8358ECA4667C}"/>
    <cellStyle name="Normal 2 11 2 2 29" xfId="5751" xr:uid="{78329B95-AA0C-4DE6-8BEF-6A512F0898EF}"/>
    <cellStyle name="Normal 2 11 2 2 3" xfId="5752" xr:uid="{32F4A430-2E0B-4C53-8286-E78F77D5EA3D}"/>
    <cellStyle name="Normal 2 11 2 2 30" xfId="5753" xr:uid="{6A799678-90CC-4708-9D30-4C39FEA957C9}"/>
    <cellStyle name="Normal 2 11 2 2 31" xfId="5754" xr:uid="{10621F20-26E6-4D68-A887-8120689C3613}"/>
    <cellStyle name="Normal 2 11 2 2 32" xfId="5755" xr:uid="{E6A7835C-C948-4EA1-BC69-EF138C1BA445}"/>
    <cellStyle name="Normal 2 11 2 2 33" xfId="5756" xr:uid="{75BD6769-FF76-413C-8D13-03D44B158E0D}"/>
    <cellStyle name="Normal 2 11 2 2 34" xfId="5757" xr:uid="{54EB7429-15EB-47EE-9DB5-B1EACE391E2D}"/>
    <cellStyle name="Normal 2 11 2 2 35" xfId="5758" xr:uid="{AA5E1FB4-22C9-4C87-8E02-AFD139EC4006}"/>
    <cellStyle name="Normal 2 11 2 2 36" xfId="5759" xr:uid="{D02E49C9-52A6-472B-B43A-5793B98636A9}"/>
    <cellStyle name="Normal 2 11 2 2 37" xfId="5760" xr:uid="{BCEAF660-98E2-4565-A348-224B5F60C506}"/>
    <cellStyle name="Normal 2 11 2 2 38" xfId="5761" xr:uid="{4B85C620-59B4-4E2E-8480-4A08C3ED13C2}"/>
    <cellStyle name="Normal 2 11 2 2 4" xfId="5762" xr:uid="{C7FBDAEF-9BE9-467A-9FAC-D0984CE94E75}"/>
    <cellStyle name="Normal 2 11 2 2 5" xfId="5763" xr:uid="{086B8724-0384-4B1F-A8FC-251D12D03DC2}"/>
    <cellStyle name="Normal 2 11 2 2 6" xfId="5764" xr:uid="{0DBACB25-8431-4048-868D-83070D8229B8}"/>
    <cellStyle name="Normal 2 11 2 2 7" xfId="5765" xr:uid="{D04BD9D4-8FD9-4683-AEFF-39323DEF1327}"/>
    <cellStyle name="Normal 2 11 2 2 8" xfId="5766" xr:uid="{B7C1E1CA-EC5D-4306-A62B-2A054424F769}"/>
    <cellStyle name="Normal 2 11 2 2 9" xfId="5767" xr:uid="{09BC652D-FD3E-4D0B-9FA2-92FF51FD8B74}"/>
    <cellStyle name="Normal 2 11 2 20" xfId="5768" xr:uid="{43CF062F-AA7A-4A46-8DCB-527F6AFCB657}"/>
    <cellStyle name="Normal 2 11 2 21" xfId="5769" xr:uid="{7EA2CACF-D146-4C1B-A563-D2620359A851}"/>
    <cellStyle name="Normal 2 11 2 22" xfId="5770" xr:uid="{DED23D40-C892-47C0-AE46-B66337E35A65}"/>
    <cellStyle name="Normal 2 11 2 23" xfId="5771" xr:uid="{3AE5126A-D8E7-43FC-AF26-655CFF550AB7}"/>
    <cellStyle name="Normal 2 11 2 24" xfId="5772" xr:uid="{D529331D-14ED-44D0-8E05-00B762F7CB33}"/>
    <cellStyle name="Normal 2 11 2 25" xfId="5773" xr:uid="{AF6E1E09-E12F-42EA-B0C9-F3D6F4C91F0F}"/>
    <cellStyle name="Normal 2 11 2 26" xfId="5774" xr:uid="{2399088E-A01C-49C4-B901-AE952FD99BBA}"/>
    <cellStyle name="Normal 2 11 2 27" xfId="5775" xr:uid="{BE3B91AE-00D6-43B8-82A4-9C81C21FAB4C}"/>
    <cellStyle name="Normal 2 11 2 28" xfId="5776" xr:uid="{5C4835AA-0F5C-4946-92EF-A27A76B97970}"/>
    <cellStyle name="Normal 2 11 2 29" xfId="5777" xr:uid="{64699FD4-A85C-475C-8AE3-C162DC9F4C3C}"/>
    <cellStyle name="Normal 2 11 2 3" xfId="5778" xr:uid="{95C6FC1F-90EC-428F-B73C-7A3A404B627A}"/>
    <cellStyle name="Normal 2 11 2 30" xfId="5779" xr:uid="{B5699B98-682E-4F83-A418-714145561537}"/>
    <cellStyle name="Normal 2 11 2 31" xfId="5780" xr:uid="{AB3586C5-F530-46CB-A65E-3CDC818D3671}"/>
    <cellStyle name="Normal 2 11 2 32" xfId="5781" xr:uid="{41603D2C-A844-4A6B-B532-A9E6244471ED}"/>
    <cellStyle name="Normal 2 11 2 33" xfId="5782" xr:uid="{56892A99-4AFA-48F1-BC48-98C0603244D8}"/>
    <cellStyle name="Normal 2 11 2 34" xfId="5783" xr:uid="{52E4B7E0-B66F-47CC-8B09-C91E97EFA388}"/>
    <cellStyle name="Normal 2 11 2 35" xfId="5784" xr:uid="{E9ED8BF1-ED0E-4564-91CD-D34E3DC3197B}"/>
    <cellStyle name="Normal 2 11 2 36" xfId="5785" xr:uid="{C478F513-00E3-4BF2-9E74-70B031550410}"/>
    <cellStyle name="Normal 2 11 2 37" xfId="5786" xr:uid="{52E93C9D-2161-4907-A5AF-DD174CB320A5}"/>
    <cellStyle name="Normal 2 11 2 38" xfId="5787" xr:uid="{E3CD76CE-0BA2-4B11-B8ED-B6B947D9D1D0}"/>
    <cellStyle name="Normal 2 11 2 39" xfId="5788" xr:uid="{57D2EF41-62AC-4AF0-BE8A-889B803024F2}"/>
    <cellStyle name="Normal 2 11 2 4" xfId="5789" xr:uid="{1C5A09AA-CF5B-469F-8FA9-5D44E1881908}"/>
    <cellStyle name="Normal 2 11 2 40" xfId="5790" xr:uid="{D6F487B4-A971-46EA-A4F1-3E3E2E23B37E}"/>
    <cellStyle name="Normal 2 11 2 5" xfId="5791" xr:uid="{554015D7-071D-4704-9CFE-E1B8462E5930}"/>
    <cellStyle name="Normal 2 11 2 6" xfId="5792" xr:uid="{02313C7C-1C2A-4706-A4E4-89EE86BD3764}"/>
    <cellStyle name="Normal 2 11 2 7" xfId="5793" xr:uid="{00C9B05A-31AE-4445-BA02-F737A7881A74}"/>
    <cellStyle name="Normal 2 11 2 8" xfId="5794" xr:uid="{F97D3C4C-7FA4-424B-85B1-289648D754EF}"/>
    <cellStyle name="Normal 2 11 2 9" xfId="5795" xr:uid="{C7F0C831-AE68-4AC5-BC10-0A44F2AD5930}"/>
    <cellStyle name="Normal 2 11 20" xfId="5796" xr:uid="{071023BC-DC2E-4475-A038-C6B16A46D757}"/>
    <cellStyle name="Normal 2 11 21" xfId="5797" xr:uid="{1359139C-9400-44D2-A6D0-A3BAC9A117BC}"/>
    <cellStyle name="Normal 2 11 22" xfId="5798" xr:uid="{BCA40C61-1275-407C-91AB-5C64E5A7777A}"/>
    <cellStyle name="Normal 2 11 23" xfId="5799" xr:uid="{75EAD528-0382-42BF-B92C-BC87D0D4B2A9}"/>
    <cellStyle name="Normal 2 11 24" xfId="5800" xr:uid="{20DE7463-EC1A-443E-B3C3-09B2B5239F71}"/>
    <cellStyle name="Normal 2 11 25" xfId="5801" xr:uid="{D507C6E7-242B-469D-B869-B23C648D8D75}"/>
    <cellStyle name="Normal 2 11 26" xfId="5802" xr:uid="{625F1098-C84B-4984-A5D1-46CC34B944B1}"/>
    <cellStyle name="Normal 2 11 27" xfId="5803" xr:uid="{3D6F9B15-44AA-4DDA-B63E-9B0F644113CB}"/>
    <cellStyle name="Normal 2 11 28" xfId="5804" xr:uid="{EAD3290C-C985-4F4F-A545-044172E25A91}"/>
    <cellStyle name="Normal 2 11 29" xfId="5805" xr:uid="{E3CB22A6-ADC5-49DB-B593-06936E58FFDA}"/>
    <cellStyle name="Normal 2 11 3" xfId="5806" xr:uid="{799BA494-8BA5-458F-B61F-3FCF15BCFC6A}"/>
    <cellStyle name="Normal 2 11 3 10" xfId="5807" xr:uid="{3FD911CF-2241-4E1E-B490-F4BAA5575090}"/>
    <cellStyle name="Normal 2 11 3 11" xfId="5808" xr:uid="{10BF12A6-D573-461C-B893-B3ADB0EDFCE6}"/>
    <cellStyle name="Normal 2 11 3 12" xfId="5809" xr:uid="{D0D7D976-EB90-47DD-A56A-725FA1F1AC35}"/>
    <cellStyle name="Normal 2 11 3 13" xfId="5810" xr:uid="{9B74BB50-9076-4618-B28A-0847D89ED5BB}"/>
    <cellStyle name="Normal 2 11 3 14" xfId="5811" xr:uid="{B0E948F0-37F1-4846-9459-5EED0AE6BF0A}"/>
    <cellStyle name="Normal 2 11 3 15" xfId="5812" xr:uid="{0E2500BD-28FE-4A6D-AE78-AD60F255C643}"/>
    <cellStyle name="Normal 2 11 3 16" xfId="5813" xr:uid="{B8B25F68-77DF-4DF3-A1C7-539C70C0B469}"/>
    <cellStyle name="Normal 2 11 3 17" xfId="5814" xr:uid="{F2797BD7-3AF3-4ADE-B766-AC11D90A6E9E}"/>
    <cellStyle name="Normal 2 11 3 18" xfId="5815" xr:uid="{F6C5D481-9BBC-42CE-B414-9B45CD363511}"/>
    <cellStyle name="Normal 2 11 3 19" xfId="5816" xr:uid="{95540860-394F-4485-ABDB-6C405E82B062}"/>
    <cellStyle name="Normal 2 11 3 2" xfId="5817" xr:uid="{7C1B7D0A-96D7-4FAE-828A-CD8DA75A9AC5}"/>
    <cellStyle name="Normal 2 11 3 2 10" xfId="5818" xr:uid="{156543F2-3C75-4948-986E-51EEAA1EC9D5}"/>
    <cellStyle name="Normal 2 11 3 2 11" xfId="5819" xr:uid="{BB8EE330-913A-460F-863B-F9ADA5D726D7}"/>
    <cellStyle name="Normal 2 11 3 2 12" xfId="5820" xr:uid="{863CFE5C-0329-4412-AC79-4E06398925EB}"/>
    <cellStyle name="Normal 2 11 3 2 13" xfId="5821" xr:uid="{2725FCA5-0543-41BC-8118-C566BC0B88A4}"/>
    <cellStyle name="Normal 2 11 3 2 14" xfId="5822" xr:uid="{6C84BFE4-D863-492E-AFE1-741359E4D432}"/>
    <cellStyle name="Normal 2 11 3 2 15" xfId="5823" xr:uid="{CBE891B2-DEFB-4730-88AB-AD0EA5F6D638}"/>
    <cellStyle name="Normal 2 11 3 2 16" xfId="5824" xr:uid="{3DE9E888-84ED-40D3-A3FF-86ABD5D8F6F8}"/>
    <cellStyle name="Normal 2 11 3 2 17" xfId="5825" xr:uid="{9326A6DD-43EE-42D0-9121-84856221B31E}"/>
    <cellStyle name="Normal 2 11 3 2 18" xfId="5826" xr:uid="{AFD5EC77-5F68-4672-97B0-0A3FD5DCF9CD}"/>
    <cellStyle name="Normal 2 11 3 2 19" xfId="5827" xr:uid="{FB630C80-2994-442C-B361-CA26C7753892}"/>
    <cellStyle name="Normal 2 11 3 2 2" xfId="5828" xr:uid="{CCB9DA1F-B956-40C1-9933-13E42DD12ED2}"/>
    <cellStyle name="Normal 2 11 3 2 20" xfId="5829" xr:uid="{625FF9C0-5C56-4B97-9C31-A139A396347D}"/>
    <cellStyle name="Normal 2 11 3 2 21" xfId="5830" xr:uid="{3C0F4630-5813-4113-9D80-1DFA12CCC208}"/>
    <cellStyle name="Normal 2 11 3 2 22" xfId="5831" xr:uid="{F26C0A6C-1786-4307-AD8E-3DAD766CEB9D}"/>
    <cellStyle name="Normal 2 11 3 2 23" xfId="5832" xr:uid="{92F60F7C-7432-435D-BF46-9332E9B18B55}"/>
    <cellStyle name="Normal 2 11 3 2 24" xfId="5833" xr:uid="{205FC058-522D-47D9-B118-5136F0BD119E}"/>
    <cellStyle name="Normal 2 11 3 2 25" xfId="5834" xr:uid="{68F9CF49-E2D7-4827-BA0D-3D402969688A}"/>
    <cellStyle name="Normal 2 11 3 2 26" xfId="5835" xr:uid="{F5A743B0-77EF-4178-BA6C-946E4F3F66D5}"/>
    <cellStyle name="Normal 2 11 3 2 27" xfId="5836" xr:uid="{2BEDB910-8370-4D88-92C6-7ACD5507AE7C}"/>
    <cellStyle name="Normal 2 11 3 2 28" xfId="5837" xr:uid="{8B25D73D-89DC-43AC-96B3-6A0B8891FC09}"/>
    <cellStyle name="Normal 2 11 3 2 29" xfId="5838" xr:uid="{1BF2820F-11F6-4355-BEB1-BDC3FD211AD1}"/>
    <cellStyle name="Normal 2 11 3 2 3" xfId="5839" xr:uid="{9AC53708-A28D-44A6-A32F-408E1FB08192}"/>
    <cellStyle name="Normal 2 11 3 2 30" xfId="5840" xr:uid="{B96F6EF5-3330-47B5-85E2-A718DC6F6E68}"/>
    <cellStyle name="Normal 2 11 3 2 31" xfId="5841" xr:uid="{0AE322FC-3162-43FA-9748-3D3E7AAB18B5}"/>
    <cellStyle name="Normal 2 11 3 2 32" xfId="5842" xr:uid="{691ACCC5-55B2-4889-B55E-D9E80C40B8D2}"/>
    <cellStyle name="Normal 2 11 3 2 33" xfId="5843" xr:uid="{956FF845-96BA-4BA3-90B5-1FAC29283E10}"/>
    <cellStyle name="Normal 2 11 3 2 34" xfId="5844" xr:uid="{39BB0A56-63F2-450B-8DAD-1A60A245BCC4}"/>
    <cellStyle name="Normal 2 11 3 2 35" xfId="5845" xr:uid="{FAD13238-2A3E-432F-BBFC-F15A28C9B6A0}"/>
    <cellStyle name="Normal 2 11 3 2 36" xfId="5846" xr:uid="{14351A41-1DDD-4D91-8BFD-3B992092163A}"/>
    <cellStyle name="Normal 2 11 3 2 37" xfId="5847" xr:uid="{4F841A7B-4644-4515-88F1-C0018B71ECE3}"/>
    <cellStyle name="Normal 2 11 3 2 38" xfId="5848" xr:uid="{FBBC1C83-9EFC-44B0-8EFF-7583D6AA6A06}"/>
    <cellStyle name="Normal 2 11 3 2 4" xfId="5849" xr:uid="{85CF1F7E-0961-45CD-9B94-2B62840FDC6F}"/>
    <cellStyle name="Normal 2 11 3 2 5" xfId="5850" xr:uid="{805D8EA0-13B7-41C2-862C-28073C965ED6}"/>
    <cellStyle name="Normal 2 11 3 2 6" xfId="5851" xr:uid="{16ABAFBE-A5BF-4C7F-AABF-1D7D76D15459}"/>
    <cellStyle name="Normal 2 11 3 2 7" xfId="5852" xr:uid="{9C30D117-5FEB-4A73-A25D-1C6FFC2A6624}"/>
    <cellStyle name="Normal 2 11 3 2 8" xfId="5853" xr:uid="{B33562B9-473C-4B4F-86D6-2B6D93D5C752}"/>
    <cellStyle name="Normal 2 11 3 2 9" xfId="5854" xr:uid="{3E886F12-A9C0-46F1-8FCB-3BD0F55C7B11}"/>
    <cellStyle name="Normal 2 11 3 20" xfId="5855" xr:uid="{4137035C-47B3-42FE-B64F-13B40F4A1B09}"/>
    <cellStyle name="Normal 2 11 3 21" xfId="5856" xr:uid="{270F86BE-8A64-4B39-8DEB-91D2B6BA906A}"/>
    <cellStyle name="Normal 2 11 3 22" xfId="5857" xr:uid="{6B68CF14-BC8A-44AE-84FE-F6B5101E1165}"/>
    <cellStyle name="Normal 2 11 3 23" xfId="5858" xr:uid="{8CF968FE-67EE-4FD7-AF16-BF301703DF96}"/>
    <cellStyle name="Normal 2 11 3 24" xfId="5859" xr:uid="{DDE8996E-8189-433D-B88B-0DDC8970330C}"/>
    <cellStyle name="Normal 2 11 3 25" xfId="5860" xr:uid="{8A8E8700-585A-4854-B04C-4B4FB64FB8C3}"/>
    <cellStyle name="Normal 2 11 3 26" xfId="5861" xr:uid="{B1CBB7F5-557D-4ACB-9C18-D6A93E1B32D6}"/>
    <cellStyle name="Normal 2 11 3 27" xfId="5862" xr:uid="{1731F627-F12B-4765-929C-B39998A511F1}"/>
    <cellStyle name="Normal 2 11 3 28" xfId="5863" xr:uid="{C83CAB6D-B2EE-4075-8273-1FCA5E8A6FE9}"/>
    <cellStyle name="Normal 2 11 3 29" xfId="5864" xr:uid="{F6818E17-FF41-4A30-8CF6-1ADC29EA3FD0}"/>
    <cellStyle name="Normal 2 11 3 3" xfId="5865" xr:uid="{A7A60C26-C45B-413D-9003-AFDD9A77FCD7}"/>
    <cellStyle name="Normal 2 11 3 30" xfId="5866" xr:uid="{79098481-3A02-4A5C-97D0-CD492C02E681}"/>
    <cellStyle name="Normal 2 11 3 31" xfId="5867" xr:uid="{8A8ECA68-E852-4189-8E48-F956F53EE6D1}"/>
    <cellStyle name="Normal 2 11 3 32" xfId="5868" xr:uid="{B26A199E-7222-4E8D-A109-EA55274323AD}"/>
    <cellStyle name="Normal 2 11 3 33" xfId="5869" xr:uid="{C261D75A-5729-4236-B0F0-FEF6E5EF0B83}"/>
    <cellStyle name="Normal 2 11 3 34" xfId="5870" xr:uid="{D3B6E1DD-C9FE-410C-AD46-1A0F007E2AF9}"/>
    <cellStyle name="Normal 2 11 3 35" xfId="5871" xr:uid="{8AAD499F-85D7-46D9-836D-9A69F75EE2D0}"/>
    <cellStyle name="Normal 2 11 3 36" xfId="5872" xr:uid="{75C0863C-1E8A-472C-B12D-534371AE48F4}"/>
    <cellStyle name="Normal 2 11 3 37" xfId="5873" xr:uid="{6F541A01-0ED5-4B19-9486-0B5B5DD10C13}"/>
    <cellStyle name="Normal 2 11 3 38" xfId="5874" xr:uid="{BE71D25A-1453-46BD-B7AD-390B002B3F40}"/>
    <cellStyle name="Normal 2 11 3 4" xfId="5875" xr:uid="{3A0499B5-0279-4A74-81A8-C2EC386197C8}"/>
    <cellStyle name="Normal 2 11 3 5" xfId="5876" xr:uid="{424D4BC7-38A7-4510-83F3-9A4CF2D0E1C3}"/>
    <cellStyle name="Normal 2 11 3 6" xfId="5877" xr:uid="{C6A07421-1CE9-4C2E-9499-00A4A32AC6FE}"/>
    <cellStyle name="Normal 2 11 3 7" xfId="5878" xr:uid="{7AFDAE26-07AD-42EF-BE8A-CD4D0B69AE3C}"/>
    <cellStyle name="Normal 2 11 3 8" xfId="5879" xr:uid="{57F115C0-3C0D-46FB-99EE-A5B701C31A5E}"/>
    <cellStyle name="Normal 2 11 3 9" xfId="5880" xr:uid="{D3DB3894-C83D-46F8-B52A-E6D918B0CDA8}"/>
    <cellStyle name="Normal 2 11 30" xfId="5881" xr:uid="{FD06DA30-8D57-45EC-A4F1-996BD1CFB999}"/>
    <cellStyle name="Normal 2 11 31" xfId="5882" xr:uid="{07526F3B-742E-4F9F-835E-9F7729F1F295}"/>
    <cellStyle name="Normal 2 11 32" xfId="5883" xr:uid="{6860B7CC-31CF-42B9-89DF-089BA7CD13AA}"/>
    <cellStyle name="Normal 2 11 33" xfId="5884" xr:uid="{DABB54C0-1A32-4398-AE1E-40E7CBB518E6}"/>
    <cellStyle name="Normal 2 11 34" xfId="5885" xr:uid="{AB806D57-6AAB-480E-B8A8-ED5BFF916580}"/>
    <cellStyle name="Normal 2 11 35" xfId="5886" xr:uid="{BBF13460-9F4D-4A96-9170-A2CADC7660A1}"/>
    <cellStyle name="Normal 2 11 36" xfId="5887" xr:uid="{C28FC4BF-20EC-42FA-93B4-4D0D0648087F}"/>
    <cellStyle name="Normal 2 11 37" xfId="5888" xr:uid="{90A306A9-AA80-4256-9D9A-28D6441E4D77}"/>
    <cellStyle name="Normal 2 11 38" xfId="5889" xr:uid="{EEC51E39-9927-4823-B595-33AE250836B0}"/>
    <cellStyle name="Normal 2 11 39" xfId="5890" xr:uid="{4838B824-7653-46EE-BBF4-DB93C0E425BB}"/>
    <cellStyle name="Normal 2 11 4" xfId="5891" xr:uid="{AD05B246-24F5-4A18-974B-FE054C31043B}"/>
    <cellStyle name="Normal 2 11 40" xfId="5892" xr:uid="{A60D1148-683A-46EE-BD3B-51B2BFB4867E}"/>
    <cellStyle name="Normal 2 11 5" xfId="5893" xr:uid="{1EAF1238-4FED-4E4F-A65E-A07220501179}"/>
    <cellStyle name="Normal 2 11 6" xfId="5894" xr:uid="{105351C2-CD3C-4A25-87D0-09D1734F49A4}"/>
    <cellStyle name="Normal 2 11 7" xfId="5895" xr:uid="{FE5A55F5-40F1-456D-8BAE-4FC60DEF22B4}"/>
    <cellStyle name="Normal 2 11 8" xfId="5896" xr:uid="{B434044C-D999-45A8-A135-D90BBC6285BA}"/>
    <cellStyle name="Normal 2 11 9" xfId="5897" xr:uid="{B769C8C2-A193-45FA-905B-08FE4D2E72D8}"/>
    <cellStyle name="Normal 2 12" xfId="5898" xr:uid="{AC0120AA-23EA-4879-95CC-AE32CAB8190A}"/>
    <cellStyle name="Normal 2 12 10" xfId="5899" xr:uid="{7D321319-0B0B-4A72-B432-0CFC3601D666}"/>
    <cellStyle name="Normal 2 12 11" xfId="5900" xr:uid="{530B6A01-379C-4089-B513-30E1AABD8A7E}"/>
    <cellStyle name="Normal 2 12 12" xfId="5901" xr:uid="{D14B9DCE-B926-451C-8578-2BEA1D7051EF}"/>
    <cellStyle name="Normal 2 12 13" xfId="5902" xr:uid="{37E12694-AAE3-4D8F-9E72-F4390AD5F16B}"/>
    <cellStyle name="Normal 2 12 14" xfId="5903" xr:uid="{E219F46B-6AB9-40A2-9BE3-7A0A75AE5871}"/>
    <cellStyle name="Normal 2 12 15" xfId="5904" xr:uid="{53A61245-C1D9-46B9-A59E-8249139EA419}"/>
    <cellStyle name="Normal 2 12 16" xfId="5905" xr:uid="{C31EDECD-4750-4328-95E9-C425C0041E78}"/>
    <cellStyle name="Normal 2 12 17" xfId="5906" xr:uid="{4D1B5DCA-7811-420F-B7C6-0A7C0833DD48}"/>
    <cellStyle name="Normal 2 12 18" xfId="5907" xr:uid="{41BCA687-BFE4-4311-83EB-942357E2B3F9}"/>
    <cellStyle name="Normal 2 12 19" xfId="5908" xr:uid="{DE113403-3746-4F73-ABED-3C056190A23C}"/>
    <cellStyle name="Normal 2 12 2" xfId="5909" xr:uid="{DF7B134C-0C98-402A-A813-8580BA833157}"/>
    <cellStyle name="Normal 2 12 2 10" xfId="5910" xr:uid="{F282DCC4-0D37-4D52-A97B-13A75CFC664D}"/>
    <cellStyle name="Normal 2 12 2 11" xfId="5911" xr:uid="{0AEBEC48-5E6E-48C4-B7C0-9E3255050640}"/>
    <cellStyle name="Normal 2 12 2 12" xfId="5912" xr:uid="{FCDF45B8-78B1-4153-87A4-31B4649991F1}"/>
    <cellStyle name="Normal 2 12 2 13" xfId="5913" xr:uid="{A60040D4-9FF7-41A1-A117-98546E8E4E7E}"/>
    <cellStyle name="Normal 2 12 2 14" xfId="5914" xr:uid="{15E6C9A3-292C-4B0F-BAB0-E79AB4EFE505}"/>
    <cellStyle name="Normal 2 12 2 15" xfId="5915" xr:uid="{3F7EF857-9A29-4E46-8E23-F31CCC09D76C}"/>
    <cellStyle name="Normal 2 12 2 16" xfId="5916" xr:uid="{AFDCEC4E-2F11-430D-948C-167F6208C3AE}"/>
    <cellStyle name="Normal 2 12 2 17" xfId="5917" xr:uid="{F1590F40-995D-4D4E-8BCD-89D065E5F100}"/>
    <cellStyle name="Normal 2 12 2 18" xfId="5918" xr:uid="{F1867E81-9470-422F-A976-56D49A6D52EA}"/>
    <cellStyle name="Normal 2 12 2 19" xfId="5919" xr:uid="{C54C688A-EDF3-4BF1-887D-FB99FDAC2C0C}"/>
    <cellStyle name="Normal 2 12 2 2" xfId="5920" xr:uid="{A6823981-E054-4EBB-9906-AE4749BD262B}"/>
    <cellStyle name="Normal 2 12 2 2 10" xfId="5921" xr:uid="{EF44356B-C59E-46F0-B74C-9E63C6FACAAC}"/>
    <cellStyle name="Normal 2 12 2 2 11" xfId="5922" xr:uid="{7159A5D6-29D1-408E-9CF5-74AB00488EDB}"/>
    <cellStyle name="Normal 2 12 2 2 12" xfId="5923" xr:uid="{098A55B3-D844-4612-B7C7-8C43C36B5E99}"/>
    <cellStyle name="Normal 2 12 2 2 13" xfId="5924" xr:uid="{2A66EFA7-25B5-4961-8654-78C577EAE594}"/>
    <cellStyle name="Normal 2 12 2 2 14" xfId="5925" xr:uid="{666B07F3-DC00-4325-B82C-18F83E24AF68}"/>
    <cellStyle name="Normal 2 12 2 2 15" xfId="5926" xr:uid="{6EAB359F-A6A6-441C-80C3-5EF8D17A1349}"/>
    <cellStyle name="Normal 2 12 2 2 16" xfId="5927" xr:uid="{9EEE4A24-FE36-43FD-A86A-E07D5940C490}"/>
    <cellStyle name="Normal 2 12 2 2 17" xfId="5928" xr:uid="{6D1049EF-7D68-48C2-9727-B1E234AAD3EB}"/>
    <cellStyle name="Normal 2 12 2 2 18" xfId="5929" xr:uid="{37BC2588-2613-497B-BA99-69CD09CF203B}"/>
    <cellStyle name="Normal 2 12 2 2 19" xfId="5930" xr:uid="{DFEC7C50-937E-4E89-B2FA-120A4DB858C0}"/>
    <cellStyle name="Normal 2 12 2 2 2" xfId="5931" xr:uid="{4A5D189F-1596-44B2-B4CB-1D9CE18018CB}"/>
    <cellStyle name="Normal 2 12 2 2 2 10" xfId="5932" xr:uid="{D78BFE0D-FDB0-4551-9D3C-01ACD347E7AA}"/>
    <cellStyle name="Normal 2 12 2 2 2 11" xfId="5933" xr:uid="{13FE00D1-6DFE-408C-BDF1-16542CA147DE}"/>
    <cellStyle name="Normal 2 12 2 2 2 12" xfId="5934" xr:uid="{57984021-9B8D-4447-AB3C-3B7A9E626CAC}"/>
    <cellStyle name="Normal 2 12 2 2 2 13" xfId="5935" xr:uid="{9E4178C8-70C5-4493-A91C-CA6C49FCAA5E}"/>
    <cellStyle name="Normal 2 12 2 2 2 14" xfId="5936" xr:uid="{13A9C590-F7EE-46F6-B84C-AA310FF3B7AA}"/>
    <cellStyle name="Normal 2 12 2 2 2 15" xfId="5937" xr:uid="{4A3E8FA1-6826-408F-BC43-709BFB0B232A}"/>
    <cellStyle name="Normal 2 12 2 2 2 16" xfId="5938" xr:uid="{32C029C2-8807-4353-8A11-AE4099A8ADBB}"/>
    <cellStyle name="Normal 2 12 2 2 2 17" xfId="5939" xr:uid="{BC36B034-6F8A-4DC7-A71B-2B383973492A}"/>
    <cellStyle name="Normal 2 12 2 2 2 18" xfId="5940" xr:uid="{B7B35AB5-285E-41EC-B779-8D14A056B5F0}"/>
    <cellStyle name="Normal 2 12 2 2 2 19" xfId="5941" xr:uid="{5B8A9575-8150-4DD2-B23D-322C2F2C172D}"/>
    <cellStyle name="Normal 2 12 2 2 2 2" xfId="5942" xr:uid="{4A423A44-171A-455D-AD68-9FD72329316A}"/>
    <cellStyle name="Normal 2 12 2 2 2 20" xfId="5943" xr:uid="{3B1999F2-2A4C-4D1B-A60D-50EA58DB4B21}"/>
    <cellStyle name="Normal 2 12 2 2 2 21" xfId="5944" xr:uid="{BD989EAF-2E7D-40F0-A2B0-8E0DDD01D34E}"/>
    <cellStyle name="Normal 2 12 2 2 2 22" xfId="5945" xr:uid="{79524101-68CD-483F-A0D6-CBC8609DD9C7}"/>
    <cellStyle name="Normal 2 12 2 2 2 23" xfId="5946" xr:uid="{60A98D7A-021A-49DA-A7E3-92282B1F8BEE}"/>
    <cellStyle name="Normal 2 12 2 2 2 24" xfId="5947" xr:uid="{52611D5F-71AA-4BDA-B982-491EEF0B0650}"/>
    <cellStyle name="Normal 2 12 2 2 2 25" xfId="5948" xr:uid="{0C7F31AE-DDC1-4155-9F4C-AE0B9FFD7588}"/>
    <cellStyle name="Normal 2 12 2 2 2 26" xfId="5949" xr:uid="{C386F01B-0A18-4807-BE99-6CA6DD4A8A7E}"/>
    <cellStyle name="Normal 2 12 2 2 2 27" xfId="5950" xr:uid="{DFD974D1-A62C-46B4-8F43-7E5580C01D11}"/>
    <cellStyle name="Normal 2 12 2 2 2 28" xfId="5951" xr:uid="{ECA441FC-F404-4FAE-AC12-27A9DCEBAD9C}"/>
    <cellStyle name="Normal 2 12 2 2 2 29" xfId="5952" xr:uid="{1F7A8493-D29C-4212-BCCF-4C42093DA57C}"/>
    <cellStyle name="Normal 2 12 2 2 2 3" xfId="5953" xr:uid="{E9AFB898-56BB-4142-B146-8CA2EAF604A1}"/>
    <cellStyle name="Normal 2 12 2 2 2 30" xfId="5954" xr:uid="{EDEC983C-F39C-4964-84BF-9960ED6041EC}"/>
    <cellStyle name="Normal 2 12 2 2 2 31" xfId="5955" xr:uid="{AEFCEFE5-5B37-458B-B4CD-FB480281FE3B}"/>
    <cellStyle name="Normal 2 12 2 2 2 32" xfId="5956" xr:uid="{C4BC74C6-407D-4A54-9D74-C92DDF821E39}"/>
    <cellStyle name="Normal 2 12 2 2 2 33" xfId="5957" xr:uid="{B26308D5-4606-475C-A08D-EAAC2A57ED96}"/>
    <cellStyle name="Normal 2 12 2 2 2 34" xfId="5958" xr:uid="{D07BD043-AA43-4735-BCB1-8CD476B81B8A}"/>
    <cellStyle name="Normal 2 12 2 2 2 35" xfId="5959" xr:uid="{76F3CB38-2AE0-4A3A-A9BC-773684BBB9C0}"/>
    <cellStyle name="Normal 2 12 2 2 2 36" xfId="5960" xr:uid="{97ADBE5E-54D4-4FA6-89F3-5E6819374034}"/>
    <cellStyle name="Normal 2 12 2 2 2 37" xfId="5961" xr:uid="{DADE0E36-9BF5-4CE6-A3A4-35493F704D53}"/>
    <cellStyle name="Normal 2 12 2 2 2 38" xfId="5962" xr:uid="{F4D4FFA7-2CCC-4653-B15A-0D6485B658AB}"/>
    <cellStyle name="Normal 2 12 2 2 2 4" xfId="5963" xr:uid="{5323633F-2FF4-4BEF-BE49-F77EE4E2212E}"/>
    <cellStyle name="Normal 2 12 2 2 2 5" xfId="5964" xr:uid="{EADCF683-3A37-45DE-B072-C23120D3AD61}"/>
    <cellStyle name="Normal 2 12 2 2 2 6" xfId="5965" xr:uid="{25FE0710-C66B-4E1E-B767-AD3A05E901CB}"/>
    <cellStyle name="Normal 2 12 2 2 2 7" xfId="5966" xr:uid="{F94B6B93-5820-4473-918B-907838835168}"/>
    <cellStyle name="Normal 2 12 2 2 2 8" xfId="5967" xr:uid="{F19FF263-219D-4A96-98E9-7756379C1EDE}"/>
    <cellStyle name="Normal 2 12 2 2 2 9" xfId="5968" xr:uid="{B5D943B2-5604-4C34-9BC7-47FCB8165948}"/>
    <cellStyle name="Normal 2 12 2 2 20" xfId="5969" xr:uid="{CF90ECCF-1A62-46C2-910A-DA85E1D69177}"/>
    <cellStyle name="Normal 2 12 2 2 21" xfId="5970" xr:uid="{993A73C0-8448-489E-BE0B-B3199F546B81}"/>
    <cellStyle name="Normal 2 12 2 2 22" xfId="5971" xr:uid="{7E8665FD-BE9E-49CE-ADF6-744ADB66571F}"/>
    <cellStyle name="Normal 2 12 2 2 23" xfId="5972" xr:uid="{5D3CE76C-A384-4404-BBCB-2FB5F65B26CB}"/>
    <cellStyle name="Normal 2 12 2 2 24" xfId="5973" xr:uid="{D5565AF2-68AC-4217-9578-9A1D0BECDBC9}"/>
    <cellStyle name="Normal 2 12 2 2 25" xfId="5974" xr:uid="{B4EC63EB-EFAA-481C-B047-6D5FD413410E}"/>
    <cellStyle name="Normal 2 12 2 2 26" xfId="5975" xr:uid="{1478C154-6D7A-4541-B12D-D6117AFACEE5}"/>
    <cellStyle name="Normal 2 12 2 2 27" xfId="5976" xr:uid="{9D3E79C4-6C5B-41EB-8F4C-EEA268ACB55D}"/>
    <cellStyle name="Normal 2 12 2 2 28" xfId="5977" xr:uid="{DC708395-595B-4A42-979D-3625F2CFAA8F}"/>
    <cellStyle name="Normal 2 12 2 2 29" xfId="5978" xr:uid="{C26CB89A-4C7E-4EFB-8DAE-7FC0D9C2A620}"/>
    <cellStyle name="Normal 2 12 2 2 3" xfId="5979" xr:uid="{2A8AF197-9EAA-4D76-9644-15556A5A966D}"/>
    <cellStyle name="Normal 2 12 2 2 30" xfId="5980" xr:uid="{F9215D7F-8ED4-4FEF-82DA-63031365C93E}"/>
    <cellStyle name="Normal 2 12 2 2 31" xfId="5981" xr:uid="{E2DFD5A2-F8B7-4A19-8479-6A02ECDBA77F}"/>
    <cellStyle name="Normal 2 12 2 2 32" xfId="5982" xr:uid="{E5698AA8-EAD3-4ABD-8710-5488FB22FECC}"/>
    <cellStyle name="Normal 2 12 2 2 33" xfId="5983" xr:uid="{91A5EA7B-2EEF-4F53-9020-0884E03E1A79}"/>
    <cellStyle name="Normal 2 12 2 2 34" xfId="5984" xr:uid="{6ABF66B6-91E8-43C4-9595-B4D8BED3CB23}"/>
    <cellStyle name="Normal 2 12 2 2 35" xfId="5985" xr:uid="{DF4CDA91-0C7C-4C79-B817-BFF40C51CD02}"/>
    <cellStyle name="Normal 2 12 2 2 36" xfId="5986" xr:uid="{E34AA0F1-6B1D-4118-90B6-9DB3192A0B48}"/>
    <cellStyle name="Normal 2 12 2 2 37" xfId="5987" xr:uid="{AF5A8302-0151-475D-8EAF-D47F8D279188}"/>
    <cellStyle name="Normal 2 12 2 2 38" xfId="5988" xr:uid="{CBFC3D6E-5E5F-4C10-8B7D-1D9125AD74A6}"/>
    <cellStyle name="Normal 2 12 2 2 4" xfId="5989" xr:uid="{2A3911A4-35D4-4BA1-8561-0A444ECAB0D6}"/>
    <cellStyle name="Normal 2 12 2 2 5" xfId="5990" xr:uid="{2924D38B-CADD-4312-B946-DB98A5704A40}"/>
    <cellStyle name="Normal 2 12 2 2 6" xfId="5991" xr:uid="{3D084AD2-2B67-4396-BDCF-F872A026E8F7}"/>
    <cellStyle name="Normal 2 12 2 2 7" xfId="5992" xr:uid="{212C5999-42D2-4A8C-942F-9D41395F2F32}"/>
    <cellStyle name="Normal 2 12 2 2 8" xfId="5993" xr:uid="{4218C64E-A197-4296-BD79-3C059A756CCB}"/>
    <cellStyle name="Normal 2 12 2 2 9" xfId="5994" xr:uid="{3BA203B6-E31E-475C-A234-12D6C2CD15C5}"/>
    <cellStyle name="Normal 2 12 2 20" xfId="5995" xr:uid="{6BA71B67-99B9-46C0-9CB1-ACE46FAF12F9}"/>
    <cellStyle name="Normal 2 12 2 21" xfId="5996" xr:uid="{F2FA946B-5B77-4ABF-9203-4C51BE0384C8}"/>
    <cellStyle name="Normal 2 12 2 22" xfId="5997" xr:uid="{9EBAE51D-AB77-41B8-8163-F99BFC604894}"/>
    <cellStyle name="Normal 2 12 2 23" xfId="5998" xr:uid="{2C617FD4-765C-4094-8C3B-C1F09277175B}"/>
    <cellStyle name="Normal 2 12 2 24" xfId="5999" xr:uid="{82D3A1A2-B09B-4979-8BB3-0530E5BC33B2}"/>
    <cellStyle name="Normal 2 12 2 25" xfId="6000" xr:uid="{C2C10C74-F4BA-411F-A4F2-1DB9653E9B0B}"/>
    <cellStyle name="Normal 2 12 2 26" xfId="6001" xr:uid="{109ADBB1-62E0-426A-A1D5-2F5BD6E65472}"/>
    <cellStyle name="Normal 2 12 2 27" xfId="6002" xr:uid="{5E512EBD-CCE2-4A9B-9E69-2FB6EC2C8FD6}"/>
    <cellStyle name="Normal 2 12 2 28" xfId="6003" xr:uid="{AAC8F7A7-7044-4518-B439-57DE7B4D0964}"/>
    <cellStyle name="Normal 2 12 2 29" xfId="6004" xr:uid="{46BB250D-81C3-4D07-A319-A93B211826A4}"/>
    <cellStyle name="Normal 2 12 2 3" xfId="6005" xr:uid="{D5F1C822-202D-46AF-8193-8CBCC0433883}"/>
    <cellStyle name="Normal 2 12 2 30" xfId="6006" xr:uid="{56255BBE-019A-4782-A617-0DAF920D31F0}"/>
    <cellStyle name="Normal 2 12 2 31" xfId="6007" xr:uid="{69FFEA24-9534-4857-B047-585F6EDE5E70}"/>
    <cellStyle name="Normal 2 12 2 32" xfId="6008" xr:uid="{8B0E60E4-7687-481C-8998-3BB8B0C77E2A}"/>
    <cellStyle name="Normal 2 12 2 33" xfId="6009" xr:uid="{3215B5CA-51A9-4696-8D99-6A13AF5585FE}"/>
    <cellStyle name="Normal 2 12 2 34" xfId="6010" xr:uid="{CBB94183-804F-48BA-A892-E1C565CE27A2}"/>
    <cellStyle name="Normal 2 12 2 35" xfId="6011" xr:uid="{EDD07985-1B6C-45D7-AA79-2B25C761EBE0}"/>
    <cellStyle name="Normal 2 12 2 36" xfId="6012" xr:uid="{12994036-03FD-4722-9746-835119C6B031}"/>
    <cellStyle name="Normal 2 12 2 37" xfId="6013" xr:uid="{39B527B6-E04A-4FDC-BEB8-F5812019E54D}"/>
    <cellStyle name="Normal 2 12 2 38" xfId="6014" xr:uid="{7CD53F64-E00D-40B9-8F6E-BCD76CE1A2DC}"/>
    <cellStyle name="Normal 2 12 2 39" xfId="6015" xr:uid="{201D8E84-B9E5-4384-9A4F-5A5D5D528C01}"/>
    <cellStyle name="Normal 2 12 2 4" xfId="6016" xr:uid="{C69DE39F-EA2F-4CEC-8728-39D8E189AB4D}"/>
    <cellStyle name="Normal 2 12 2 40" xfId="6017" xr:uid="{524CF919-9303-41FF-9C6A-2FF6A1757D7A}"/>
    <cellStyle name="Normal 2 12 2 5" xfId="6018" xr:uid="{8C9D45DD-CAA7-48F1-9893-14E093EFC59D}"/>
    <cellStyle name="Normal 2 12 2 6" xfId="6019" xr:uid="{F9A133B7-E2AD-4567-80F6-587EC2828C7E}"/>
    <cellStyle name="Normal 2 12 2 7" xfId="6020" xr:uid="{2E91C027-7A98-4C77-AAD0-B75A0181CA0F}"/>
    <cellStyle name="Normal 2 12 2 8" xfId="6021" xr:uid="{DCBEB684-7CF3-4C01-B32F-D5A5EFBF2B1E}"/>
    <cellStyle name="Normal 2 12 2 9" xfId="6022" xr:uid="{D2D120E4-8F75-45F4-B8BB-0531E96C660B}"/>
    <cellStyle name="Normal 2 12 20" xfId="6023" xr:uid="{B340E27E-B4CD-449D-91D1-CB863A6F49FF}"/>
    <cellStyle name="Normal 2 12 21" xfId="6024" xr:uid="{556E9027-8971-4B4F-ACFB-A4F807D48EF4}"/>
    <cellStyle name="Normal 2 12 22" xfId="6025" xr:uid="{D9E16DF6-12B0-4CC7-9BEB-D98F0416DFEF}"/>
    <cellStyle name="Normal 2 12 23" xfId="6026" xr:uid="{CECD7B99-F042-483F-B7B6-F0A0CFD2A2F9}"/>
    <cellStyle name="Normal 2 12 24" xfId="6027" xr:uid="{C7E36ED1-D836-4EFB-A776-D46AB3A2D83B}"/>
    <cellStyle name="Normal 2 12 25" xfId="6028" xr:uid="{BAA55CF6-26CB-4A3D-9CDE-6C631142A7B8}"/>
    <cellStyle name="Normal 2 12 26" xfId="6029" xr:uid="{86CAB560-151E-4745-A9EA-A962069BE445}"/>
    <cellStyle name="Normal 2 12 27" xfId="6030" xr:uid="{716BBA25-66C4-4ED9-A5C8-A436E04FB545}"/>
    <cellStyle name="Normal 2 12 28" xfId="6031" xr:uid="{51783836-0A06-4C46-9D6E-170585E77332}"/>
    <cellStyle name="Normal 2 12 29" xfId="6032" xr:uid="{88EE6ACE-1207-4A58-9111-CC14C6CB5B57}"/>
    <cellStyle name="Normal 2 12 3" xfId="6033" xr:uid="{1E1AF586-7A4D-4108-AD33-824DD716F813}"/>
    <cellStyle name="Normal 2 12 3 10" xfId="6034" xr:uid="{9F2B4487-3354-42DA-B1D0-0DE4DCAC2962}"/>
    <cellStyle name="Normal 2 12 3 11" xfId="6035" xr:uid="{B4159866-EACB-4396-97D2-5FF9238ACDBA}"/>
    <cellStyle name="Normal 2 12 3 12" xfId="6036" xr:uid="{1EAC99F9-68F3-4803-B935-F988EB15D031}"/>
    <cellStyle name="Normal 2 12 3 13" xfId="6037" xr:uid="{97B0C940-3252-4A02-8964-3DEE5580A735}"/>
    <cellStyle name="Normal 2 12 3 14" xfId="6038" xr:uid="{C68A58B0-B837-4D9A-8AD3-F6DCDCAC0821}"/>
    <cellStyle name="Normal 2 12 3 15" xfId="6039" xr:uid="{8B05C324-57F5-46AE-8C4C-34AE3ED4ECD6}"/>
    <cellStyle name="Normal 2 12 3 16" xfId="6040" xr:uid="{2075A04E-2C2C-4F2D-8A25-0A90EEBA3F8A}"/>
    <cellStyle name="Normal 2 12 3 17" xfId="6041" xr:uid="{685E1D27-C9C7-445C-B62A-2360AF178507}"/>
    <cellStyle name="Normal 2 12 3 18" xfId="6042" xr:uid="{252F1630-F69B-4906-A662-E7CAB11515EB}"/>
    <cellStyle name="Normal 2 12 3 19" xfId="6043" xr:uid="{D1523F79-C983-4ABF-A343-CD0D4700B7B6}"/>
    <cellStyle name="Normal 2 12 3 2" xfId="6044" xr:uid="{ED5CA2B4-C329-4F9C-909C-75AB079E7356}"/>
    <cellStyle name="Normal 2 12 3 2 10" xfId="6045" xr:uid="{2DCE5F35-064E-4717-9DA1-D6F4E3FAE52B}"/>
    <cellStyle name="Normal 2 12 3 2 11" xfId="6046" xr:uid="{ED6C8538-2BB6-4D76-9289-46AD28C6C698}"/>
    <cellStyle name="Normal 2 12 3 2 12" xfId="6047" xr:uid="{3F88E786-CA6A-45F1-AB71-F2643E50DD12}"/>
    <cellStyle name="Normal 2 12 3 2 13" xfId="6048" xr:uid="{9C87D5B8-5D1C-4C7B-9D90-279616DAA232}"/>
    <cellStyle name="Normal 2 12 3 2 14" xfId="6049" xr:uid="{F02E7AFA-414B-48D9-A3A0-572BB3A80F0D}"/>
    <cellStyle name="Normal 2 12 3 2 15" xfId="6050" xr:uid="{78444248-7031-42B3-AD20-6D09910FF350}"/>
    <cellStyle name="Normal 2 12 3 2 16" xfId="6051" xr:uid="{E491950B-A342-412E-AE2B-EC0DEB439E69}"/>
    <cellStyle name="Normal 2 12 3 2 17" xfId="6052" xr:uid="{D6C46E9E-DF89-4D1E-874E-EEA685515844}"/>
    <cellStyle name="Normal 2 12 3 2 18" xfId="6053" xr:uid="{23A7BFC9-B8EF-48B9-8A01-241613655013}"/>
    <cellStyle name="Normal 2 12 3 2 19" xfId="6054" xr:uid="{33A43E17-71EC-491F-81F5-C68341E9793E}"/>
    <cellStyle name="Normal 2 12 3 2 2" xfId="6055" xr:uid="{D6D6E5B6-879F-4C78-91B3-8FD7CEA22E07}"/>
    <cellStyle name="Normal 2 12 3 2 20" xfId="6056" xr:uid="{BA20F18D-CB72-433C-BA13-43416D2F6946}"/>
    <cellStyle name="Normal 2 12 3 2 21" xfId="6057" xr:uid="{2DCBB91B-F11F-4A28-852F-B2C4B5A59D19}"/>
    <cellStyle name="Normal 2 12 3 2 22" xfId="6058" xr:uid="{D2BB0273-17B7-439E-9C8E-F6584C10245E}"/>
    <cellStyle name="Normal 2 12 3 2 23" xfId="6059" xr:uid="{E9F58415-7016-4D24-8FF9-0E562FA8E3E2}"/>
    <cellStyle name="Normal 2 12 3 2 24" xfId="6060" xr:uid="{E77A48A5-B287-402D-A7EE-674B774D5E00}"/>
    <cellStyle name="Normal 2 12 3 2 25" xfId="6061" xr:uid="{F578ACD6-0B42-46A7-B6B9-0BD4BB6059F5}"/>
    <cellStyle name="Normal 2 12 3 2 26" xfId="6062" xr:uid="{0F36620D-DD2E-4C79-9C51-ECDCDCF9F9A7}"/>
    <cellStyle name="Normal 2 12 3 2 27" xfId="6063" xr:uid="{CA132264-D3F7-49BC-A694-3D40CD0A7FD9}"/>
    <cellStyle name="Normal 2 12 3 2 28" xfId="6064" xr:uid="{00D61248-E351-4796-9606-5E46956B8E19}"/>
    <cellStyle name="Normal 2 12 3 2 29" xfId="6065" xr:uid="{F040B1D8-DDD9-474B-AA62-832110E88017}"/>
    <cellStyle name="Normal 2 12 3 2 3" xfId="6066" xr:uid="{32A917C5-86C7-4FE9-BA7C-FEC9AB41BA97}"/>
    <cellStyle name="Normal 2 12 3 2 30" xfId="6067" xr:uid="{86202F3C-A478-406A-B61A-0DDD7D51422C}"/>
    <cellStyle name="Normal 2 12 3 2 31" xfId="6068" xr:uid="{8C423783-71D9-4001-9B83-0E2D0CB4E7BD}"/>
    <cellStyle name="Normal 2 12 3 2 32" xfId="6069" xr:uid="{341ECB9D-2E10-40B1-A6D7-65720361007D}"/>
    <cellStyle name="Normal 2 12 3 2 33" xfId="6070" xr:uid="{CB15630D-7F5D-4FDE-8A04-6FA2B338A90A}"/>
    <cellStyle name="Normal 2 12 3 2 34" xfId="6071" xr:uid="{01DDFC6D-B443-4079-BD8C-B9FB8581E776}"/>
    <cellStyle name="Normal 2 12 3 2 35" xfId="6072" xr:uid="{0B6EBAF7-6A06-467D-96DA-3E9F09970829}"/>
    <cellStyle name="Normal 2 12 3 2 36" xfId="6073" xr:uid="{E6E70D78-18B4-479D-BDC8-1D734974CE2D}"/>
    <cellStyle name="Normal 2 12 3 2 37" xfId="6074" xr:uid="{52067B3E-36FF-4C23-9987-EF6E8768BC05}"/>
    <cellStyle name="Normal 2 12 3 2 38" xfId="6075" xr:uid="{655FCE9B-BD9A-4DA0-989C-356E6516D65E}"/>
    <cellStyle name="Normal 2 12 3 2 4" xfId="6076" xr:uid="{8819FEC8-42D2-466B-9B3E-53A19CDC584F}"/>
    <cellStyle name="Normal 2 12 3 2 5" xfId="6077" xr:uid="{6C875E20-8C0F-41B0-A3AD-85F9BB864AD4}"/>
    <cellStyle name="Normal 2 12 3 2 6" xfId="6078" xr:uid="{1ED5F345-1D16-4536-85E9-1B54A3E6A6BF}"/>
    <cellStyle name="Normal 2 12 3 2 7" xfId="6079" xr:uid="{BE80CB6A-1298-4C0A-A5B2-9589DE21947D}"/>
    <cellStyle name="Normal 2 12 3 2 8" xfId="6080" xr:uid="{9F39CAC5-A9F7-4365-B8AA-8507B7D9E634}"/>
    <cellStyle name="Normal 2 12 3 2 9" xfId="6081" xr:uid="{6BE7E6A9-025E-45EA-8A5A-591F674E454B}"/>
    <cellStyle name="Normal 2 12 3 20" xfId="6082" xr:uid="{4DD34D57-3EA6-4DBA-A3E1-686BD2018E0E}"/>
    <cellStyle name="Normal 2 12 3 21" xfId="6083" xr:uid="{4838FB18-EB5D-499B-9633-30B7A13CAE09}"/>
    <cellStyle name="Normal 2 12 3 22" xfId="6084" xr:uid="{3EB26976-C6CF-420C-997D-47D5BEF8546E}"/>
    <cellStyle name="Normal 2 12 3 23" xfId="6085" xr:uid="{E443C177-3267-434E-986E-4E9DC70BD690}"/>
    <cellStyle name="Normal 2 12 3 24" xfId="6086" xr:uid="{CE32AB1A-7CD0-456D-B450-BE19F3947BCC}"/>
    <cellStyle name="Normal 2 12 3 25" xfId="6087" xr:uid="{8824C4C7-0DAD-484B-B4DF-25DFDA72CE42}"/>
    <cellStyle name="Normal 2 12 3 26" xfId="6088" xr:uid="{462E8B18-C96B-4055-B17D-5C49F1EA456D}"/>
    <cellStyle name="Normal 2 12 3 27" xfId="6089" xr:uid="{4157BD0B-1D49-4EED-B624-CE29B1AB43A3}"/>
    <cellStyle name="Normal 2 12 3 28" xfId="6090" xr:uid="{E3B1AD82-56BB-467D-9A7D-CDB33968343D}"/>
    <cellStyle name="Normal 2 12 3 29" xfId="6091" xr:uid="{AD2651A0-A5B4-4174-B246-12521513950C}"/>
    <cellStyle name="Normal 2 12 3 3" xfId="6092" xr:uid="{5A199ACC-7C99-435A-B835-EE6E67372860}"/>
    <cellStyle name="Normal 2 12 3 30" xfId="6093" xr:uid="{9C7696E2-684B-4878-9E8F-1937F074BD18}"/>
    <cellStyle name="Normal 2 12 3 31" xfId="6094" xr:uid="{7ED68846-4923-40C0-A8F1-D6B34FB22BFF}"/>
    <cellStyle name="Normal 2 12 3 32" xfId="6095" xr:uid="{2B298442-FF45-4A10-9F21-6242FEBF5FE8}"/>
    <cellStyle name="Normal 2 12 3 33" xfId="6096" xr:uid="{E881F4DC-8E1F-40CE-B4D0-1DFFCFB37A28}"/>
    <cellStyle name="Normal 2 12 3 34" xfId="6097" xr:uid="{FFAFBCB3-2318-4B92-BE86-FBAD1A577490}"/>
    <cellStyle name="Normal 2 12 3 35" xfId="6098" xr:uid="{DE09FF49-648B-4057-9931-62E37C5C1B9C}"/>
    <cellStyle name="Normal 2 12 3 36" xfId="6099" xr:uid="{75BE9C58-77D6-498A-AC6B-9F9299628FED}"/>
    <cellStyle name="Normal 2 12 3 37" xfId="6100" xr:uid="{3063D39C-72EB-4463-AA44-DCD09B6FCB5B}"/>
    <cellStyle name="Normal 2 12 3 38" xfId="6101" xr:uid="{0891D45F-6E5C-4D44-A9D6-EAAA4801ADF2}"/>
    <cellStyle name="Normal 2 12 3 4" xfId="6102" xr:uid="{BC229BD0-5060-4606-8482-6F82B331B4FF}"/>
    <cellStyle name="Normal 2 12 3 5" xfId="6103" xr:uid="{F0745C89-3282-4541-8983-16966A9BE98F}"/>
    <cellStyle name="Normal 2 12 3 6" xfId="6104" xr:uid="{5CB39C5D-A8AB-4BCD-A94A-2CE32EFD60CE}"/>
    <cellStyle name="Normal 2 12 3 7" xfId="6105" xr:uid="{8369F471-E83B-4D15-B437-7D51339DA3BC}"/>
    <cellStyle name="Normal 2 12 3 8" xfId="6106" xr:uid="{CF7380FB-A2A2-46AF-BD55-D277F73BEF19}"/>
    <cellStyle name="Normal 2 12 3 9" xfId="6107" xr:uid="{C6F8593C-4612-4824-B1B9-F6F6759B4687}"/>
    <cellStyle name="Normal 2 12 30" xfId="6108" xr:uid="{31EA2185-2A41-47AD-ACCE-686AC3E8D4F2}"/>
    <cellStyle name="Normal 2 12 31" xfId="6109" xr:uid="{48E2E25F-CC7C-4DF2-B2D0-5CEA52A885F5}"/>
    <cellStyle name="Normal 2 12 32" xfId="6110" xr:uid="{E15D0996-0CD2-4791-8EB6-039119EF2B13}"/>
    <cellStyle name="Normal 2 12 33" xfId="6111" xr:uid="{5AAEB0F9-653F-4F0D-8DA0-A934F56D2D36}"/>
    <cellStyle name="Normal 2 12 34" xfId="6112" xr:uid="{84A0BC9D-6EB4-4124-A953-5F9916B5B8A5}"/>
    <cellStyle name="Normal 2 12 35" xfId="6113" xr:uid="{DDB3D557-AB2C-43C5-8FA9-38A13A089DCE}"/>
    <cellStyle name="Normal 2 12 36" xfId="6114" xr:uid="{3059B8C7-89F5-4A48-A8DD-2ED92335E68E}"/>
    <cellStyle name="Normal 2 12 37" xfId="6115" xr:uid="{305F514F-D110-4803-9970-050066285C12}"/>
    <cellStyle name="Normal 2 12 38" xfId="6116" xr:uid="{83206294-E416-4CAC-8FE1-131B16262D3C}"/>
    <cellStyle name="Normal 2 12 39" xfId="6117" xr:uid="{27C01EC2-0995-4672-BF30-1411B011B03A}"/>
    <cellStyle name="Normal 2 12 4" xfId="6118" xr:uid="{2E22F6FF-C2D8-4F14-B6DA-38FED5FAD5A5}"/>
    <cellStyle name="Normal 2 12 40" xfId="6119" xr:uid="{A9EEAE5D-5AF0-4047-A70D-81353E32E6D2}"/>
    <cellStyle name="Normal 2 12 5" xfId="6120" xr:uid="{AF8539CE-D0B0-4DA4-8EA0-6357BBE13FCB}"/>
    <cellStyle name="Normal 2 12 6" xfId="6121" xr:uid="{BE118BB0-79D3-4AC2-BFE1-248D1B601995}"/>
    <cellStyle name="Normal 2 12 7" xfId="6122" xr:uid="{FBF0D29A-5110-4D61-B0E9-6AB856ECB156}"/>
    <cellStyle name="Normal 2 12 8" xfId="6123" xr:uid="{42AD2273-4AE9-4E57-A183-CCC1048DE102}"/>
    <cellStyle name="Normal 2 12 9" xfId="6124" xr:uid="{D59925E5-2039-4054-9F40-38C237DB6DFA}"/>
    <cellStyle name="Normal 2 13" xfId="6125" xr:uid="{08F852A0-D3AF-4F36-B15B-133ED2D995BA}"/>
    <cellStyle name="Normal 2 13 10" xfId="6126" xr:uid="{0DB529F2-FE6F-462B-AFE9-2961EF334213}"/>
    <cellStyle name="Normal 2 13 11" xfId="6127" xr:uid="{7F616521-2387-43AD-836F-A4483FD2451A}"/>
    <cellStyle name="Normal 2 13 12" xfId="6128" xr:uid="{5616D009-C022-494C-9B57-EC1D6FD49205}"/>
    <cellStyle name="Normal 2 13 13" xfId="6129" xr:uid="{303C3E17-EA9E-4DFE-8C8E-05115FE27E26}"/>
    <cellStyle name="Normal 2 13 14" xfId="6130" xr:uid="{172E589E-1191-4B7A-86E8-77F500EB87C5}"/>
    <cellStyle name="Normal 2 13 15" xfId="6131" xr:uid="{E75FF75A-FAC8-4286-B844-A72E10CEB7AB}"/>
    <cellStyle name="Normal 2 13 16" xfId="6132" xr:uid="{3CF5B1E3-6D58-4A0D-86C4-0AC632A8FA90}"/>
    <cellStyle name="Normal 2 13 17" xfId="6133" xr:uid="{F4812669-53FB-4593-B2E7-D5539CE28939}"/>
    <cellStyle name="Normal 2 13 18" xfId="6134" xr:uid="{B5500F07-1A80-4727-9D4B-32321D675884}"/>
    <cellStyle name="Normal 2 13 19" xfId="6135" xr:uid="{C9D9A2BC-F575-4335-99E2-308F76D70572}"/>
    <cellStyle name="Normal 2 13 2" xfId="6136" xr:uid="{EA11C2EB-530A-4F99-895E-8A194F221856}"/>
    <cellStyle name="Normal 2 13 2 10" xfId="6137" xr:uid="{0745FD32-8398-4E5C-BC39-CED9C5960181}"/>
    <cellStyle name="Normal 2 13 2 11" xfId="6138" xr:uid="{BB505A0E-75FA-4EAB-8F98-19DF785CA26D}"/>
    <cellStyle name="Normal 2 13 2 12" xfId="6139" xr:uid="{DBF5C12E-A26F-44DC-98B9-115CB7B02907}"/>
    <cellStyle name="Normal 2 13 2 13" xfId="6140" xr:uid="{26DF4ACA-2826-4CB2-9E0B-197FDF521F14}"/>
    <cellStyle name="Normal 2 13 2 14" xfId="6141" xr:uid="{CB7183C3-4613-4211-A924-0D50D821ECEA}"/>
    <cellStyle name="Normal 2 13 2 15" xfId="6142" xr:uid="{E3BF6A8A-A4DB-4B41-A56F-A07C085C4794}"/>
    <cellStyle name="Normal 2 13 2 16" xfId="6143" xr:uid="{D7624164-349B-44F0-A1CF-884658569BC0}"/>
    <cellStyle name="Normal 2 13 2 17" xfId="6144" xr:uid="{B0451709-2603-445A-9B2B-2EB898590670}"/>
    <cellStyle name="Normal 2 13 2 18" xfId="6145" xr:uid="{7799A461-E46A-4685-881F-09B962252166}"/>
    <cellStyle name="Normal 2 13 2 19" xfId="6146" xr:uid="{5206914F-F05D-4151-BA9A-A8EB85152A1D}"/>
    <cellStyle name="Normal 2 13 2 2" xfId="6147" xr:uid="{6D0BB779-E536-494B-8C5C-D95A231903F4}"/>
    <cellStyle name="Normal 2 13 2 2 10" xfId="6148" xr:uid="{41288644-0961-40EC-A51A-D5D377DC4D06}"/>
    <cellStyle name="Normal 2 13 2 2 11" xfId="6149" xr:uid="{BC3A82ED-83DF-432F-A71C-89A96DFC7D80}"/>
    <cellStyle name="Normal 2 13 2 2 12" xfId="6150" xr:uid="{8C3325C0-EBEC-46E8-9AAF-F0B378E7B219}"/>
    <cellStyle name="Normal 2 13 2 2 13" xfId="6151" xr:uid="{6CD36DEE-F3A2-49EB-A42B-E2422D02F260}"/>
    <cellStyle name="Normal 2 13 2 2 14" xfId="6152" xr:uid="{D456EE41-FBF8-43EC-8A8C-6BEAF68A775E}"/>
    <cellStyle name="Normal 2 13 2 2 15" xfId="6153" xr:uid="{013E922C-44B5-42B5-962C-4FE5937A511F}"/>
    <cellStyle name="Normal 2 13 2 2 16" xfId="6154" xr:uid="{8655EB91-54A4-43E3-A6A2-45D1B91FA6D6}"/>
    <cellStyle name="Normal 2 13 2 2 17" xfId="6155" xr:uid="{95C22BBE-51BC-4A97-AB28-1234AFC50FB1}"/>
    <cellStyle name="Normal 2 13 2 2 18" xfId="6156" xr:uid="{24ABECB3-8AE4-4FCC-AC11-0A9348F99749}"/>
    <cellStyle name="Normal 2 13 2 2 19" xfId="6157" xr:uid="{0796EB92-7C99-4E4F-B6DC-14DF385D41EB}"/>
    <cellStyle name="Normal 2 13 2 2 2" xfId="6158" xr:uid="{FF6535B4-DC8C-41E8-B8EE-E9FE79F45B53}"/>
    <cellStyle name="Normal 2 13 2 2 2 10" xfId="6159" xr:uid="{C01F66E4-61C0-4685-A4CE-0059C5CECE3F}"/>
    <cellStyle name="Normal 2 13 2 2 2 11" xfId="6160" xr:uid="{5E57B855-1509-4B53-9D11-7698D4301474}"/>
    <cellStyle name="Normal 2 13 2 2 2 12" xfId="6161" xr:uid="{2ADE29D9-6EC9-4B44-9D0C-68B64E7E17B7}"/>
    <cellStyle name="Normal 2 13 2 2 2 13" xfId="6162" xr:uid="{BA3F1538-475B-4227-BE46-857990927180}"/>
    <cellStyle name="Normal 2 13 2 2 2 14" xfId="6163" xr:uid="{FA80C5CC-E7BC-4CF9-B1D8-E589E98FB44E}"/>
    <cellStyle name="Normal 2 13 2 2 2 15" xfId="6164" xr:uid="{66EA3817-6968-4B5A-94A9-E6D963FCD323}"/>
    <cellStyle name="Normal 2 13 2 2 2 16" xfId="6165" xr:uid="{C38F6F3E-5F11-459B-903B-577079636042}"/>
    <cellStyle name="Normal 2 13 2 2 2 17" xfId="6166" xr:uid="{BC3314A1-FC3C-48FA-BA06-BE7CAD3B550A}"/>
    <cellStyle name="Normal 2 13 2 2 2 18" xfId="6167" xr:uid="{D5CD1A97-28C3-4B04-8E52-921645598BB5}"/>
    <cellStyle name="Normal 2 13 2 2 2 19" xfId="6168" xr:uid="{07E7DD01-568A-4C2E-8FAC-84B73565916F}"/>
    <cellStyle name="Normal 2 13 2 2 2 2" xfId="6169" xr:uid="{85808F22-6166-4CEB-8A98-BD31AD91DDE7}"/>
    <cellStyle name="Normal 2 13 2 2 2 20" xfId="6170" xr:uid="{5FCEEFF9-C99E-413C-B61C-28F2536A3C3F}"/>
    <cellStyle name="Normal 2 13 2 2 2 21" xfId="6171" xr:uid="{9CAF7E72-E676-498C-A2A8-8EADA54B84AD}"/>
    <cellStyle name="Normal 2 13 2 2 2 22" xfId="6172" xr:uid="{832AE40E-4D16-4EE0-9D1E-D259E95530F8}"/>
    <cellStyle name="Normal 2 13 2 2 2 23" xfId="6173" xr:uid="{326DA678-7C32-4A86-94D1-0260ADCAF88C}"/>
    <cellStyle name="Normal 2 13 2 2 2 24" xfId="6174" xr:uid="{140AFA07-9FA2-4719-8387-05780F68C559}"/>
    <cellStyle name="Normal 2 13 2 2 2 25" xfId="6175" xr:uid="{E66D32F6-5703-4350-9338-5EEB34A05819}"/>
    <cellStyle name="Normal 2 13 2 2 2 26" xfId="6176" xr:uid="{878FC9DE-FC35-48F2-A7C8-EDCA9EBD40B7}"/>
    <cellStyle name="Normal 2 13 2 2 2 27" xfId="6177" xr:uid="{63F5BA73-D6BB-4398-826F-BD5709398D8B}"/>
    <cellStyle name="Normal 2 13 2 2 2 28" xfId="6178" xr:uid="{E538631D-9132-4CE1-B1B2-E04C6045F46C}"/>
    <cellStyle name="Normal 2 13 2 2 2 29" xfId="6179" xr:uid="{5A7B636F-966C-4051-BBDE-F158985D0B67}"/>
    <cellStyle name="Normal 2 13 2 2 2 3" xfId="6180" xr:uid="{59B49C4E-821A-415F-A63D-4493CC1ED738}"/>
    <cellStyle name="Normal 2 13 2 2 2 30" xfId="6181" xr:uid="{D1E94024-F47D-4892-85A4-31A3D1EB43B2}"/>
    <cellStyle name="Normal 2 13 2 2 2 31" xfId="6182" xr:uid="{6DE3FF19-C977-4230-991C-8B515068F4EB}"/>
    <cellStyle name="Normal 2 13 2 2 2 32" xfId="6183" xr:uid="{1FBF7BEA-E3D3-4098-A9A1-660E0D5EF9F1}"/>
    <cellStyle name="Normal 2 13 2 2 2 33" xfId="6184" xr:uid="{7C2712EC-D976-42E9-A1D7-C8BABD284CBB}"/>
    <cellStyle name="Normal 2 13 2 2 2 34" xfId="6185" xr:uid="{EEE9559C-7767-492B-BDF0-7003F71AD410}"/>
    <cellStyle name="Normal 2 13 2 2 2 35" xfId="6186" xr:uid="{83E10515-8CB4-45C8-BE2F-D7AADBA8C56C}"/>
    <cellStyle name="Normal 2 13 2 2 2 36" xfId="6187" xr:uid="{4A12E8A4-412C-4DF2-8A48-ECD19DFB92B6}"/>
    <cellStyle name="Normal 2 13 2 2 2 37" xfId="6188" xr:uid="{0CF4E83A-A0D7-46A4-B12E-BEC4DA89A256}"/>
    <cellStyle name="Normal 2 13 2 2 2 38" xfId="6189" xr:uid="{340298AE-4E9F-403D-9C05-0755A67B06BC}"/>
    <cellStyle name="Normal 2 13 2 2 2 4" xfId="6190" xr:uid="{DF33EC0B-46B5-47E2-B5C7-7BBEDBF3F8D6}"/>
    <cellStyle name="Normal 2 13 2 2 2 5" xfId="6191" xr:uid="{31E9B984-63F2-460C-8D09-F785314A34B6}"/>
    <cellStyle name="Normal 2 13 2 2 2 6" xfId="6192" xr:uid="{931D1C66-B885-466D-AE3D-8FF133A08578}"/>
    <cellStyle name="Normal 2 13 2 2 2 7" xfId="6193" xr:uid="{C2EDE1E8-4A97-4F0A-8E5A-86E35D77F562}"/>
    <cellStyle name="Normal 2 13 2 2 2 8" xfId="6194" xr:uid="{3C2EF088-05C3-49D1-9A01-27C6B68EDA53}"/>
    <cellStyle name="Normal 2 13 2 2 2 9" xfId="6195" xr:uid="{0CE57BFD-C6B0-4C91-92F3-3F647702A178}"/>
    <cellStyle name="Normal 2 13 2 2 20" xfId="6196" xr:uid="{644FFC06-74AA-4A21-941C-E96CF76B401B}"/>
    <cellStyle name="Normal 2 13 2 2 21" xfId="6197" xr:uid="{39F9BD9D-9B1B-49A9-9F57-C2630F84AE13}"/>
    <cellStyle name="Normal 2 13 2 2 22" xfId="6198" xr:uid="{912E7518-5AFD-4C2E-9816-360FD43DD1A6}"/>
    <cellStyle name="Normal 2 13 2 2 23" xfId="6199" xr:uid="{C13FF123-C59E-4F7B-AA58-315C0D2E6F8B}"/>
    <cellStyle name="Normal 2 13 2 2 24" xfId="6200" xr:uid="{CDA593F9-6028-4C46-AB50-A4CBBD60CAD7}"/>
    <cellStyle name="Normal 2 13 2 2 25" xfId="6201" xr:uid="{5F5A8FE2-F60F-4552-98A9-FABA2471929A}"/>
    <cellStyle name="Normal 2 13 2 2 26" xfId="6202" xr:uid="{7357438E-9CA5-4224-9192-3FE132DD064D}"/>
    <cellStyle name="Normal 2 13 2 2 27" xfId="6203" xr:uid="{18129171-D55A-45B1-AC81-1955B0BE2C57}"/>
    <cellStyle name="Normal 2 13 2 2 28" xfId="6204" xr:uid="{973E4F5F-4FFC-4C92-A5E1-8B9C9D0771AC}"/>
    <cellStyle name="Normal 2 13 2 2 29" xfId="6205" xr:uid="{FCCFC9C8-5996-4F6F-9FD2-EEEF333529F3}"/>
    <cellStyle name="Normal 2 13 2 2 3" xfId="6206" xr:uid="{3302AD37-C8BB-4F3A-8EF2-B26D9418D9FB}"/>
    <cellStyle name="Normal 2 13 2 2 30" xfId="6207" xr:uid="{9762AE12-27D8-4CE5-8130-1882DCEA32A7}"/>
    <cellStyle name="Normal 2 13 2 2 31" xfId="6208" xr:uid="{0850410E-3278-4DD1-9C84-70BFEC6525EE}"/>
    <cellStyle name="Normal 2 13 2 2 32" xfId="6209" xr:uid="{410C3D99-6108-498A-B25A-4977346D4E94}"/>
    <cellStyle name="Normal 2 13 2 2 33" xfId="6210" xr:uid="{386924F9-D432-4D7F-BC57-DE6824292AAC}"/>
    <cellStyle name="Normal 2 13 2 2 34" xfId="6211" xr:uid="{8C00E9A5-051A-4C71-8E23-BA0A3AEC34ED}"/>
    <cellStyle name="Normal 2 13 2 2 35" xfId="6212" xr:uid="{C5EA29FC-5B7E-4F72-A437-287E8DF00BD3}"/>
    <cellStyle name="Normal 2 13 2 2 36" xfId="6213" xr:uid="{5D20ED78-4DA0-4086-BC03-EAD68559801F}"/>
    <cellStyle name="Normal 2 13 2 2 37" xfId="6214" xr:uid="{5B82E34B-6803-4C1D-B78C-0D465FD0BAA0}"/>
    <cellStyle name="Normal 2 13 2 2 38" xfId="6215" xr:uid="{04454DFE-7D70-430A-9C3A-49E20DC1672B}"/>
    <cellStyle name="Normal 2 13 2 2 4" xfId="6216" xr:uid="{46470EDF-2ACB-4658-8222-8993A1D8C499}"/>
    <cellStyle name="Normal 2 13 2 2 5" xfId="6217" xr:uid="{320A42F9-2B1C-4D40-BCE4-5B6815CE1043}"/>
    <cellStyle name="Normal 2 13 2 2 6" xfId="6218" xr:uid="{D3CD330F-93FF-4741-ADB5-C96545E67585}"/>
    <cellStyle name="Normal 2 13 2 2 7" xfId="6219" xr:uid="{7F80B85F-F1BB-4358-B951-694039E09AA1}"/>
    <cellStyle name="Normal 2 13 2 2 8" xfId="6220" xr:uid="{2CDDC133-5C2A-4302-93FC-941D23C45961}"/>
    <cellStyle name="Normal 2 13 2 2 9" xfId="6221" xr:uid="{1C7A5ED8-F039-41EA-91F6-AA459F05EE56}"/>
    <cellStyle name="Normal 2 13 2 20" xfId="6222" xr:uid="{E56F79F5-9800-445E-ABEE-6F19665F09D2}"/>
    <cellStyle name="Normal 2 13 2 21" xfId="6223" xr:uid="{07453224-83BF-4DBC-80D4-9D1D86E13C7D}"/>
    <cellStyle name="Normal 2 13 2 22" xfId="6224" xr:uid="{A17E8B28-DC13-4D92-A6B9-5CADE11F189C}"/>
    <cellStyle name="Normal 2 13 2 23" xfId="6225" xr:uid="{798A29E4-18F1-43CF-94BA-7A0D3B1AC951}"/>
    <cellStyle name="Normal 2 13 2 24" xfId="6226" xr:uid="{12831360-78D4-438A-9FBD-DC0F3057A861}"/>
    <cellStyle name="Normal 2 13 2 25" xfId="6227" xr:uid="{5233B3CE-1D65-4C50-9A5D-64C49B36CA76}"/>
    <cellStyle name="Normal 2 13 2 26" xfId="6228" xr:uid="{842A39FD-B9AA-4036-A575-7DDE6F5B11B7}"/>
    <cellStyle name="Normal 2 13 2 27" xfId="6229" xr:uid="{1EB43AC9-C135-414D-B405-1A228A54A3FE}"/>
    <cellStyle name="Normal 2 13 2 28" xfId="6230" xr:uid="{E8D342EB-CA0C-4218-83E4-9D39504A0176}"/>
    <cellStyle name="Normal 2 13 2 29" xfId="6231" xr:uid="{7B5027E5-B17B-4AFE-8B59-4382C74C3F81}"/>
    <cellStyle name="Normal 2 13 2 3" xfId="6232" xr:uid="{860AAFFA-E35B-4210-AF63-2A53F848CFD1}"/>
    <cellStyle name="Normal 2 13 2 30" xfId="6233" xr:uid="{596CF76C-3997-4D76-8AF5-642500C151DC}"/>
    <cellStyle name="Normal 2 13 2 31" xfId="6234" xr:uid="{9A6CB765-1838-4F84-B4F2-C98FC60D994A}"/>
    <cellStyle name="Normal 2 13 2 32" xfId="6235" xr:uid="{42091A83-4BA9-49EF-8EFE-5AFBDF0A86BF}"/>
    <cellStyle name="Normal 2 13 2 33" xfId="6236" xr:uid="{8325F51B-082E-4105-AB15-13C1E4795AE4}"/>
    <cellStyle name="Normal 2 13 2 34" xfId="6237" xr:uid="{ACD4D77D-E1A4-4737-9EA0-94DCC9377FC0}"/>
    <cellStyle name="Normal 2 13 2 35" xfId="6238" xr:uid="{7B06DB41-72A9-4240-A661-4B8D0092B15A}"/>
    <cellStyle name="Normal 2 13 2 36" xfId="6239" xr:uid="{57F81C35-1AF5-47FE-A388-83DC43AF3DB4}"/>
    <cellStyle name="Normal 2 13 2 37" xfId="6240" xr:uid="{0B158410-173A-4E1C-86AE-2D84CBB31AAE}"/>
    <cellStyle name="Normal 2 13 2 38" xfId="6241" xr:uid="{58CE8F13-956F-4899-83FD-6E51DCC7AFB2}"/>
    <cellStyle name="Normal 2 13 2 39" xfId="6242" xr:uid="{01C56900-6B13-44F6-A4B1-E31E2FA9BE1C}"/>
    <cellStyle name="Normal 2 13 2 4" xfId="6243" xr:uid="{122C577C-2125-4BA9-A749-3B752F8BAE90}"/>
    <cellStyle name="Normal 2 13 2 40" xfId="6244" xr:uid="{42BA78E1-A5B5-412C-9428-B9ED98CE13FE}"/>
    <cellStyle name="Normal 2 13 2 5" xfId="6245" xr:uid="{2A261E3E-523A-4A49-80BE-ABAD2DCD7ABC}"/>
    <cellStyle name="Normal 2 13 2 6" xfId="6246" xr:uid="{049AD110-5D4D-42DE-AFF7-A317B72B94C5}"/>
    <cellStyle name="Normal 2 13 2 7" xfId="6247" xr:uid="{9262892B-C573-4AA4-9D34-B39889AD1661}"/>
    <cellStyle name="Normal 2 13 2 8" xfId="6248" xr:uid="{6C2F4BE4-169F-4ABD-9044-709BDEBCCDEB}"/>
    <cellStyle name="Normal 2 13 2 9" xfId="6249" xr:uid="{3D97EE47-9871-4671-9C23-91CE16E99C80}"/>
    <cellStyle name="Normal 2 13 20" xfId="6250" xr:uid="{230471E4-87A5-475B-9C9D-C6DCC33AF136}"/>
    <cellStyle name="Normal 2 13 21" xfId="6251" xr:uid="{B3537E81-8FB1-4216-B427-A082D9F5D1CA}"/>
    <cellStyle name="Normal 2 13 22" xfId="6252" xr:uid="{7AB56A9B-7F19-4050-97F8-925A11BDECE8}"/>
    <cellStyle name="Normal 2 13 23" xfId="6253" xr:uid="{F75BABF8-7231-4949-BFBA-F344E8E1DB73}"/>
    <cellStyle name="Normal 2 13 24" xfId="6254" xr:uid="{756F8522-9C87-4789-8AD9-68834387A9B2}"/>
    <cellStyle name="Normal 2 13 25" xfId="6255" xr:uid="{EBC83ADB-B978-439B-81C3-2511B6FAF850}"/>
    <cellStyle name="Normal 2 13 26" xfId="6256" xr:uid="{E611194F-34E5-44F3-814E-4D89C1E00A1F}"/>
    <cellStyle name="Normal 2 13 27" xfId="6257" xr:uid="{9783030C-6907-4A11-BB15-81174E45A33B}"/>
    <cellStyle name="Normal 2 13 28" xfId="6258" xr:uid="{2AC96EE0-83F4-4FAF-9A09-66AECD33F8C5}"/>
    <cellStyle name="Normal 2 13 29" xfId="6259" xr:uid="{2B25280A-BE90-4A6C-9AB6-82D2CF770C2F}"/>
    <cellStyle name="Normal 2 13 3" xfId="6260" xr:uid="{05442844-EE2D-4904-BAB8-C10EC6F91F7F}"/>
    <cellStyle name="Normal 2 13 3 10" xfId="6261" xr:uid="{8A751BF1-C56E-4FBB-A667-158560BF805D}"/>
    <cellStyle name="Normal 2 13 3 11" xfId="6262" xr:uid="{515A0D72-BC4D-46FE-AE21-C8835FCAFFB2}"/>
    <cellStyle name="Normal 2 13 3 12" xfId="6263" xr:uid="{530081D4-454F-4FAF-B0E7-AE3FCA96AAA7}"/>
    <cellStyle name="Normal 2 13 3 13" xfId="6264" xr:uid="{8406479B-55DF-456B-9425-A61FB955410F}"/>
    <cellStyle name="Normal 2 13 3 14" xfId="6265" xr:uid="{7A8AD30A-E2E3-4798-9793-22A8B6978E15}"/>
    <cellStyle name="Normal 2 13 3 15" xfId="6266" xr:uid="{9ED838E2-CF9A-4DC8-BD49-ADE0BD724364}"/>
    <cellStyle name="Normal 2 13 3 16" xfId="6267" xr:uid="{7E5BD960-0B13-432A-8E08-52F7C0EC0B2D}"/>
    <cellStyle name="Normal 2 13 3 17" xfId="6268" xr:uid="{918375A0-C05E-4BC3-A251-3892B28DE71F}"/>
    <cellStyle name="Normal 2 13 3 18" xfId="6269" xr:uid="{A7E103F9-9FC5-4540-B133-C67828DE3CB1}"/>
    <cellStyle name="Normal 2 13 3 19" xfId="6270" xr:uid="{95CA6C09-4FA7-49AB-B49C-C1AC1A066ABE}"/>
    <cellStyle name="Normal 2 13 3 2" xfId="6271" xr:uid="{1D4A8DBE-C9C1-4E8B-97AE-D6376AF735B6}"/>
    <cellStyle name="Normal 2 13 3 2 10" xfId="6272" xr:uid="{690F18CD-A8C7-4F65-9D85-E5CEF1F9FD9D}"/>
    <cellStyle name="Normal 2 13 3 2 11" xfId="6273" xr:uid="{CDB93ED9-7E40-4CF9-9159-10D70D04398A}"/>
    <cellStyle name="Normal 2 13 3 2 12" xfId="6274" xr:uid="{180847F1-6244-4942-A258-EC4FAB594C66}"/>
    <cellStyle name="Normal 2 13 3 2 13" xfId="6275" xr:uid="{3261B8B3-8C61-4299-9367-21E4D844AD4A}"/>
    <cellStyle name="Normal 2 13 3 2 14" xfId="6276" xr:uid="{4F515C50-4217-4F99-9765-286EF3E2F8FA}"/>
    <cellStyle name="Normal 2 13 3 2 15" xfId="6277" xr:uid="{25DA7A88-C8B7-47F9-AEE6-EC2E716F5491}"/>
    <cellStyle name="Normal 2 13 3 2 16" xfId="6278" xr:uid="{B9A8C12D-8E56-458E-876C-44612C624CB3}"/>
    <cellStyle name="Normal 2 13 3 2 17" xfId="6279" xr:uid="{E0D851AB-776A-4570-8AAB-30730A6ADA3E}"/>
    <cellStyle name="Normal 2 13 3 2 18" xfId="6280" xr:uid="{230F194B-CD28-4D91-A178-17538176B433}"/>
    <cellStyle name="Normal 2 13 3 2 19" xfId="6281" xr:uid="{10B7E7AD-56E9-407A-8137-736104F779B1}"/>
    <cellStyle name="Normal 2 13 3 2 2" xfId="6282" xr:uid="{796FF685-7CAD-4224-896A-E5021438DB3B}"/>
    <cellStyle name="Normal 2 13 3 2 20" xfId="6283" xr:uid="{CE3F24C1-C27D-41DC-96EA-32C974257103}"/>
    <cellStyle name="Normal 2 13 3 2 21" xfId="6284" xr:uid="{CB4F5431-27B8-42BF-A2F0-C475E6F1E4E2}"/>
    <cellStyle name="Normal 2 13 3 2 22" xfId="6285" xr:uid="{6222FB59-B47A-4FB1-BDCB-FA3004050213}"/>
    <cellStyle name="Normal 2 13 3 2 23" xfId="6286" xr:uid="{D9530FE2-3121-4D95-AAB4-67DC3DF48894}"/>
    <cellStyle name="Normal 2 13 3 2 24" xfId="6287" xr:uid="{D7EF2DEA-76D0-4FAF-AC95-3B765FACC6FC}"/>
    <cellStyle name="Normal 2 13 3 2 25" xfId="6288" xr:uid="{D4E36AFA-5DD8-4D57-BB23-89AE66AACE02}"/>
    <cellStyle name="Normal 2 13 3 2 26" xfId="6289" xr:uid="{50A01AFC-AE36-4264-A244-F1D7FA816D2E}"/>
    <cellStyle name="Normal 2 13 3 2 27" xfId="6290" xr:uid="{8852FD72-81C2-44EA-AC48-03B03BA0D3CD}"/>
    <cellStyle name="Normal 2 13 3 2 28" xfId="6291" xr:uid="{AC73BC18-E6D7-4107-87E4-7236525B6F65}"/>
    <cellStyle name="Normal 2 13 3 2 29" xfId="6292" xr:uid="{DE34C695-AABB-41CF-ABE5-9057693DE73C}"/>
    <cellStyle name="Normal 2 13 3 2 3" xfId="6293" xr:uid="{BCF94EF1-B389-49D4-9EB6-BD3633144117}"/>
    <cellStyle name="Normal 2 13 3 2 30" xfId="6294" xr:uid="{51F6D67D-A187-473C-880D-92393F3CFC21}"/>
    <cellStyle name="Normal 2 13 3 2 31" xfId="6295" xr:uid="{E41874E6-5ECD-4277-8B5A-F9CCE141CBE3}"/>
    <cellStyle name="Normal 2 13 3 2 32" xfId="6296" xr:uid="{80EC007D-83D4-417F-86B7-55E401C714CE}"/>
    <cellStyle name="Normal 2 13 3 2 33" xfId="6297" xr:uid="{361E4D58-DAE5-4559-8B80-319267B67EAA}"/>
    <cellStyle name="Normal 2 13 3 2 34" xfId="6298" xr:uid="{28283952-1A6B-4D64-A7FF-0CEEB2E0A50B}"/>
    <cellStyle name="Normal 2 13 3 2 35" xfId="6299" xr:uid="{B2164D78-3E2C-4A98-B7A8-6269FCE4A950}"/>
    <cellStyle name="Normal 2 13 3 2 36" xfId="6300" xr:uid="{7EB2770E-D19A-46D0-B669-A29F1FC664EC}"/>
    <cellStyle name="Normal 2 13 3 2 37" xfId="6301" xr:uid="{2A2FB39E-CFB7-4C6E-8688-FBDFDD2457B1}"/>
    <cellStyle name="Normal 2 13 3 2 38" xfId="6302" xr:uid="{4E8B033E-AF24-4A7C-988C-998BF9A2E8C8}"/>
    <cellStyle name="Normal 2 13 3 2 4" xfId="6303" xr:uid="{544D8110-46C7-4503-8664-733B9DECEDC9}"/>
    <cellStyle name="Normal 2 13 3 2 5" xfId="6304" xr:uid="{6AC0932C-9CA8-41BF-A1C4-4FEADE1EDA7F}"/>
    <cellStyle name="Normal 2 13 3 2 6" xfId="6305" xr:uid="{09AEF45F-A121-4479-8CF8-9C2B15C3D8A7}"/>
    <cellStyle name="Normal 2 13 3 2 7" xfId="6306" xr:uid="{28AFB7E4-0C28-4EBD-93D3-7B88603907DB}"/>
    <cellStyle name="Normal 2 13 3 2 8" xfId="6307" xr:uid="{6027A65B-06DB-4652-8F63-2C5142F6EDF7}"/>
    <cellStyle name="Normal 2 13 3 2 9" xfId="6308" xr:uid="{8920C2C4-A48A-4D46-9F7B-A70C3E7DEF41}"/>
    <cellStyle name="Normal 2 13 3 20" xfId="6309" xr:uid="{16476963-935C-4D41-8ED1-48705A4C6172}"/>
    <cellStyle name="Normal 2 13 3 21" xfId="6310" xr:uid="{FFCE10DA-593A-4728-8899-6DF5382FD828}"/>
    <cellStyle name="Normal 2 13 3 22" xfId="6311" xr:uid="{1B41827A-EC42-40A8-9348-7532E84B8518}"/>
    <cellStyle name="Normal 2 13 3 23" xfId="6312" xr:uid="{ED063C82-1A42-41CE-903C-8DA4F3DA50EB}"/>
    <cellStyle name="Normal 2 13 3 24" xfId="6313" xr:uid="{6E3C1528-F507-46C0-A313-122EC5A5B86B}"/>
    <cellStyle name="Normal 2 13 3 25" xfId="6314" xr:uid="{32931653-20A6-4016-A5B0-31BE20F4869D}"/>
    <cellStyle name="Normal 2 13 3 26" xfId="6315" xr:uid="{CBABCE78-C366-46D7-93ED-10A0364F8031}"/>
    <cellStyle name="Normal 2 13 3 27" xfId="6316" xr:uid="{4776102F-5922-430A-A126-653F1EB79246}"/>
    <cellStyle name="Normal 2 13 3 28" xfId="6317" xr:uid="{8F463C2F-D36A-4003-8D83-6E3A9C9D660A}"/>
    <cellStyle name="Normal 2 13 3 29" xfId="6318" xr:uid="{3A9A14A6-CEDF-4AB5-836B-0AC754D3EBEB}"/>
    <cellStyle name="Normal 2 13 3 3" xfId="6319" xr:uid="{FA6401C3-94C7-452C-8B70-873F06361174}"/>
    <cellStyle name="Normal 2 13 3 30" xfId="6320" xr:uid="{E08E6C94-CFAD-47BB-B00D-168792B412B5}"/>
    <cellStyle name="Normal 2 13 3 31" xfId="6321" xr:uid="{DDB96092-41F2-4413-A381-3C121D5491C3}"/>
    <cellStyle name="Normal 2 13 3 32" xfId="6322" xr:uid="{E1EB2F04-AD7B-45A0-9D23-9BA5FBF8EF36}"/>
    <cellStyle name="Normal 2 13 3 33" xfId="6323" xr:uid="{A8165957-B135-4D40-9125-96984EB07403}"/>
    <cellStyle name="Normal 2 13 3 34" xfId="6324" xr:uid="{47E73240-27B9-4BCB-ABF5-F205EE03B4E7}"/>
    <cellStyle name="Normal 2 13 3 35" xfId="6325" xr:uid="{94FDAEB9-33A7-4307-B1D3-E05B5872123F}"/>
    <cellStyle name="Normal 2 13 3 36" xfId="6326" xr:uid="{E6A3C204-0B11-46B4-855E-A96DEFE0428E}"/>
    <cellStyle name="Normal 2 13 3 37" xfId="6327" xr:uid="{6D93C21C-1D88-4208-BC27-75F8F5D68CD7}"/>
    <cellStyle name="Normal 2 13 3 38" xfId="6328" xr:uid="{BC350C79-3B40-4C33-AE72-EAD107073AA5}"/>
    <cellStyle name="Normal 2 13 3 4" xfId="6329" xr:uid="{B113E68F-B9CA-46F2-BAEA-6F8B2FE2A699}"/>
    <cellStyle name="Normal 2 13 3 5" xfId="6330" xr:uid="{02DD7DD7-B992-4ABF-9233-77DC12E425E1}"/>
    <cellStyle name="Normal 2 13 3 6" xfId="6331" xr:uid="{D0080207-90B1-4351-A67F-44268AE6B7F2}"/>
    <cellStyle name="Normal 2 13 3 7" xfId="6332" xr:uid="{8877FD2F-FB53-4D92-B78F-56456EE1AA36}"/>
    <cellStyle name="Normal 2 13 3 8" xfId="6333" xr:uid="{368E4DCC-C4A4-49CF-BE31-453927E4FD0E}"/>
    <cellStyle name="Normal 2 13 3 9" xfId="6334" xr:uid="{65C63C6C-461B-4E12-9FA9-BFA68A8A2E30}"/>
    <cellStyle name="Normal 2 13 30" xfId="6335" xr:uid="{D04F3A4D-E2FE-43B8-B284-9DDCA727A462}"/>
    <cellStyle name="Normal 2 13 31" xfId="6336" xr:uid="{29B9C4D6-A4E5-4B7B-B489-CB959B236D17}"/>
    <cellStyle name="Normal 2 13 32" xfId="6337" xr:uid="{DF1AF26D-ED68-4045-BC68-7291E05D47EC}"/>
    <cellStyle name="Normal 2 13 33" xfId="6338" xr:uid="{629CAD85-0215-4B28-9E1C-D92F8281ABB6}"/>
    <cellStyle name="Normal 2 13 34" xfId="6339" xr:uid="{43110729-E10F-4669-A1FB-9D8D4EA5CBE6}"/>
    <cellStyle name="Normal 2 13 35" xfId="6340" xr:uid="{01158CBD-D203-472F-9F96-ED93AD490F8C}"/>
    <cellStyle name="Normal 2 13 36" xfId="6341" xr:uid="{81059F4C-119B-47CE-A9A7-E5A5FDFCCEF4}"/>
    <cellStyle name="Normal 2 13 37" xfId="6342" xr:uid="{24363E32-4FEE-47FA-A974-1A53822C31BF}"/>
    <cellStyle name="Normal 2 13 38" xfId="6343" xr:uid="{547A7253-5407-4793-BA71-EDC1A57A5078}"/>
    <cellStyle name="Normal 2 13 39" xfId="6344" xr:uid="{5A172125-33B9-44D9-8CC7-44C58985F020}"/>
    <cellStyle name="Normal 2 13 4" xfId="6345" xr:uid="{53BFEB1C-C9ED-4717-AAEB-67E04FB99679}"/>
    <cellStyle name="Normal 2 13 40" xfId="6346" xr:uid="{C44F3F6B-5F13-40F7-A5DA-2E123D09E15F}"/>
    <cellStyle name="Normal 2 13 5" xfId="6347" xr:uid="{087CE31E-8D12-40C7-9F53-94FB7435B3D1}"/>
    <cellStyle name="Normal 2 13 6" xfId="6348" xr:uid="{466BAE9C-2023-42DF-A94C-82E77B585A8F}"/>
    <cellStyle name="Normal 2 13 7" xfId="6349" xr:uid="{46BBD45A-E417-4220-A507-7689F8EC5439}"/>
    <cellStyle name="Normal 2 13 8" xfId="6350" xr:uid="{E55870FD-515C-4EA0-9A5D-F7DDF1C42E11}"/>
    <cellStyle name="Normal 2 13 9" xfId="6351" xr:uid="{BB111996-E4C9-4801-A485-E198AF0D5F0E}"/>
    <cellStyle name="Normal 2 14" xfId="6352" xr:uid="{218E9FA4-4754-4604-B1C5-F6A13A847185}"/>
    <cellStyle name="Normal 2 14 10" xfId="6353" xr:uid="{0B2E218A-D142-4695-8A7F-7C0FB9B5BAB7}"/>
    <cellStyle name="Normal 2 14 11" xfId="6354" xr:uid="{ED7B4357-F46E-40AD-9B47-74D39D1C3A34}"/>
    <cellStyle name="Normal 2 14 12" xfId="6355" xr:uid="{BF62798A-4DDA-46DC-8CEC-7A183133DB24}"/>
    <cellStyle name="Normal 2 14 13" xfId="6356" xr:uid="{4AD5EBEC-4E5E-4AF2-8747-CD8EE29604B6}"/>
    <cellStyle name="Normal 2 14 14" xfId="6357" xr:uid="{0047C38B-1D71-464D-B8FF-D19D7C5374B1}"/>
    <cellStyle name="Normal 2 14 15" xfId="6358" xr:uid="{74910E1B-7CF6-495D-B4C6-37686B1C118D}"/>
    <cellStyle name="Normal 2 14 16" xfId="6359" xr:uid="{8A8B55F9-2B98-4803-A24B-C885D7A33BA6}"/>
    <cellStyle name="Normal 2 14 17" xfId="6360" xr:uid="{30B7E9AD-6818-496B-9078-B7A9BAD16B12}"/>
    <cellStyle name="Normal 2 14 18" xfId="6361" xr:uid="{958D98CE-6153-479E-B002-13FFA28CD254}"/>
    <cellStyle name="Normal 2 14 19" xfId="6362" xr:uid="{C2A0CD9E-C930-4E3D-BEFB-92EA0297F773}"/>
    <cellStyle name="Normal 2 14 2" xfId="6363" xr:uid="{BC764572-6152-4298-8EFC-C462F9517004}"/>
    <cellStyle name="Normal 2 14 2 10" xfId="6364" xr:uid="{76D1B670-E608-495C-B0D3-37D80F308D22}"/>
    <cellStyle name="Normal 2 14 2 11" xfId="6365" xr:uid="{27FDCE66-4B2C-432B-8722-2BC876B57BE9}"/>
    <cellStyle name="Normal 2 14 2 12" xfId="6366" xr:uid="{EB01F3B9-7186-4DCE-9805-0B945DCD0220}"/>
    <cellStyle name="Normal 2 14 2 13" xfId="6367" xr:uid="{B10580B9-EFC7-4DCB-A1FB-D8B206B0AFDE}"/>
    <cellStyle name="Normal 2 14 2 14" xfId="6368" xr:uid="{97AB4FAB-9769-4255-BDBF-2203F5BB5100}"/>
    <cellStyle name="Normal 2 14 2 15" xfId="6369" xr:uid="{117E9F6E-A299-475E-A890-173B815549CA}"/>
    <cellStyle name="Normal 2 14 2 16" xfId="6370" xr:uid="{E31BCEC4-5345-4CDE-AD12-8A71C4C1B082}"/>
    <cellStyle name="Normal 2 14 2 17" xfId="6371" xr:uid="{3E26C009-5F65-4E48-89A3-184A654062BF}"/>
    <cellStyle name="Normal 2 14 2 18" xfId="6372" xr:uid="{6D2CC9E6-FDBB-4860-8CE9-07702C71C940}"/>
    <cellStyle name="Normal 2 14 2 19" xfId="6373" xr:uid="{F01B7FBF-FE35-4D8C-838E-2C9716F1273D}"/>
    <cellStyle name="Normal 2 14 2 2" xfId="6374" xr:uid="{BFC22B69-0EB5-4C59-BEE1-780571C4C8B4}"/>
    <cellStyle name="Normal 2 14 2 2 10" xfId="6375" xr:uid="{C9D790B4-3004-4F20-A279-460EA8E5292B}"/>
    <cellStyle name="Normal 2 14 2 2 11" xfId="6376" xr:uid="{6C46F11B-86E9-4FBB-92FE-820A9116F40C}"/>
    <cellStyle name="Normal 2 14 2 2 12" xfId="6377" xr:uid="{CF8DBEC7-286D-43F3-99E4-13550AB09780}"/>
    <cellStyle name="Normal 2 14 2 2 13" xfId="6378" xr:uid="{AD435F89-4327-4117-8C34-C8ECD18FD271}"/>
    <cellStyle name="Normal 2 14 2 2 14" xfId="6379" xr:uid="{BFD6FB8D-73CD-473A-B1A7-50DB7EBD97AF}"/>
    <cellStyle name="Normal 2 14 2 2 15" xfId="6380" xr:uid="{F99FD372-9891-4944-8AEC-DD09925E1772}"/>
    <cellStyle name="Normal 2 14 2 2 16" xfId="6381" xr:uid="{11C4237C-E34B-495C-AEB1-4D49985AA0BF}"/>
    <cellStyle name="Normal 2 14 2 2 17" xfId="6382" xr:uid="{28A72570-6F7F-49DC-9F4E-3F34E2C79131}"/>
    <cellStyle name="Normal 2 14 2 2 18" xfId="6383" xr:uid="{70C79916-5019-4308-BC12-777816970ED1}"/>
    <cellStyle name="Normal 2 14 2 2 19" xfId="6384" xr:uid="{2DA79872-24C8-4EC7-B960-2FA0BC5BB56E}"/>
    <cellStyle name="Normal 2 14 2 2 2" xfId="6385" xr:uid="{4AE2E0AB-A5A1-4774-A817-26576B749E9E}"/>
    <cellStyle name="Normal 2 14 2 2 2 10" xfId="6386" xr:uid="{4E03ACDC-916A-4FCC-B091-D08942C5FACC}"/>
    <cellStyle name="Normal 2 14 2 2 2 11" xfId="6387" xr:uid="{DDFFBBBF-8AF5-4892-ADEF-7AB4EB9A6B9F}"/>
    <cellStyle name="Normal 2 14 2 2 2 12" xfId="6388" xr:uid="{583D2890-0EA5-4D3C-99A3-3010220DB5BA}"/>
    <cellStyle name="Normal 2 14 2 2 2 13" xfId="6389" xr:uid="{4DFDE5D9-93E5-4F03-8D20-F23355BE891F}"/>
    <cellStyle name="Normal 2 14 2 2 2 14" xfId="6390" xr:uid="{A74704F1-87D4-47DC-9BC5-97CA212C9442}"/>
    <cellStyle name="Normal 2 14 2 2 2 15" xfId="6391" xr:uid="{062F3F52-9927-40A4-8945-B1BB3D7C902D}"/>
    <cellStyle name="Normal 2 14 2 2 2 16" xfId="6392" xr:uid="{28E8F82A-3F01-4AED-B3FB-E030B2F399B7}"/>
    <cellStyle name="Normal 2 14 2 2 2 17" xfId="6393" xr:uid="{A65FA474-253D-427E-885C-EAE1C5BED960}"/>
    <cellStyle name="Normal 2 14 2 2 2 18" xfId="6394" xr:uid="{037BB7CC-6C75-411A-9797-E6FC61A1E885}"/>
    <cellStyle name="Normal 2 14 2 2 2 19" xfId="6395" xr:uid="{FABC56F9-E62F-4D30-A5AF-6FC19064002A}"/>
    <cellStyle name="Normal 2 14 2 2 2 2" xfId="6396" xr:uid="{8404193E-4FC6-4B0D-A1A2-661A69F83D8A}"/>
    <cellStyle name="Normal 2 14 2 2 2 20" xfId="6397" xr:uid="{C21CA0FB-6F50-468D-863B-73BC87E6F518}"/>
    <cellStyle name="Normal 2 14 2 2 2 21" xfId="6398" xr:uid="{BE960561-7A9A-4B98-BAE0-E409DC5F539C}"/>
    <cellStyle name="Normal 2 14 2 2 2 22" xfId="6399" xr:uid="{B750AD0C-FEDF-4742-8F60-B2BF57AF8B5A}"/>
    <cellStyle name="Normal 2 14 2 2 2 23" xfId="6400" xr:uid="{1C9264BA-A027-4BA7-98DE-295EB0197B19}"/>
    <cellStyle name="Normal 2 14 2 2 2 24" xfId="6401" xr:uid="{281CF1B3-89AC-4ABC-BABF-CA18FDACF342}"/>
    <cellStyle name="Normal 2 14 2 2 2 25" xfId="6402" xr:uid="{FF7AC582-6E67-4720-9C71-19CA4D751A59}"/>
    <cellStyle name="Normal 2 14 2 2 2 26" xfId="6403" xr:uid="{4CE5A39B-5E63-4996-8E00-5177E3AA440D}"/>
    <cellStyle name="Normal 2 14 2 2 2 27" xfId="6404" xr:uid="{D7C22AD3-E3A4-4F0D-B5AE-D751E59EB109}"/>
    <cellStyle name="Normal 2 14 2 2 2 28" xfId="6405" xr:uid="{8F1E8C5E-BAF6-4843-A342-FEAE7BFDC3F9}"/>
    <cellStyle name="Normal 2 14 2 2 2 29" xfId="6406" xr:uid="{2FD43451-B37A-4821-BCB0-F9FCA12F2410}"/>
    <cellStyle name="Normal 2 14 2 2 2 3" xfId="6407" xr:uid="{BE189D13-730F-478A-8E6F-D8F505D8B107}"/>
    <cellStyle name="Normal 2 14 2 2 2 30" xfId="6408" xr:uid="{CACC2B49-E2F3-4A60-8B89-E58AEF2872C6}"/>
    <cellStyle name="Normal 2 14 2 2 2 31" xfId="6409" xr:uid="{EE88A61C-A28D-4822-8B27-B96A43AE1E17}"/>
    <cellStyle name="Normal 2 14 2 2 2 32" xfId="6410" xr:uid="{0DB0B254-9F31-4F3A-9E70-2B53CC2A3DEC}"/>
    <cellStyle name="Normal 2 14 2 2 2 33" xfId="6411" xr:uid="{B4FD3EFB-0113-48DC-B076-0F06C9792441}"/>
    <cellStyle name="Normal 2 14 2 2 2 34" xfId="6412" xr:uid="{5666348F-E107-401A-8AF4-DF1877AFD15F}"/>
    <cellStyle name="Normal 2 14 2 2 2 35" xfId="6413" xr:uid="{0656D31F-47FB-430B-BA33-EFF0B381043E}"/>
    <cellStyle name="Normal 2 14 2 2 2 36" xfId="6414" xr:uid="{F1C30B4B-07AD-4895-BC22-39365393D844}"/>
    <cellStyle name="Normal 2 14 2 2 2 37" xfId="6415" xr:uid="{438A8590-6C6C-47F2-89A5-ACF383990EC8}"/>
    <cellStyle name="Normal 2 14 2 2 2 38" xfId="6416" xr:uid="{C4192F02-4900-4978-B059-719D2B178DA8}"/>
    <cellStyle name="Normal 2 14 2 2 2 4" xfId="6417" xr:uid="{A7F42397-B363-449C-A766-EFBBFEEB6BAB}"/>
    <cellStyle name="Normal 2 14 2 2 2 5" xfId="6418" xr:uid="{1DE3BF4F-E2E9-4CD4-936E-29E5DE53AE75}"/>
    <cellStyle name="Normal 2 14 2 2 2 6" xfId="6419" xr:uid="{8AB677B6-4694-4E62-B890-C73DECF9F182}"/>
    <cellStyle name="Normal 2 14 2 2 2 7" xfId="6420" xr:uid="{625F7309-D84D-422D-95CE-4F5EBA3F9530}"/>
    <cellStyle name="Normal 2 14 2 2 2 8" xfId="6421" xr:uid="{15BC63A4-B423-4479-90F3-5787E4317D4F}"/>
    <cellStyle name="Normal 2 14 2 2 2 9" xfId="6422" xr:uid="{AA50C71C-1A22-4D1F-BCEE-4E773A1DB767}"/>
    <cellStyle name="Normal 2 14 2 2 20" xfId="6423" xr:uid="{1F89A605-303B-4EDE-8FF6-8551DC12F1F9}"/>
    <cellStyle name="Normal 2 14 2 2 21" xfId="6424" xr:uid="{639108E6-DFB3-4C73-B06E-A71AE7865D20}"/>
    <cellStyle name="Normal 2 14 2 2 22" xfId="6425" xr:uid="{27587407-5C58-4F1A-81FD-90DBB6EDE98C}"/>
    <cellStyle name="Normal 2 14 2 2 23" xfId="6426" xr:uid="{23CE3CCF-43B0-46F2-A130-E717C05B558B}"/>
    <cellStyle name="Normal 2 14 2 2 24" xfId="6427" xr:uid="{1DF05AC0-4F09-4383-888D-8765D3CF93A5}"/>
    <cellStyle name="Normal 2 14 2 2 25" xfId="6428" xr:uid="{EBFDFD4E-F39C-4A41-9F04-8A90E378BF28}"/>
    <cellStyle name="Normal 2 14 2 2 26" xfId="6429" xr:uid="{C0044069-FD89-4FA5-B9A8-16C7AB508F82}"/>
    <cellStyle name="Normal 2 14 2 2 27" xfId="6430" xr:uid="{2B34A10A-37D0-40C3-A7C8-4997810F3C9E}"/>
    <cellStyle name="Normal 2 14 2 2 28" xfId="6431" xr:uid="{61E8FF8B-B1D2-449C-BD8D-BE02DABFE49E}"/>
    <cellStyle name="Normal 2 14 2 2 29" xfId="6432" xr:uid="{2169DD22-8931-4C7F-9CF1-54F05DA6407F}"/>
    <cellStyle name="Normal 2 14 2 2 3" xfId="6433" xr:uid="{463112FB-0400-4504-8162-BC89C4B48C1E}"/>
    <cellStyle name="Normal 2 14 2 2 30" xfId="6434" xr:uid="{398BD082-BA95-4B5E-A66E-C3183F0D0A74}"/>
    <cellStyle name="Normal 2 14 2 2 31" xfId="6435" xr:uid="{A7B35BFF-0F83-4AA0-8C78-53CF3311FB94}"/>
    <cellStyle name="Normal 2 14 2 2 32" xfId="6436" xr:uid="{FDBDBF54-7DF6-42B1-948C-5BBACEC209DB}"/>
    <cellStyle name="Normal 2 14 2 2 33" xfId="6437" xr:uid="{310D3497-1F66-40DF-B230-EF980B9BFF89}"/>
    <cellStyle name="Normal 2 14 2 2 34" xfId="6438" xr:uid="{0E2E4391-14CD-44D9-B9DF-974A2CACEB4D}"/>
    <cellStyle name="Normal 2 14 2 2 35" xfId="6439" xr:uid="{694EA81B-52BF-46F4-9829-488E180B020D}"/>
    <cellStyle name="Normal 2 14 2 2 36" xfId="6440" xr:uid="{F4F998FA-F09E-414F-8211-4C043DD24D12}"/>
    <cellStyle name="Normal 2 14 2 2 37" xfId="6441" xr:uid="{F51B6A42-74A0-47EF-BFCC-0FF4167E0D33}"/>
    <cellStyle name="Normal 2 14 2 2 38" xfId="6442" xr:uid="{D73DBCDF-3835-4EFB-A818-C3F3278F597D}"/>
    <cellStyle name="Normal 2 14 2 2 4" xfId="6443" xr:uid="{22A74567-7AE2-4BD3-AF19-FBB89C204AF0}"/>
    <cellStyle name="Normal 2 14 2 2 5" xfId="6444" xr:uid="{8BCB130C-21F5-4B0E-9EC5-A5279EDCE1BE}"/>
    <cellStyle name="Normal 2 14 2 2 6" xfId="6445" xr:uid="{16D582CD-71D3-4DDE-821F-FA55CED5FCB5}"/>
    <cellStyle name="Normal 2 14 2 2 7" xfId="6446" xr:uid="{C4865704-DB44-449B-AC0A-09CFFC4A9978}"/>
    <cellStyle name="Normal 2 14 2 2 8" xfId="6447" xr:uid="{BB6AEB97-4BF2-4AC6-B5C5-7A30DD21B06E}"/>
    <cellStyle name="Normal 2 14 2 2 9" xfId="6448" xr:uid="{BAEF128B-A4EA-4AF1-844F-981BA2A068D3}"/>
    <cellStyle name="Normal 2 14 2 20" xfId="6449" xr:uid="{3E541419-D70B-4525-8B80-6C3AE2D462AC}"/>
    <cellStyle name="Normal 2 14 2 21" xfId="6450" xr:uid="{F3DDCD33-AB11-487D-97F5-F8650E67D478}"/>
    <cellStyle name="Normal 2 14 2 22" xfId="6451" xr:uid="{8504E3B6-397F-44BF-A4DE-271D3828F75F}"/>
    <cellStyle name="Normal 2 14 2 23" xfId="6452" xr:uid="{3DF88784-941A-4E37-90A8-C679B2D41DB3}"/>
    <cellStyle name="Normal 2 14 2 24" xfId="6453" xr:uid="{86D7532C-6B20-40AC-B3DB-1CC29142449B}"/>
    <cellStyle name="Normal 2 14 2 25" xfId="6454" xr:uid="{7F299276-663A-4549-8EE4-7F6621F0D5F6}"/>
    <cellStyle name="Normal 2 14 2 26" xfId="6455" xr:uid="{4EDA4B57-2405-450A-87B4-DBAC72E760E3}"/>
    <cellStyle name="Normal 2 14 2 27" xfId="6456" xr:uid="{9B9772DC-472C-436E-8F4E-7E11F25B1F58}"/>
    <cellStyle name="Normal 2 14 2 28" xfId="6457" xr:uid="{5957B175-9269-4E70-B728-EC66D03505ED}"/>
    <cellStyle name="Normal 2 14 2 29" xfId="6458" xr:uid="{24752DDB-A5C7-401E-AE23-7BD27A13597B}"/>
    <cellStyle name="Normal 2 14 2 3" xfId="6459" xr:uid="{B92B3E78-D2DB-4612-9E55-849811E66B03}"/>
    <cellStyle name="Normal 2 14 2 30" xfId="6460" xr:uid="{35CA68D4-B1C2-4049-8F07-CAAA5F5E703C}"/>
    <cellStyle name="Normal 2 14 2 31" xfId="6461" xr:uid="{A3B3AAD3-F961-4E70-8537-D3C0868D9F3C}"/>
    <cellStyle name="Normal 2 14 2 32" xfId="6462" xr:uid="{6AA37425-9589-48BC-B3F4-C89F303A1B28}"/>
    <cellStyle name="Normal 2 14 2 33" xfId="6463" xr:uid="{96BBFED8-220E-48CE-A581-474D57771726}"/>
    <cellStyle name="Normal 2 14 2 34" xfId="6464" xr:uid="{A31C62B6-3D8C-4F78-BC9E-BDBF5E9D0637}"/>
    <cellStyle name="Normal 2 14 2 35" xfId="6465" xr:uid="{E9317C28-4BBC-497F-8690-DDA2047AB98F}"/>
    <cellStyle name="Normal 2 14 2 36" xfId="6466" xr:uid="{3AA8D4EC-9675-49E2-ACD0-47F38BE9B485}"/>
    <cellStyle name="Normal 2 14 2 37" xfId="6467" xr:uid="{E862A14E-90F5-4E98-8DE9-EE27B02FA074}"/>
    <cellStyle name="Normal 2 14 2 38" xfId="6468" xr:uid="{F5798807-678E-4F66-B0CB-EFD26CFF738F}"/>
    <cellStyle name="Normal 2 14 2 39" xfId="6469" xr:uid="{1FB0616D-2B59-40DC-B8D9-82DA790254AE}"/>
    <cellStyle name="Normal 2 14 2 4" xfId="6470" xr:uid="{DE71FB27-FF9A-4926-8EC9-B901D90036BC}"/>
    <cellStyle name="Normal 2 14 2 40" xfId="6471" xr:uid="{005A3160-DFC8-4EEF-ABB3-8E45BD2D4224}"/>
    <cellStyle name="Normal 2 14 2 5" xfId="6472" xr:uid="{EF0C789A-FDB6-4E67-926F-A2CB0D80FCA0}"/>
    <cellStyle name="Normal 2 14 2 6" xfId="6473" xr:uid="{32F9953F-2673-4907-A528-E8B0CFDE609D}"/>
    <cellStyle name="Normal 2 14 2 7" xfId="6474" xr:uid="{95544382-BEBE-49B0-98A0-C8D111F378B3}"/>
    <cellStyle name="Normal 2 14 2 8" xfId="6475" xr:uid="{384FD169-9119-4E81-A4BA-66ABD4FE8D4C}"/>
    <cellStyle name="Normal 2 14 2 9" xfId="6476" xr:uid="{C5561D18-AFF6-4195-BD5C-95D9853B8EB6}"/>
    <cellStyle name="Normal 2 14 20" xfId="6477" xr:uid="{BE96EFC8-0C30-4BD3-8918-D7BBF0DB248D}"/>
    <cellStyle name="Normal 2 14 21" xfId="6478" xr:uid="{97B7812C-D824-4235-A677-F2CFE18A2DD9}"/>
    <cellStyle name="Normal 2 14 22" xfId="6479" xr:uid="{EC9E0A75-D881-4F80-BF56-11E3AD12BB51}"/>
    <cellStyle name="Normal 2 14 23" xfId="6480" xr:uid="{5356BB6D-5BCD-4602-B74F-7441C87F50A9}"/>
    <cellStyle name="Normal 2 14 24" xfId="6481" xr:uid="{81782940-CD3F-46E6-BC09-AC7CEEB173C0}"/>
    <cellStyle name="Normal 2 14 25" xfId="6482" xr:uid="{DE461D26-0DFD-42C2-9AF9-FE3F31725CAF}"/>
    <cellStyle name="Normal 2 14 26" xfId="6483" xr:uid="{C0EC38B6-B40F-449C-BA09-B8C68E51E4F3}"/>
    <cellStyle name="Normal 2 14 27" xfId="6484" xr:uid="{A321D06A-52CA-4F4F-B884-4A6C02DDCD2F}"/>
    <cellStyle name="Normal 2 14 28" xfId="6485" xr:uid="{60C8FF04-CA64-4DB8-8A5D-BA63FCEADD0A}"/>
    <cellStyle name="Normal 2 14 29" xfId="6486" xr:uid="{CE5C5567-C76A-41F6-9897-64536C9CF430}"/>
    <cellStyle name="Normal 2 14 3" xfId="6487" xr:uid="{295ADE0B-7897-4CB2-A382-9D57B378305E}"/>
    <cellStyle name="Normal 2 14 3 10" xfId="6488" xr:uid="{9BFB6E10-97AC-4942-BAC2-5AD018CA2FB3}"/>
    <cellStyle name="Normal 2 14 3 11" xfId="6489" xr:uid="{CA6159E9-1995-44B8-951D-C6A052983BE5}"/>
    <cellStyle name="Normal 2 14 3 12" xfId="6490" xr:uid="{0459528E-E1C2-4688-86D0-3C2068A15CF8}"/>
    <cellStyle name="Normal 2 14 3 13" xfId="6491" xr:uid="{1F2F42E8-DE44-4E04-A642-41B84B33C417}"/>
    <cellStyle name="Normal 2 14 3 14" xfId="6492" xr:uid="{EB22066C-029D-480A-B400-281D61AA0B0E}"/>
    <cellStyle name="Normal 2 14 3 15" xfId="6493" xr:uid="{4092F63A-4CD1-4E7C-9A24-D56236CECA67}"/>
    <cellStyle name="Normal 2 14 3 16" xfId="6494" xr:uid="{3C3F78B9-FA11-47F2-B5E5-25BA65CC5E67}"/>
    <cellStyle name="Normal 2 14 3 17" xfId="6495" xr:uid="{571CDB52-66FF-4174-ADBD-FC2B742D405B}"/>
    <cellStyle name="Normal 2 14 3 18" xfId="6496" xr:uid="{DC926A4F-A5BB-4BB5-ABC0-FCD57189F574}"/>
    <cellStyle name="Normal 2 14 3 19" xfId="6497" xr:uid="{F151438D-50E9-496A-8CC5-C0CE92CEBF20}"/>
    <cellStyle name="Normal 2 14 3 2" xfId="6498" xr:uid="{F19CF4E7-C120-4DC1-B930-26CDFD3AF29B}"/>
    <cellStyle name="Normal 2 14 3 2 10" xfId="6499" xr:uid="{8E17759A-8D54-48E1-B318-10CA1F892B6D}"/>
    <cellStyle name="Normal 2 14 3 2 11" xfId="6500" xr:uid="{3D441464-6320-4409-ACCB-18B5F8425DAF}"/>
    <cellStyle name="Normal 2 14 3 2 12" xfId="6501" xr:uid="{76F665C6-EEA2-47DB-BEB5-7BE12B9EBAE9}"/>
    <cellStyle name="Normal 2 14 3 2 13" xfId="6502" xr:uid="{82639B37-8BAB-4983-ACB5-E28D885D8C37}"/>
    <cellStyle name="Normal 2 14 3 2 14" xfId="6503" xr:uid="{BFEDEFD7-7A8C-4377-B840-835BF51963C7}"/>
    <cellStyle name="Normal 2 14 3 2 15" xfId="6504" xr:uid="{74EA021D-C5F1-4ED7-A638-25C0B408620B}"/>
    <cellStyle name="Normal 2 14 3 2 16" xfId="6505" xr:uid="{EA200ED0-670F-4363-A303-0FF56D7F20A1}"/>
    <cellStyle name="Normal 2 14 3 2 17" xfId="6506" xr:uid="{1F7D460C-E270-4552-A4C2-715D31CE39AD}"/>
    <cellStyle name="Normal 2 14 3 2 18" xfId="6507" xr:uid="{31F60D95-FFC2-471F-A21A-396EADA4EF5A}"/>
    <cellStyle name="Normal 2 14 3 2 19" xfId="6508" xr:uid="{2D868930-1B78-4288-884D-1E79F574B0E2}"/>
    <cellStyle name="Normal 2 14 3 2 2" xfId="6509" xr:uid="{DDC6C2BF-4D97-4D7E-A61B-1D2F827F918B}"/>
    <cellStyle name="Normal 2 14 3 2 20" xfId="6510" xr:uid="{0A5FE6D0-54AE-4E95-AE50-67F51CBAE91D}"/>
    <cellStyle name="Normal 2 14 3 2 21" xfId="6511" xr:uid="{E6E90E8D-F448-4EE2-B1A2-3A892A60DCA4}"/>
    <cellStyle name="Normal 2 14 3 2 22" xfId="6512" xr:uid="{57817878-9072-4C17-955A-C1E735F4CD5E}"/>
    <cellStyle name="Normal 2 14 3 2 23" xfId="6513" xr:uid="{C6064AB8-DAF0-4694-AE84-7F3BD444BB78}"/>
    <cellStyle name="Normal 2 14 3 2 24" xfId="6514" xr:uid="{5CAB50EB-F8BF-4D22-9AEE-727CEB14BC75}"/>
    <cellStyle name="Normal 2 14 3 2 25" xfId="6515" xr:uid="{72262D31-7DFC-4EBC-9088-E448C7D4B769}"/>
    <cellStyle name="Normal 2 14 3 2 26" xfId="6516" xr:uid="{F2FC1491-44DA-44C5-A417-E55865E08E97}"/>
    <cellStyle name="Normal 2 14 3 2 27" xfId="6517" xr:uid="{47785E82-58AE-4366-9544-7B4FCA8009C5}"/>
    <cellStyle name="Normal 2 14 3 2 28" xfId="6518" xr:uid="{DDE82F14-7E71-4DA3-8F25-7DF26F38863D}"/>
    <cellStyle name="Normal 2 14 3 2 29" xfId="6519" xr:uid="{FE857985-93C8-4DFB-9D96-5204B8424E9D}"/>
    <cellStyle name="Normal 2 14 3 2 3" xfId="6520" xr:uid="{1D880401-CA1D-418C-91B8-EB8EE52EFBEB}"/>
    <cellStyle name="Normal 2 14 3 2 30" xfId="6521" xr:uid="{E7F916C7-86E8-4E77-8893-42F4F9BD0265}"/>
    <cellStyle name="Normal 2 14 3 2 31" xfId="6522" xr:uid="{211B13B2-91F9-40AE-8410-E2A51FCD4533}"/>
    <cellStyle name="Normal 2 14 3 2 32" xfId="6523" xr:uid="{6D3D0ECE-046F-4A40-A6AF-6850F8F42B9E}"/>
    <cellStyle name="Normal 2 14 3 2 33" xfId="6524" xr:uid="{96810F95-01EE-4375-BF96-18996BC6FBDD}"/>
    <cellStyle name="Normal 2 14 3 2 34" xfId="6525" xr:uid="{C6FABD35-CD88-4C28-A44F-6C153C01A9C2}"/>
    <cellStyle name="Normal 2 14 3 2 35" xfId="6526" xr:uid="{7B50D67C-222C-473D-B81F-F7035654D9FC}"/>
    <cellStyle name="Normal 2 14 3 2 36" xfId="6527" xr:uid="{A23963FF-0E3B-464D-BE8B-97C7BB59FC73}"/>
    <cellStyle name="Normal 2 14 3 2 37" xfId="6528" xr:uid="{1DD0BCC1-E5A5-468B-99AA-6D993C9BFAB4}"/>
    <cellStyle name="Normal 2 14 3 2 38" xfId="6529" xr:uid="{C121AEC5-C767-42F1-889D-2211F954698D}"/>
    <cellStyle name="Normal 2 14 3 2 4" xfId="6530" xr:uid="{B0489A2E-6902-4637-BD6C-2A561D542C8B}"/>
    <cellStyle name="Normal 2 14 3 2 5" xfId="6531" xr:uid="{2157EBF7-BD86-4723-9267-D24E44E7233D}"/>
    <cellStyle name="Normal 2 14 3 2 6" xfId="6532" xr:uid="{AE9185CE-9D97-4426-A9BC-A20BA50898BC}"/>
    <cellStyle name="Normal 2 14 3 2 7" xfId="6533" xr:uid="{4F4377AC-7899-4F77-A79D-4A7A4050C023}"/>
    <cellStyle name="Normal 2 14 3 2 8" xfId="6534" xr:uid="{11038739-04C2-4939-B0BD-B9C69104EA77}"/>
    <cellStyle name="Normal 2 14 3 2 9" xfId="6535" xr:uid="{8DBA5436-783A-4353-842C-8A33DD48EF09}"/>
    <cellStyle name="Normal 2 14 3 20" xfId="6536" xr:uid="{DFCC00CF-4720-4BB3-AFC4-A540B5C5481C}"/>
    <cellStyle name="Normal 2 14 3 21" xfId="6537" xr:uid="{ED8CE0DD-5070-488E-B207-7FEB798987B2}"/>
    <cellStyle name="Normal 2 14 3 22" xfId="6538" xr:uid="{48E6FF32-27F5-4B51-A5F9-562D3BE8D834}"/>
    <cellStyle name="Normal 2 14 3 23" xfId="6539" xr:uid="{B9960D16-A167-4EC6-A9CB-2BD5E2ADFFE6}"/>
    <cellStyle name="Normal 2 14 3 24" xfId="6540" xr:uid="{B63BB022-ADEC-4455-BF00-190829A9659F}"/>
    <cellStyle name="Normal 2 14 3 25" xfId="6541" xr:uid="{05B6F6FF-6B51-4DF3-AAC7-CEB52955BA36}"/>
    <cellStyle name="Normal 2 14 3 26" xfId="6542" xr:uid="{D8112D61-0696-4A0C-B99C-468742DC7B12}"/>
    <cellStyle name="Normal 2 14 3 27" xfId="6543" xr:uid="{76D0B3BB-2FAE-483E-A067-1FF1859C54BF}"/>
    <cellStyle name="Normal 2 14 3 28" xfId="6544" xr:uid="{B2377EBA-1700-49F3-BF7A-2708E816D25E}"/>
    <cellStyle name="Normal 2 14 3 29" xfId="6545" xr:uid="{63239A02-8C57-4AA9-9E3B-16B3D85B9C79}"/>
    <cellStyle name="Normal 2 14 3 3" xfId="6546" xr:uid="{A7D37C8C-436E-4CCD-A9E9-7A84BCACF923}"/>
    <cellStyle name="Normal 2 14 3 30" xfId="6547" xr:uid="{44A1E999-D612-4344-9075-DA4DF8C8535B}"/>
    <cellStyle name="Normal 2 14 3 31" xfId="6548" xr:uid="{82E7DFB5-5E2E-45E1-B545-10F290305449}"/>
    <cellStyle name="Normal 2 14 3 32" xfId="6549" xr:uid="{B914E694-EDDC-44BA-A8D7-A61B61333EDB}"/>
    <cellStyle name="Normal 2 14 3 33" xfId="6550" xr:uid="{F71907BB-AF9F-4764-8560-4E46E9C8260A}"/>
    <cellStyle name="Normal 2 14 3 34" xfId="6551" xr:uid="{66E51EB3-C350-4F87-920C-B9C04F9B50F0}"/>
    <cellStyle name="Normal 2 14 3 35" xfId="6552" xr:uid="{8DB175A4-4B76-4392-9417-25D3E9E01BAB}"/>
    <cellStyle name="Normal 2 14 3 36" xfId="6553" xr:uid="{E3AF4A75-33CC-42C4-A06D-54B613A70174}"/>
    <cellStyle name="Normal 2 14 3 37" xfId="6554" xr:uid="{0C9AA9CB-56ED-4AFC-A328-9CDA439AA4DF}"/>
    <cellStyle name="Normal 2 14 3 38" xfId="6555" xr:uid="{BD1BD57A-EC27-46B8-9FA1-50683F728947}"/>
    <cellStyle name="Normal 2 14 3 4" xfId="6556" xr:uid="{2CAA20BC-18DB-4425-BAC1-90DAD3537178}"/>
    <cellStyle name="Normal 2 14 3 5" xfId="6557" xr:uid="{E9AC5600-B453-4200-B3D9-39C9E9C9F333}"/>
    <cellStyle name="Normal 2 14 3 6" xfId="6558" xr:uid="{1AAB07C5-3D9A-4446-B06F-E28FE80C7FC3}"/>
    <cellStyle name="Normal 2 14 3 7" xfId="6559" xr:uid="{3BD468D1-D1E6-41B1-AB54-01C7DFB7F2AD}"/>
    <cellStyle name="Normal 2 14 3 8" xfId="6560" xr:uid="{3CC4C26F-61D9-448B-9D85-06C2F28E9E9C}"/>
    <cellStyle name="Normal 2 14 3 9" xfId="6561" xr:uid="{6CE1B358-BDE8-4295-98C4-68182CAC70AC}"/>
    <cellStyle name="Normal 2 14 30" xfId="6562" xr:uid="{7CD4D90E-60BA-417B-9219-B4843D9B7A78}"/>
    <cellStyle name="Normal 2 14 31" xfId="6563" xr:uid="{09E511BB-CB35-4C41-8ACD-220FF3AFDA55}"/>
    <cellStyle name="Normal 2 14 32" xfId="6564" xr:uid="{655ED9AB-7057-419E-ADE0-1B11D20241ED}"/>
    <cellStyle name="Normal 2 14 33" xfId="6565" xr:uid="{E9E92F8F-3593-45F6-A36E-0CF157F902B8}"/>
    <cellStyle name="Normal 2 14 34" xfId="6566" xr:uid="{AF0FE686-137D-42B1-94A5-418565F38495}"/>
    <cellStyle name="Normal 2 14 35" xfId="6567" xr:uid="{634D41E5-B52D-44F2-954E-EB3C4EB9861E}"/>
    <cellStyle name="Normal 2 14 36" xfId="6568" xr:uid="{5D17E26F-6CA8-41E1-9579-95466D0A5E83}"/>
    <cellStyle name="Normal 2 14 37" xfId="6569" xr:uid="{7492784A-D66B-496A-858F-42F13A76E530}"/>
    <cellStyle name="Normal 2 14 38" xfId="6570" xr:uid="{E5D3D435-7B07-411A-943E-B77F19166AAA}"/>
    <cellStyle name="Normal 2 14 39" xfId="6571" xr:uid="{20D179F9-7F07-40A0-8AA0-BC06321EF3D0}"/>
    <cellStyle name="Normal 2 14 4" xfId="6572" xr:uid="{8CF05601-9B90-48E0-A9F4-2F244FDB2BE1}"/>
    <cellStyle name="Normal 2 14 40" xfId="6573" xr:uid="{2F4170F1-AF12-46CA-A323-873F3BD7A1DF}"/>
    <cellStyle name="Normal 2 14 5" xfId="6574" xr:uid="{15378390-B07E-4FA2-BC27-0EC52E2A07D0}"/>
    <cellStyle name="Normal 2 14 6" xfId="6575" xr:uid="{695A2334-E265-4B6E-87C2-12B0CC067CF8}"/>
    <cellStyle name="Normal 2 14 7" xfId="6576" xr:uid="{EDAF8552-D721-443D-A859-B3267EF3214F}"/>
    <cellStyle name="Normal 2 14 8" xfId="6577" xr:uid="{EF07120D-017A-41F4-AEBC-BF2BA4AFE651}"/>
    <cellStyle name="Normal 2 14 9" xfId="6578" xr:uid="{A6598D70-6CDC-4C91-93BA-7DBA5FEA003C}"/>
    <cellStyle name="Normal 2 15" xfId="6579" xr:uid="{03406DF6-86A9-4EA3-856F-C1A934ECBAE9}"/>
    <cellStyle name="Normal 2 15 10" xfId="6580" xr:uid="{9B23F2C2-B683-44F7-B785-424868844971}"/>
    <cellStyle name="Normal 2 15 11" xfId="6581" xr:uid="{4068818E-440B-45D4-8F17-41375EE20C67}"/>
    <cellStyle name="Normal 2 15 12" xfId="6582" xr:uid="{DD320627-206A-4871-A024-0CE7C4B7BE24}"/>
    <cellStyle name="Normal 2 15 13" xfId="6583" xr:uid="{326D3424-27E5-4A8B-ADCA-EC134D17B003}"/>
    <cellStyle name="Normal 2 15 14" xfId="6584" xr:uid="{430E3250-F57E-469F-B0E9-4749835471A1}"/>
    <cellStyle name="Normal 2 15 15" xfId="6585" xr:uid="{ECFD609F-374E-4E15-800F-37E8ABB08B9A}"/>
    <cellStyle name="Normal 2 15 16" xfId="6586" xr:uid="{66B2D79A-1254-45D8-A368-5754EDF61BB8}"/>
    <cellStyle name="Normal 2 15 17" xfId="6587" xr:uid="{7933D6D5-A81C-46CC-B80D-59C18F67F434}"/>
    <cellStyle name="Normal 2 15 18" xfId="6588" xr:uid="{AFFE6C56-A63F-4F96-AD6A-F114C55DAC16}"/>
    <cellStyle name="Normal 2 15 19" xfId="6589" xr:uid="{D5A1588E-C1F8-4A2E-973C-B69BF652CA22}"/>
    <cellStyle name="Normal 2 15 2" xfId="6590" xr:uid="{729F59C4-6C15-4E9A-8650-07FAD27210A4}"/>
    <cellStyle name="Normal 2 15 2 10" xfId="6591" xr:uid="{1F33BE45-8FA7-4BCE-9CF5-9B3C65604A85}"/>
    <cellStyle name="Normal 2 15 2 11" xfId="6592" xr:uid="{BDE2BB0F-31CA-4DE6-9854-6A4E7335AC75}"/>
    <cellStyle name="Normal 2 15 2 12" xfId="6593" xr:uid="{8BC8011D-016C-40EC-9E89-A45BEEC3B7BE}"/>
    <cellStyle name="Normal 2 15 2 13" xfId="6594" xr:uid="{975BC168-04CB-4543-8994-0E535F22114F}"/>
    <cellStyle name="Normal 2 15 2 14" xfId="6595" xr:uid="{71EC7586-4524-4A42-BACF-7BE9B25B461E}"/>
    <cellStyle name="Normal 2 15 2 15" xfId="6596" xr:uid="{42012868-E0F8-4880-8705-7DF9A3AF7C51}"/>
    <cellStyle name="Normal 2 15 2 16" xfId="6597" xr:uid="{51BC94B6-D3D3-4AE4-B1C6-E1B3618E0357}"/>
    <cellStyle name="Normal 2 15 2 17" xfId="6598" xr:uid="{1500B9C3-7D76-4792-81C7-8ABC4B199CE2}"/>
    <cellStyle name="Normal 2 15 2 18" xfId="6599" xr:uid="{87AD1E11-4C05-4E52-B07E-09BE7075A897}"/>
    <cellStyle name="Normal 2 15 2 19" xfId="6600" xr:uid="{BB839718-7614-40DB-AC2F-CE34A8C176D7}"/>
    <cellStyle name="Normal 2 15 2 2" xfId="6601" xr:uid="{C13C7110-BC83-4933-8415-2A827420D0A7}"/>
    <cellStyle name="Normal 2 15 2 2 10" xfId="6602" xr:uid="{6AC93005-4D86-4620-80B4-F280DDF2407D}"/>
    <cellStyle name="Normal 2 15 2 2 11" xfId="6603" xr:uid="{2F3D0BB5-5CE1-48B3-9336-3EF97CFC47C2}"/>
    <cellStyle name="Normal 2 15 2 2 12" xfId="6604" xr:uid="{1F3E8230-C0CF-4D2A-889A-7DDDE9FB0B28}"/>
    <cellStyle name="Normal 2 15 2 2 13" xfId="6605" xr:uid="{14A9054F-BF17-4923-972E-3623653E57DA}"/>
    <cellStyle name="Normal 2 15 2 2 14" xfId="6606" xr:uid="{25478E66-1D77-4234-9A18-AF429A7A4C61}"/>
    <cellStyle name="Normal 2 15 2 2 15" xfId="6607" xr:uid="{50295B14-AC28-4D48-B804-2ED5573C7596}"/>
    <cellStyle name="Normal 2 15 2 2 16" xfId="6608" xr:uid="{50799406-997E-4383-8DB4-B8D1C64A8F1F}"/>
    <cellStyle name="Normal 2 15 2 2 17" xfId="6609" xr:uid="{745395DC-A7EC-4D78-A9FE-217D4F5F8BED}"/>
    <cellStyle name="Normal 2 15 2 2 18" xfId="6610" xr:uid="{7382413B-051F-405F-8555-354CF5FFC68D}"/>
    <cellStyle name="Normal 2 15 2 2 19" xfId="6611" xr:uid="{1A6B7A70-DE65-46E7-ABD5-44CB568D0E40}"/>
    <cellStyle name="Normal 2 15 2 2 2" xfId="6612" xr:uid="{BF3DB849-BD8B-4BD0-BC4C-FB91CB7DAEBE}"/>
    <cellStyle name="Normal 2 15 2 2 2 10" xfId="6613" xr:uid="{BC0376F4-6577-42D4-B641-290C037A1897}"/>
    <cellStyle name="Normal 2 15 2 2 2 11" xfId="6614" xr:uid="{E090ADE0-02A1-4E95-9596-DB810B717FB6}"/>
    <cellStyle name="Normal 2 15 2 2 2 12" xfId="6615" xr:uid="{15124EA4-A983-456D-BC3B-129D8E2404EA}"/>
    <cellStyle name="Normal 2 15 2 2 2 13" xfId="6616" xr:uid="{DBC3F6FE-A56F-44A8-ADD5-A93E6AE650B2}"/>
    <cellStyle name="Normal 2 15 2 2 2 14" xfId="6617" xr:uid="{50DEA722-0A99-4B0C-A62F-FB4617925984}"/>
    <cellStyle name="Normal 2 15 2 2 2 15" xfId="6618" xr:uid="{286EA01C-8477-44D7-90B8-76BF5ECF9C98}"/>
    <cellStyle name="Normal 2 15 2 2 2 16" xfId="6619" xr:uid="{E1B079AD-370D-43FC-8434-2F18885C4228}"/>
    <cellStyle name="Normal 2 15 2 2 2 17" xfId="6620" xr:uid="{A7D42A3B-A48D-4F39-8B9B-D4D4F0DA610D}"/>
    <cellStyle name="Normal 2 15 2 2 2 18" xfId="6621" xr:uid="{0F27FAE3-7135-44E7-A6C8-03AB82040EC4}"/>
    <cellStyle name="Normal 2 15 2 2 2 19" xfId="6622" xr:uid="{1EA4C0F9-E771-4965-B01D-83554AAD1B56}"/>
    <cellStyle name="Normal 2 15 2 2 2 2" xfId="6623" xr:uid="{8B7659CC-8C19-4303-920A-6E6EE44A2DB0}"/>
    <cellStyle name="Normal 2 15 2 2 2 20" xfId="6624" xr:uid="{0F3D5805-A636-40A4-8B53-37638ECB6D43}"/>
    <cellStyle name="Normal 2 15 2 2 2 21" xfId="6625" xr:uid="{1D935197-2E42-49DC-A263-DA04BF8C3E17}"/>
    <cellStyle name="Normal 2 15 2 2 2 22" xfId="6626" xr:uid="{017EDD77-97A7-479D-8BE0-F72EC0A03E41}"/>
    <cellStyle name="Normal 2 15 2 2 2 23" xfId="6627" xr:uid="{2D12C8A4-6369-429D-AC59-D4AC5C797428}"/>
    <cellStyle name="Normal 2 15 2 2 2 24" xfId="6628" xr:uid="{5B94E5A6-93B7-4942-A8BE-E87ED3B21053}"/>
    <cellStyle name="Normal 2 15 2 2 2 25" xfId="6629" xr:uid="{4D633B18-4409-4480-9EF8-8CE896F9C831}"/>
    <cellStyle name="Normal 2 15 2 2 2 26" xfId="6630" xr:uid="{E21AADB4-2308-444B-9623-D50929E1C71C}"/>
    <cellStyle name="Normal 2 15 2 2 2 27" xfId="6631" xr:uid="{C8623143-B79E-42A1-8B97-08DDD43E10D0}"/>
    <cellStyle name="Normal 2 15 2 2 2 28" xfId="6632" xr:uid="{CDD664B3-9551-4FA4-B6E1-B56CE5F0A8BF}"/>
    <cellStyle name="Normal 2 15 2 2 2 29" xfId="6633" xr:uid="{84240C82-CC2F-4FB2-B7C7-EB2CC340525F}"/>
    <cellStyle name="Normal 2 15 2 2 2 3" xfId="6634" xr:uid="{B5BC48B9-54F5-4072-8901-6A3610B94017}"/>
    <cellStyle name="Normal 2 15 2 2 2 30" xfId="6635" xr:uid="{8C3D2695-B388-4FA3-A46C-78499E923D73}"/>
    <cellStyle name="Normal 2 15 2 2 2 31" xfId="6636" xr:uid="{EB280055-35D1-4F8D-8652-0FB8A907F363}"/>
    <cellStyle name="Normal 2 15 2 2 2 32" xfId="6637" xr:uid="{75916433-1158-4E82-B59D-4F944CD65AF3}"/>
    <cellStyle name="Normal 2 15 2 2 2 33" xfId="6638" xr:uid="{319A366D-CB09-47C1-896F-F44596DDABED}"/>
    <cellStyle name="Normal 2 15 2 2 2 34" xfId="6639" xr:uid="{1BB7747F-7CF5-4D3C-96B6-FADDDC6E2AD8}"/>
    <cellStyle name="Normal 2 15 2 2 2 35" xfId="6640" xr:uid="{7EFEF6A4-9842-4239-832D-894D27A490DC}"/>
    <cellStyle name="Normal 2 15 2 2 2 36" xfId="6641" xr:uid="{5A97CC8C-C291-47AD-8532-D6A0F045F28A}"/>
    <cellStyle name="Normal 2 15 2 2 2 37" xfId="6642" xr:uid="{B3A78A9E-2038-4DC5-8A65-2F37D3FC2F08}"/>
    <cellStyle name="Normal 2 15 2 2 2 38" xfId="6643" xr:uid="{8CB18531-52AF-4AF7-B681-2E19ED1710D4}"/>
    <cellStyle name="Normal 2 15 2 2 2 4" xfId="6644" xr:uid="{BD1E8B9F-48C4-4288-9915-986FB46C85CC}"/>
    <cellStyle name="Normal 2 15 2 2 2 5" xfId="6645" xr:uid="{C77A20BC-9294-4F65-93D6-80349445B5B6}"/>
    <cellStyle name="Normal 2 15 2 2 2 6" xfId="6646" xr:uid="{82661F04-0261-4786-881F-640EF53B87E6}"/>
    <cellStyle name="Normal 2 15 2 2 2 7" xfId="6647" xr:uid="{5E04A3DF-C6D9-44B6-8CF7-7B87FD657850}"/>
    <cellStyle name="Normal 2 15 2 2 2 8" xfId="6648" xr:uid="{4DC19EC5-323B-4AB5-8A2C-4D7560F05123}"/>
    <cellStyle name="Normal 2 15 2 2 2 9" xfId="6649" xr:uid="{A602CE22-5D74-4DF2-9D29-AFFBC56687FF}"/>
    <cellStyle name="Normal 2 15 2 2 20" xfId="6650" xr:uid="{FA983AA3-8055-4E8D-AA96-86DA87CA2BAF}"/>
    <cellStyle name="Normal 2 15 2 2 21" xfId="6651" xr:uid="{CBCA7884-ED8D-4371-9876-F4051F56079A}"/>
    <cellStyle name="Normal 2 15 2 2 22" xfId="6652" xr:uid="{BF6B50C3-9BE4-4109-8F4D-A3884B19DE30}"/>
    <cellStyle name="Normal 2 15 2 2 23" xfId="6653" xr:uid="{A6AF36B3-5D47-43CB-8C59-7403DEBE0C8F}"/>
    <cellStyle name="Normal 2 15 2 2 24" xfId="6654" xr:uid="{CD3F768A-3477-494F-BFC2-1182910D6594}"/>
    <cellStyle name="Normal 2 15 2 2 25" xfId="6655" xr:uid="{5371F845-9E25-4D2E-91A3-287DDFBD225F}"/>
    <cellStyle name="Normal 2 15 2 2 26" xfId="6656" xr:uid="{EEC992C5-636C-46D9-99CC-D5F9083656EB}"/>
    <cellStyle name="Normal 2 15 2 2 27" xfId="6657" xr:uid="{AF259D20-D8C0-4EFF-B38C-B65B9F13007D}"/>
    <cellStyle name="Normal 2 15 2 2 28" xfId="6658" xr:uid="{6D3081CA-77D8-48C9-ADFB-841BDCBA96C7}"/>
    <cellStyle name="Normal 2 15 2 2 29" xfId="6659" xr:uid="{243A62BC-79D8-4D2E-9E99-7805D395A81F}"/>
    <cellStyle name="Normal 2 15 2 2 3" xfId="6660" xr:uid="{DB9DDC8B-EFF5-4D46-97C0-476370F9F66D}"/>
    <cellStyle name="Normal 2 15 2 2 30" xfId="6661" xr:uid="{C415FC2D-F3EA-4EF5-B18B-19B7FDFA5D7E}"/>
    <cellStyle name="Normal 2 15 2 2 31" xfId="6662" xr:uid="{5939802C-F042-4D18-9B84-C0AA80C6345B}"/>
    <cellStyle name="Normal 2 15 2 2 32" xfId="6663" xr:uid="{BA8F81BA-6721-4179-90E5-D467D777ACAD}"/>
    <cellStyle name="Normal 2 15 2 2 33" xfId="6664" xr:uid="{2AB1640B-2BBD-4C0C-87FA-911EB17674E9}"/>
    <cellStyle name="Normal 2 15 2 2 34" xfId="6665" xr:uid="{F6D53720-6CFB-45FE-BB2C-093AC2A8EE29}"/>
    <cellStyle name="Normal 2 15 2 2 35" xfId="6666" xr:uid="{20E62ACE-5495-422F-BEC5-90DB69CE127F}"/>
    <cellStyle name="Normal 2 15 2 2 36" xfId="6667" xr:uid="{6EB0BE76-DFFA-4DB7-B136-5F26657CC419}"/>
    <cellStyle name="Normal 2 15 2 2 37" xfId="6668" xr:uid="{38197BBE-5050-48F4-B0AC-AE2D1EC93E9B}"/>
    <cellStyle name="Normal 2 15 2 2 38" xfId="6669" xr:uid="{7F1CB059-4CD3-4160-AB8A-E57C4B2A4391}"/>
    <cellStyle name="Normal 2 15 2 2 4" xfId="6670" xr:uid="{61524084-400C-40E4-9444-56044A3B1CE3}"/>
    <cellStyle name="Normal 2 15 2 2 5" xfId="6671" xr:uid="{99612E26-BD77-4EF8-A659-D27727AA20B5}"/>
    <cellStyle name="Normal 2 15 2 2 6" xfId="6672" xr:uid="{905FBC4E-D14D-4EA0-8BFF-B38BFE1B596D}"/>
    <cellStyle name="Normal 2 15 2 2 7" xfId="6673" xr:uid="{192FC750-23B5-43EF-B06A-BD9DBC8D0315}"/>
    <cellStyle name="Normal 2 15 2 2 8" xfId="6674" xr:uid="{88B4B72B-482D-4D60-B9FB-84AA38AC93E1}"/>
    <cellStyle name="Normal 2 15 2 2 9" xfId="6675" xr:uid="{C6080990-BC4C-4CFB-A6D8-22C7AD79E57D}"/>
    <cellStyle name="Normal 2 15 2 20" xfId="6676" xr:uid="{69F1ED22-450C-428B-B38A-8D5D6D26CBCC}"/>
    <cellStyle name="Normal 2 15 2 21" xfId="6677" xr:uid="{89F1BFA8-752A-4DCE-99A3-80D003861DC2}"/>
    <cellStyle name="Normal 2 15 2 22" xfId="6678" xr:uid="{066D8854-53E9-40FD-A511-0B22466D2003}"/>
    <cellStyle name="Normal 2 15 2 23" xfId="6679" xr:uid="{D9743D5F-3C06-4F7B-93C3-E5178758B4B7}"/>
    <cellStyle name="Normal 2 15 2 24" xfId="6680" xr:uid="{24E7BD93-B969-46BA-989F-D743F39F1552}"/>
    <cellStyle name="Normal 2 15 2 25" xfId="6681" xr:uid="{2880A67A-2FD2-4952-AE3D-E12C54250DC6}"/>
    <cellStyle name="Normal 2 15 2 26" xfId="6682" xr:uid="{089D846C-A046-4C0B-AAE9-B8BF122FA5A0}"/>
    <cellStyle name="Normal 2 15 2 27" xfId="6683" xr:uid="{D2125A0D-082B-41F0-928C-7D6732D8E6D8}"/>
    <cellStyle name="Normal 2 15 2 28" xfId="6684" xr:uid="{C67EEB89-93EA-44DD-8688-54FDE3EFCB7A}"/>
    <cellStyle name="Normal 2 15 2 29" xfId="6685" xr:uid="{9CC434FF-DDB2-43E9-A20A-0A1AFABE73A7}"/>
    <cellStyle name="Normal 2 15 2 3" xfId="6686" xr:uid="{356A381A-FEB0-4AAB-98FB-C3F5D6DA7FAA}"/>
    <cellStyle name="Normal 2 15 2 30" xfId="6687" xr:uid="{DC950BD7-C7C9-440C-9A7F-1C6A2136F43A}"/>
    <cellStyle name="Normal 2 15 2 31" xfId="6688" xr:uid="{3CB3C888-5196-4F5B-951D-CC2550641FA3}"/>
    <cellStyle name="Normal 2 15 2 32" xfId="6689" xr:uid="{A36EAC54-2077-468B-A47B-A50CB12B6203}"/>
    <cellStyle name="Normal 2 15 2 33" xfId="6690" xr:uid="{BD3CFB91-3A55-4EBB-A9FD-C13575941762}"/>
    <cellStyle name="Normal 2 15 2 34" xfId="6691" xr:uid="{09103233-E51E-40C0-B41D-B003329A2531}"/>
    <cellStyle name="Normal 2 15 2 35" xfId="6692" xr:uid="{FBBA73B8-A4F6-4C50-A4E4-6EF959F59328}"/>
    <cellStyle name="Normal 2 15 2 36" xfId="6693" xr:uid="{55A106C2-BB0F-4536-BEA4-84C61C73E4A0}"/>
    <cellStyle name="Normal 2 15 2 37" xfId="6694" xr:uid="{CD8D7A26-128C-42A4-A3E9-827C86DBB7B0}"/>
    <cellStyle name="Normal 2 15 2 38" xfId="6695" xr:uid="{EE97D537-7905-4ADA-BC8A-DE3A92E5F1C1}"/>
    <cellStyle name="Normal 2 15 2 39" xfId="6696" xr:uid="{BCFC0773-5EF0-495B-9D22-489AAA751C31}"/>
    <cellStyle name="Normal 2 15 2 4" xfId="6697" xr:uid="{37C237E0-7131-4141-B2E4-0595F93A213B}"/>
    <cellStyle name="Normal 2 15 2 40" xfId="6698" xr:uid="{0106F017-EEAB-4B1E-B0EA-58FD472A37E5}"/>
    <cellStyle name="Normal 2 15 2 5" xfId="6699" xr:uid="{860578E9-0000-433C-98C5-CA7EB7CA5658}"/>
    <cellStyle name="Normal 2 15 2 6" xfId="6700" xr:uid="{480B3D3C-C1EA-45F2-A0A8-2CA4617D2A44}"/>
    <cellStyle name="Normal 2 15 2 7" xfId="6701" xr:uid="{4E680949-B50B-4E03-BB8B-DCF5E76A5170}"/>
    <cellStyle name="Normal 2 15 2 8" xfId="6702" xr:uid="{C7BBBEDE-5FD0-4EC8-82C2-C14F0B765CCC}"/>
    <cellStyle name="Normal 2 15 2 9" xfId="6703" xr:uid="{D87B3AA3-F980-4426-AC14-605424281ED5}"/>
    <cellStyle name="Normal 2 15 20" xfId="6704" xr:uid="{BB60E6EE-0F61-4025-8620-69F55EEDACED}"/>
    <cellStyle name="Normal 2 15 21" xfId="6705" xr:uid="{3A1ED9B7-E2A2-418D-95B9-35FD1551ABC7}"/>
    <cellStyle name="Normal 2 15 22" xfId="6706" xr:uid="{7920D935-E9EF-42B1-9859-07CB39F70122}"/>
    <cellStyle name="Normal 2 15 23" xfId="6707" xr:uid="{C1E39F0F-C5A0-44EA-B011-8DC7F3D1C57F}"/>
    <cellStyle name="Normal 2 15 24" xfId="6708" xr:uid="{49A9D442-30CE-4156-83E4-8D41CC816655}"/>
    <cellStyle name="Normal 2 15 25" xfId="6709" xr:uid="{C3C9C996-CE1F-4FBB-AE32-2B25D64A55AB}"/>
    <cellStyle name="Normal 2 15 26" xfId="6710" xr:uid="{C1C9E00C-D2F8-44CC-B352-3B489F26590C}"/>
    <cellStyle name="Normal 2 15 27" xfId="6711" xr:uid="{8C945B09-E14F-4F64-BCD8-6C48B3FA8A5D}"/>
    <cellStyle name="Normal 2 15 28" xfId="6712" xr:uid="{F8DF4D42-B1D7-41F3-83DE-BDB3A4EF1EC2}"/>
    <cellStyle name="Normal 2 15 29" xfId="6713" xr:uid="{03C01FA6-202F-46A3-93A1-D45C7BBF8D72}"/>
    <cellStyle name="Normal 2 15 3" xfId="6714" xr:uid="{E93DA1AB-5AA1-4250-9DCF-D02E3CBF00D6}"/>
    <cellStyle name="Normal 2 15 3 10" xfId="6715" xr:uid="{5FCED15D-A0E7-49A6-941C-1719AC739ED1}"/>
    <cellStyle name="Normal 2 15 3 11" xfId="6716" xr:uid="{D3B267ED-0E12-4602-ACA4-83C909BB1B0C}"/>
    <cellStyle name="Normal 2 15 3 12" xfId="6717" xr:uid="{5354C351-C938-4F7F-A839-BA10E2801A5C}"/>
    <cellStyle name="Normal 2 15 3 13" xfId="6718" xr:uid="{F2933573-5BC7-4BED-B5AB-3FB1331E683A}"/>
    <cellStyle name="Normal 2 15 3 14" xfId="6719" xr:uid="{22EF2F4A-7745-4131-B487-00FD63DBFE25}"/>
    <cellStyle name="Normal 2 15 3 15" xfId="6720" xr:uid="{0C949903-AB52-4E22-88A3-0605992890D7}"/>
    <cellStyle name="Normal 2 15 3 16" xfId="6721" xr:uid="{D01FB6B8-E7BE-4822-80FC-9F4D5433D1C2}"/>
    <cellStyle name="Normal 2 15 3 17" xfId="6722" xr:uid="{E5EEBE7D-1343-4C5E-9B38-B2EC3B95EBC8}"/>
    <cellStyle name="Normal 2 15 3 18" xfId="6723" xr:uid="{502119F3-B335-4002-8A03-D819C0194BAD}"/>
    <cellStyle name="Normal 2 15 3 19" xfId="6724" xr:uid="{868D6E62-A19E-4E70-99CD-39D52707701F}"/>
    <cellStyle name="Normal 2 15 3 2" xfId="6725" xr:uid="{42D9E312-9C7A-4CF4-8C4D-0CD9190A6729}"/>
    <cellStyle name="Normal 2 15 3 2 10" xfId="6726" xr:uid="{76B4890E-7403-4A0D-AB0F-2B7DB13139A7}"/>
    <cellStyle name="Normal 2 15 3 2 11" xfId="6727" xr:uid="{A1DA586B-6863-467E-B157-4E8917A0BC44}"/>
    <cellStyle name="Normal 2 15 3 2 12" xfId="6728" xr:uid="{0118600D-4AA3-4326-AAE8-155D54D5F655}"/>
    <cellStyle name="Normal 2 15 3 2 13" xfId="6729" xr:uid="{767523EF-3ABA-4BA2-9ABB-CC598C7E990F}"/>
    <cellStyle name="Normal 2 15 3 2 14" xfId="6730" xr:uid="{AB7A887D-8880-44EA-B19F-4B50A67B45E1}"/>
    <cellStyle name="Normal 2 15 3 2 15" xfId="6731" xr:uid="{DD09AA2D-8106-4B43-9530-E9625F603876}"/>
    <cellStyle name="Normal 2 15 3 2 16" xfId="6732" xr:uid="{BFD962BE-071D-4E35-9D1C-3D81A5A3870B}"/>
    <cellStyle name="Normal 2 15 3 2 17" xfId="6733" xr:uid="{84D8467D-62AB-4A77-A2F4-29387F27276F}"/>
    <cellStyle name="Normal 2 15 3 2 18" xfId="6734" xr:uid="{01AA87B0-E1AC-4FD5-8190-AC8BAC756547}"/>
    <cellStyle name="Normal 2 15 3 2 19" xfId="6735" xr:uid="{67A500EB-2906-439B-AD5A-5B7F645E969F}"/>
    <cellStyle name="Normal 2 15 3 2 2" xfId="6736" xr:uid="{BFCFBDFE-8B7D-40B1-8FBF-000895AE019B}"/>
    <cellStyle name="Normal 2 15 3 2 20" xfId="6737" xr:uid="{48A3CB9F-119F-430A-9A71-A4FA25AF1E57}"/>
    <cellStyle name="Normal 2 15 3 2 21" xfId="6738" xr:uid="{8081E122-1A23-4A6D-8EA4-A78EFC9DFFF5}"/>
    <cellStyle name="Normal 2 15 3 2 22" xfId="6739" xr:uid="{9C39FD83-0079-451B-BE87-94EF3FD11B93}"/>
    <cellStyle name="Normal 2 15 3 2 23" xfId="6740" xr:uid="{A05DA323-A9CB-432B-B6CA-4DA8CC89E02B}"/>
    <cellStyle name="Normal 2 15 3 2 24" xfId="6741" xr:uid="{33B87B89-2348-45D0-AECF-ADE64F97204E}"/>
    <cellStyle name="Normal 2 15 3 2 25" xfId="6742" xr:uid="{5BDF9551-0810-414E-816E-D21A8486AC2A}"/>
    <cellStyle name="Normal 2 15 3 2 26" xfId="6743" xr:uid="{59239D6A-ABA1-47EB-A9C9-834407A8E94F}"/>
    <cellStyle name="Normal 2 15 3 2 27" xfId="6744" xr:uid="{637BB97A-D5AF-4D8E-B7B2-5C72448B0677}"/>
    <cellStyle name="Normal 2 15 3 2 28" xfId="6745" xr:uid="{6770883B-36FB-4260-A89C-FCE4E472CB76}"/>
    <cellStyle name="Normal 2 15 3 2 29" xfId="6746" xr:uid="{C869A75C-CE98-48A3-9E4E-F7D01B912E69}"/>
    <cellStyle name="Normal 2 15 3 2 3" xfId="6747" xr:uid="{1A6B8E7C-D860-4C04-A20F-1666CC64336D}"/>
    <cellStyle name="Normal 2 15 3 2 30" xfId="6748" xr:uid="{ABB99FDB-4E93-4468-B303-CB9EF4C7CABE}"/>
    <cellStyle name="Normal 2 15 3 2 31" xfId="6749" xr:uid="{1793197F-F742-4199-A041-C6BB921ECDB2}"/>
    <cellStyle name="Normal 2 15 3 2 32" xfId="6750" xr:uid="{3789E2C6-5F50-4C54-9C0B-5CBD7C86A182}"/>
    <cellStyle name="Normal 2 15 3 2 33" xfId="6751" xr:uid="{2A8C6D84-F312-48E3-8554-6106CE75723F}"/>
    <cellStyle name="Normal 2 15 3 2 34" xfId="6752" xr:uid="{CB025739-C1FE-4F9B-979B-C56614892A15}"/>
    <cellStyle name="Normal 2 15 3 2 35" xfId="6753" xr:uid="{C0542B21-A2DC-403E-83DE-36DF637C0DE4}"/>
    <cellStyle name="Normal 2 15 3 2 36" xfId="6754" xr:uid="{8A72CAE7-F467-41E0-983D-C7B185110057}"/>
    <cellStyle name="Normal 2 15 3 2 37" xfId="6755" xr:uid="{D48A88E2-3B51-4538-A6F8-BF62D6ED5921}"/>
    <cellStyle name="Normal 2 15 3 2 38" xfId="6756" xr:uid="{99B17CED-EC18-4F1B-8B91-F66F84840C50}"/>
    <cellStyle name="Normal 2 15 3 2 4" xfId="6757" xr:uid="{80924366-CA67-417C-A0DD-B874B2021E41}"/>
    <cellStyle name="Normal 2 15 3 2 5" xfId="6758" xr:uid="{A1D6DCAF-F18B-4AD4-8EB2-AE6459F8DDF9}"/>
    <cellStyle name="Normal 2 15 3 2 6" xfId="6759" xr:uid="{E76568F9-8844-424C-B810-3146DC4A74ED}"/>
    <cellStyle name="Normal 2 15 3 2 7" xfId="6760" xr:uid="{58A35DF3-966F-4A34-A5DD-8FCFDDE8B70F}"/>
    <cellStyle name="Normal 2 15 3 2 8" xfId="6761" xr:uid="{57BE191C-8D8F-4E5F-AAB0-3B07C9BECE14}"/>
    <cellStyle name="Normal 2 15 3 2 9" xfId="6762" xr:uid="{2CB5D39E-0099-47D4-B8CD-3C085CE0E09B}"/>
    <cellStyle name="Normal 2 15 3 20" xfId="6763" xr:uid="{AD24C8E1-DE3F-4997-A025-559E035DB657}"/>
    <cellStyle name="Normal 2 15 3 21" xfId="6764" xr:uid="{17EAA7F7-83B2-4FA8-8475-84C053EB8A32}"/>
    <cellStyle name="Normal 2 15 3 22" xfId="6765" xr:uid="{E0C37317-99EC-491D-993F-FF0CEF11E17C}"/>
    <cellStyle name="Normal 2 15 3 23" xfId="6766" xr:uid="{B6B6CA7F-AAE3-4D04-8080-923CCCEEC2B9}"/>
    <cellStyle name="Normal 2 15 3 24" xfId="6767" xr:uid="{C74D6DF6-1E76-442E-918A-22EA100B8FDA}"/>
    <cellStyle name="Normal 2 15 3 25" xfId="6768" xr:uid="{E423F9CB-931F-4CA2-BB22-5F05914D575A}"/>
    <cellStyle name="Normal 2 15 3 26" xfId="6769" xr:uid="{54182710-0C8E-46A8-8DF4-E83D9FFD5977}"/>
    <cellStyle name="Normal 2 15 3 27" xfId="6770" xr:uid="{7B6A231E-9F4F-4A4F-A205-3A569C4FEE74}"/>
    <cellStyle name="Normal 2 15 3 28" xfId="6771" xr:uid="{426149F7-BFAA-48D7-9445-B3F4D71EDBC1}"/>
    <cellStyle name="Normal 2 15 3 29" xfId="6772" xr:uid="{4E4F4DF1-4E13-4A66-8B7C-C3E67ED08953}"/>
    <cellStyle name="Normal 2 15 3 3" xfId="6773" xr:uid="{B85A1882-02C7-4A0E-B7C7-50A163024CF2}"/>
    <cellStyle name="Normal 2 15 3 30" xfId="6774" xr:uid="{7435D713-B6F8-4A22-97EC-476E0068A4A0}"/>
    <cellStyle name="Normal 2 15 3 31" xfId="6775" xr:uid="{E8239739-5EFA-471A-8DAE-3D948AA1D552}"/>
    <cellStyle name="Normal 2 15 3 32" xfId="6776" xr:uid="{F3C1E5A9-6B12-457F-BD6F-0BCEB5978B24}"/>
    <cellStyle name="Normal 2 15 3 33" xfId="6777" xr:uid="{E398DB9A-D043-4DF3-A5E6-63EB900FA9D4}"/>
    <cellStyle name="Normal 2 15 3 34" xfId="6778" xr:uid="{04DE6638-3EFC-4629-A088-D3467295759F}"/>
    <cellStyle name="Normal 2 15 3 35" xfId="6779" xr:uid="{2A323A7F-EA87-4C06-9EEA-74FFB6B3169B}"/>
    <cellStyle name="Normal 2 15 3 36" xfId="6780" xr:uid="{8E1A6DA0-0F67-4F3C-9DB9-E9E24A0AF06A}"/>
    <cellStyle name="Normal 2 15 3 37" xfId="6781" xr:uid="{28F5A309-D6BC-483A-AD92-856BE979082C}"/>
    <cellStyle name="Normal 2 15 3 38" xfId="6782" xr:uid="{60DEACB9-6ADB-47F7-A845-A17AD09115E6}"/>
    <cellStyle name="Normal 2 15 3 4" xfId="6783" xr:uid="{F8434DC5-F7EF-481C-869F-642151F05187}"/>
    <cellStyle name="Normal 2 15 3 5" xfId="6784" xr:uid="{BCEBFE66-1175-4EBE-91CF-CABE72A1AC32}"/>
    <cellStyle name="Normal 2 15 3 6" xfId="6785" xr:uid="{81E11036-293C-4AAF-A837-91D698A0976F}"/>
    <cellStyle name="Normal 2 15 3 7" xfId="6786" xr:uid="{1C7F2591-8210-48A5-B971-E95299905F64}"/>
    <cellStyle name="Normal 2 15 3 8" xfId="6787" xr:uid="{66B2F038-40A0-4437-9167-E570A0DCA840}"/>
    <cellStyle name="Normal 2 15 3 9" xfId="6788" xr:uid="{5FE7B6A9-E042-42CE-8D01-DFCB84CA7A92}"/>
    <cellStyle name="Normal 2 15 30" xfId="6789" xr:uid="{5972F654-BD9A-46A4-BF23-80F07FD36EFE}"/>
    <cellStyle name="Normal 2 15 31" xfId="6790" xr:uid="{976432DC-873B-476E-B9AE-5AEA08FDE0AE}"/>
    <cellStyle name="Normal 2 15 32" xfId="6791" xr:uid="{E2466AC5-A2BE-45CA-9F19-2A05EBA256EF}"/>
    <cellStyle name="Normal 2 15 33" xfId="6792" xr:uid="{A19EC33C-EE2A-4760-9F67-2092BE7D634E}"/>
    <cellStyle name="Normal 2 15 34" xfId="6793" xr:uid="{790AE3A9-4FE9-43F9-8090-0E7C9C11B30C}"/>
    <cellStyle name="Normal 2 15 35" xfId="6794" xr:uid="{920FD018-8545-4B46-A27A-509371C2C8F3}"/>
    <cellStyle name="Normal 2 15 36" xfId="6795" xr:uid="{E540BF3D-9B90-4432-8315-5C19299C89A2}"/>
    <cellStyle name="Normal 2 15 37" xfId="6796" xr:uid="{D3BC1B7F-DA22-43C2-A5D7-49F014F8A405}"/>
    <cellStyle name="Normal 2 15 38" xfId="6797" xr:uid="{639EFC73-C604-4767-9D7C-6C3841248B2E}"/>
    <cellStyle name="Normal 2 15 39" xfId="6798" xr:uid="{2319CEF7-B5FD-47A5-AE2A-3FDC78C77897}"/>
    <cellStyle name="Normal 2 15 4" xfId="6799" xr:uid="{BC686DE2-BB19-4935-9B01-2F89D0935BAC}"/>
    <cellStyle name="Normal 2 15 40" xfId="6800" xr:uid="{62AD2E4A-D10C-479C-A604-246C60F590CF}"/>
    <cellStyle name="Normal 2 15 5" xfId="6801" xr:uid="{C1636538-9E64-4702-BF77-B89D1CD8ABE5}"/>
    <cellStyle name="Normal 2 15 6" xfId="6802" xr:uid="{2856A367-470B-44A8-82D9-58E8C2942CD3}"/>
    <cellStyle name="Normal 2 15 7" xfId="6803" xr:uid="{D76E9898-626D-4E2F-9ED0-9F2D8C15BA2E}"/>
    <cellStyle name="Normal 2 15 8" xfId="6804" xr:uid="{44E399D4-E483-4208-A94D-2770ACFE43BF}"/>
    <cellStyle name="Normal 2 15 9" xfId="6805" xr:uid="{E7A1F3A9-B46E-4925-9F4C-D8E8A39B8E9E}"/>
    <cellStyle name="Normal 2 16" xfId="6806" xr:uid="{132DF0AB-E9CC-4B57-B2CE-2C9313E149CB}"/>
    <cellStyle name="Normal 2 16 10" xfId="6807" xr:uid="{AD2E4B48-031E-4161-9A27-752F9B999C14}"/>
    <cellStyle name="Normal 2 16 11" xfId="6808" xr:uid="{79EF1EBD-23BF-4198-AFA6-A449DAB52A19}"/>
    <cellStyle name="Normal 2 16 12" xfId="6809" xr:uid="{6F980FA9-8CE3-481B-8D96-3760D4B618D2}"/>
    <cellStyle name="Normal 2 16 13" xfId="6810" xr:uid="{899A6763-3D86-4865-A940-36AD82B9A6E2}"/>
    <cellStyle name="Normal 2 16 14" xfId="6811" xr:uid="{9E4E0BE4-C0C8-41D6-A118-54608B4687CE}"/>
    <cellStyle name="Normal 2 16 15" xfId="6812" xr:uid="{EDB5AF61-1766-4405-B4AF-98CE1E9FFD21}"/>
    <cellStyle name="Normal 2 16 16" xfId="6813" xr:uid="{6AA173D9-1CE6-4828-91E8-C68F8F080697}"/>
    <cellStyle name="Normal 2 16 17" xfId="6814" xr:uid="{59A238E4-D983-4712-B73F-ACF371F1DAED}"/>
    <cellStyle name="Normal 2 16 18" xfId="6815" xr:uid="{DA423699-1C61-4F09-96FE-EB9B897127A1}"/>
    <cellStyle name="Normal 2 16 19" xfId="6816" xr:uid="{0CEE7AC1-7C22-4B92-B878-4806ED4F2C0A}"/>
    <cellStyle name="Normal 2 16 2" xfId="6817" xr:uid="{C90D831B-E723-4C5B-A414-74953624E2E9}"/>
    <cellStyle name="Normal 2 16 2 10" xfId="6818" xr:uid="{A5252428-5857-4832-985B-B80FFEB314A7}"/>
    <cellStyle name="Normal 2 16 2 11" xfId="6819" xr:uid="{5E7A6C59-0681-4136-880A-ACA430C40F10}"/>
    <cellStyle name="Normal 2 16 2 12" xfId="6820" xr:uid="{B65A45DB-08F0-4EBB-B48B-3D6E51A2D7C9}"/>
    <cellStyle name="Normal 2 16 2 13" xfId="6821" xr:uid="{D13EAB99-796A-49AD-B52A-248AECA578AA}"/>
    <cellStyle name="Normal 2 16 2 14" xfId="6822" xr:uid="{014D1DA8-AEED-46F2-A14E-032DE393D740}"/>
    <cellStyle name="Normal 2 16 2 15" xfId="6823" xr:uid="{35F3964A-C1DC-4567-9068-DF5D23146600}"/>
    <cellStyle name="Normal 2 16 2 16" xfId="6824" xr:uid="{160B2A53-DCD4-43E7-A851-C75BD71D768E}"/>
    <cellStyle name="Normal 2 16 2 17" xfId="6825" xr:uid="{7405DB40-6F5A-41D3-B7ED-BC03EC9FBD2A}"/>
    <cellStyle name="Normal 2 16 2 18" xfId="6826" xr:uid="{B1BAC08A-E6E8-4ACC-AE60-03EF8B651553}"/>
    <cellStyle name="Normal 2 16 2 19" xfId="6827" xr:uid="{1D411188-7A6D-4D3B-908C-BF39C810C037}"/>
    <cellStyle name="Normal 2 16 2 2" xfId="6828" xr:uid="{8D66D059-58F3-4DDE-8FF0-135BD0A1CACC}"/>
    <cellStyle name="Normal 2 16 2 2 10" xfId="6829" xr:uid="{762516A8-2DBF-4C76-BE00-17132DECF37B}"/>
    <cellStyle name="Normal 2 16 2 2 11" xfId="6830" xr:uid="{170BBB6B-4AD8-49EF-8CC8-B87620B486F7}"/>
    <cellStyle name="Normal 2 16 2 2 12" xfId="6831" xr:uid="{FB3EF262-F789-4F79-B137-31EB68A82C8A}"/>
    <cellStyle name="Normal 2 16 2 2 13" xfId="6832" xr:uid="{E5A2B0A9-5806-409E-ACEE-6C057A2FDEE3}"/>
    <cellStyle name="Normal 2 16 2 2 14" xfId="6833" xr:uid="{378E84B4-4A32-4A49-8AF4-AFE095E7E980}"/>
    <cellStyle name="Normal 2 16 2 2 15" xfId="6834" xr:uid="{334CDF70-421D-481F-A76D-29BBD3AA5AD2}"/>
    <cellStyle name="Normal 2 16 2 2 16" xfId="6835" xr:uid="{A1875342-4183-4172-8954-31D10716A334}"/>
    <cellStyle name="Normal 2 16 2 2 17" xfId="6836" xr:uid="{F773501F-FF63-4F7C-9376-F42241444D1E}"/>
    <cellStyle name="Normal 2 16 2 2 18" xfId="6837" xr:uid="{16E401FF-D321-4A15-BDE2-A2C7AF9AD3CC}"/>
    <cellStyle name="Normal 2 16 2 2 19" xfId="6838" xr:uid="{F353DEBC-D829-4185-9CF8-DE9CAE1CDA71}"/>
    <cellStyle name="Normal 2 16 2 2 2" xfId="6839" xr:uid="{9028B9D6-7BD1-4127-857E-618329FE5382}"/>
    <cellStyle name="Normal 2 16 2 2 2 10" xfId="6840" xr:uid="{407456A6-F6DB-4148-8FE9-E7FC41A43DA6}"/>
    <cellStyle name="Normal 2 16 2 2 2 11" xfId="6841" xr:uid="{C644B17D-CEE9-46EC-854B-DCBD0E721CF9}"/>
    <cellStyle name="Normal 2 16 2 2 2 12" xfId="6842" xr:uid="{217C6584-AB06-42EF-9D4E-6FEC917F7DE6}"/>
    <cellStyle name="Normal 2 16 2 2 2 13" xfId="6843" xr:uid="{58AB3805-409C-4BA8-B7DB-EA5C213E20F2}"/>
    <cellStyle name="Normal 2 16 2 2 2 14" xfId="6844" xr:uid="{AA07CDDF-6DC9-4184-88C3-186B7B28A674}"/>
    <cellStyle name="Normal 2 16 2 2 2 15" xfId="6845" xr:uid="{6ABE09F3-9C98-4F11-B978-BDB8572E0054}"/>
    <cellStyle name="Normal 2 16 2 2 2 16" xfId="6846" xr:uid="{821D297D-BA0B-4FCB-AC63-9BE85F30C407}"/>
    <cellStyle name="Normal 2 16 2 2 2 17" xfId="6847" xr:uid="{68043595-0E4F-4C21-BA95-45FFE4DAD450}"/>
    <cellStyle name="Normal 2 16 2 2 2 18" xfId="6848" xr:uid="{96681362-53AC-4379-AE8D-D822C45E11DC}"/>
    <cellStyle name="Normal 2 16 2 2 2 19" xfId="6849" xr:uid="{343BE361-E289-4609-AA42-2F7317C071AD}"/>
    <cellStyle name="Normal 2 16 2 2 2 2" xfId="6850" xr:uid="{17FBE039-FC80-42D3-9B37-A1CF6AE466B9}"/>
    <cellStyle name="Normal 2 16 2 2 2 20" xfId="6851" xr:uid="{EF6B3A55-568D-4DCD-84BA-E2055EBDDD90}"/>
    <cellStyle name="Normal 2 16 2 2 2 21" xfId="6852" xr:uid="{CB4648E6-E386-48EE-AFC9-2EEE2D8F238A}"/>
    <cellStyle name="Normal 2 16 2 2 2 22" xfId="6853" xr:uid="{BCE94369-F515-4E95-94C0-65071367D637}"/>
    <cellStyle name="Normal 2 16 2 2 2 23" xfId="6854" xr:uid="{DE88BA8C-B826-4505-A12E-FEB650314AEE}"/>
    <cellStyle name="Normal 2 16 2 2 2 24" xfId="6855" xr:uid="{9297CA16-FC1F-4073-B696-E65653FCAE00}"/>
    <cellStyle name="Normal 2 16 2 2 2 25" xfId="6856" xr:uid="{20234AD0-08A2-4C52-9548-641AADCFAAA7}"/>
    <cellStyle name="Normal 2 16 2 2 2 26" xfId="6857" xr:uid="{7B3FE1A2-1732-496B-90CE-B9FDAEF94737}"/>
    <cellStyle name="Normal 2 16 2 2 2 27" xfId="6858" xr:uid="{451D3205-FA72-441B-A9E9-8961C694E7A2}"/>
    <cellStyle name="Normal 2 16 2 2 2 28" xfId="6859" xr:uid="{7D712245-B769-44C4-8A66-A061B3952233}"/>
    <cellStyle name="Normal 2 16 2 2 2 29" xfId="6860" xr:uid="{57477E1A-7D28-4206-982F-BF98C27EAF33}"/>
    <cellStyle name="Normal 2 16 2 2 2 3" xfId="6861" xr:uid="{ED7A1EF9-9154-4316-8249-54A5A8B1DE82}"/>
    <cellStyle name="Normal 2 16 2 2 2 30" xfId="6862" xr:uid="{788AB5BF-F9D4-47F3-9324-6509A78C8F6E}"/>
    <cellStyle name="Normal 2 16 2 2 2 31" xfId="6863" xr:uid="{4C83B90E-8A26-4269-9E77-391B04C2381E}"/>
    <cellStyle name="Normal 2 16 2 2 2 32" xfId="6864" xr:uid="{69244F13-09EA-4FB4-999C-DE00B6376369}"/>
    <cellStyle name="Normal 2 16 2 2 2 33" xfId="6865" xr:uid="{3A9D6AAA-101D-4E49-BB9A-FBBC3178F9A5}"/>
    <cellStyle name="Normal 2 16 2 2 2 34" xfId="6866" xr:uid="{377DDA9B-9F7A-4994-AADF-8C42B028A710}"/>
    <cellStyle name="Normal 2 16 2 2 2 35" xfId="6867" xr:uid="{A6FE1A00-C550-49E8-9C4D-8FEFB818659F}"/>
    <cellStyle name="Normal 2 16 2 2 2 36" xfId="6868" xr:uid="{02CC7CE7-CCA9-4ED2-A74F-605A71D4C489}"/>
    <cellStyle name="Normal 2 16 2 2 2 37" xfId="6869" xr:uid="{7817CDAC-70A7-4BFC-AFF8-A59CB5325991}"/>
    <cellStyle name="Normal 2 16 2 2 2 38" xfId="6870" xr:uid="{76B0B80F-85C6-4F16-AC29-80099712F34C}"/>
    <cellStyle name="Normal 2 16 2 2 2 4" xfId="6871" xr:uid="{85AB2AEC-3909-49A2-94CA-96CA5E7368A4}"/>
    <cellStyle name="Normal 2 16 2 2 2 5" xfId="6872" xr:uid="{49C5B022-86F4-4381-8AE1-A6D5A6820201}"/>
    <cellStyle name="Normal 2 16 2 2 2 6" xfId="6873" xr:uid="{0B1E1524-C7EF-49CD-B66D-61B1058FEB93}"/>
    <cellStyle name="Normal 2 16 2 2 2 7" xfId="6874" xr:uid="{663DEAB8-14A2-48DB-9F73-78AC86EF3055}"/>
    <cellStyle name="Normal 2 16 2 2 2 8" xfId="6875" xr:uid="{EE23B2EB-7ED2-4F5C-87E6-D0DA4A86A93F}"/>
    <cellStyle name="Normal 2 16 2 2 2 9" xfId="6876" xr:uid="{D8256F05-FC17-484C-BBF4-35FD608E844F}"/>
    <cellStyle name="Normal 2 16 2 2 20" xfId="6877" xr:uid="{D5711ED5-2138-4840-95C6-A0937D734140}"/>
    <cellStyle name="Normal 2 16 2 2 21" xfId="6878" xr:uid="{AA085439-8F1E-4256-B62B-40B23C1203F6}"/>
    <cellStyle name="Normal 2 16 2 2 22" xfId="6879" xr:uid="{9A7DEF57-1827-44BC-9417-DD91FBF6B89B}"/>
    <cellStyle name="Normal 2 16 2 2 23" xfId="6880" xr:uid="{B481D435-4532-4249-A5A6-B50F5ADC2843}"/>
    <cellStyle name="Normal 2 16 2 2 24" xfId="6881" xr:uid="{6347185D-E555-4FB5-B224-8D7806E82130}"/>
    <cellStyle name="Normal 2 16 2 2 25" xfId="6882" xr:uid="{F7D00EDC-0CB4-4C7E-96B0-E23197B4FBCE}"/>
    <cellStyle name="Normal 2 16 2 2 26" xfId="6883" xr:uid="{5A0612CB-964D-4EBF-A3AF-6E890767659A}"/>
    <cellStyle name="Normal 2 16 2 2 27" xfId="6884" xr:uid="{59D8E185-813E-4746-869F-479A2432D391}"/>
    <cellStyle name="Normal 2 16 2 2 28" xfId="6885" xr:uid="{25DF8261-985D-4960-BF73-7AC6202A0A76}"/>
    <cellStyle name="Normal 2 16 2 2 29" xfId="6886" xr:uid="{9B333A3E-B2A1-4E18-9FF1-1AC514CC85DB}"/>
    <cellStyle name="Normal 2 16 2 2 3" xfId="6887" xr:uid="{93094AC7-C8BE-4632-9646-8FAED24A8AA3}"/>
    <cellStyle name="Normal 2 16 2 2 30" xfId="6888" xr:uid="{1D28422F-B731-4796-BE68-E3939620ADC7}"/>
    <cellStyle name="Normal 2 16 2 2 31" xfId="6889" xr:uid="{01C4DA2F-C8A6-4708-8398-C99AC0B3F3A3}"/>
    <cellStyle name="Normal 2 16 2 2 32" xfId="6890" xr:uid="{0AC9B724-9708-4571-8C67-2E3939432528}"/>
    <cellStyle name="Normal 2 16 2 2 33" xfId="6891" xr:uid="{9BF1B060-9D2D-4B87-87A9-33D92390A86B}"/>
    <cellStyle name="Normal 2 16 2 2 34" xfId="6892" xr:uid="{5C034B49-3106-4988-B29E-583A930C8028}"/>
    <cellStyle name="Normal 2 16 2 2 35" xfId="6893" xr:uid="{63BFEC5D-05EF-4CCC-BB6D-AE5B56F2C274}"/>
    <cellStyle name="Normal 2 16 2 2 36" xfId="6894" xr:uid="{3B71A711-0F81-4E72-B085-F56D464543D8}"/>
    <cellStyle name="Normal 2 16 2 2 37" xfId="6895" xr:uid="{C27563D6-DEA7-4152-9B0A-E7024D9E88E4}"/>
    <cellStyle name="Normal 2 16 2 2 38" xfId="6896" xr:uid="{7E9B11D0-3053-4179-880F-BDBC0CC512EE}"/>
    <cellStyle name="Normal 2 16 2 2 4" xfId="6897" xr:uid="{6DADC3AC-4AA6-4866-9AB3-DA63691AA2D9}"/>
    <cellStyle name="Normal 2 16 2 2 5" xfId="6898" xr:uid="{D11EFE9C-1E27-4F56-A45A-701073CAE11B}"/>
    <cellStyle name="Normal 2 16 2 2 6" xfId="6899" xr:uid="{B7875A55-EB15-4306-81DD-774D9291D9EB}"/>
    <cellStyle name="Normal 2 16 2 2 7" xfId="6900" xr:uid="{4252B25B-06FC-44BE-95E1-30E548955ED4}"/>
    <cellStyle name="Normal 2 16 2 2 8" xfId="6901" xr:uid="{5D43B190-E0FB-450A-8875-FF1B49CBDC9B}"/>
    <cellStyle name="Normal 2 16 2 2 9" xfId="6902" xr:uid="{C3EEECEA-7398-4FB3-BD42-200173A17DA6}"/>
    <cellStyle name="Normal 2 16 2 20" xfId="6903" xr:uid="{F6A4DB6A-7820-43E2-BA7F-44C57F774246}"/>
    <cellStyle name="Normal 2 16 2 21" xfId="6904" xr:uid="{01CBFF43-0201-44CB-9299-8B1B1CC44492}"/>
    <cellStyle name="Normal 2 16 2 22" xfId="6905" xr:uid="{972EFCB4-9706-41B5-A4D0-9DE6E0A1C4B9}"/>
    <cellStyle name="Normal 2 16 2 23" xfId="6906" xr:uid="{256BB9F4-9716-4B26-B614-7D1F2BE0C2E5}"/>
    <cellStyle name="Normal 2 16 2 24" xfId="6907" xr:uid="{8BDB0502-CC40-46BA-A38B-14AA4DBFD169}"/>
    <cellStyle name="Normal 2 16 2 25" xfId="6908" xr:uid="{8ED4B652-4EDD-465F-9E37-F3FEA97295D4}"/>
    <cellStyle name="Normal 2 16 2 26" xfId="6909" xr:uid="{D01D759C-7144-4605-8342-2A4248A00378}"/>
    <cellStyle name="Normal 2 16 2 27" xfId="6910" xr:uid="{CE9B8E0A-D577-4BE1-B686-E0BFD2EF989D}"/>
    <cellStyle name="Normal 2 16 2 28" xfId="6911" xr:uid="{7B00F87F-56E8-45D9-80B5-5842EA55F23B}"/>
    <cellStyle name="Normal 2 16 2 29" xfId="6912" xr:uid="{954C96AB-1B76-42C9-BE9B-7BF53B6A0236}"/>
    <cellStyle name="Normal 2 16 2 3" xfId="6913" xr:uid="{385B1E61-4B49-4A8E-9469-3E95326333F3}"/>
    <cellStyle name="Normal 2 16 2 30" xfId="6914" xr:uid="{E1E0B5D6-4E13-4048-80D5-3913A1CAAA0C}"/>
    <cellStyle name="Normal 2 16 2 31" xfId="6915" xr:uid="{34C6571C-3BA5-4E47-9BA7-70AED9716B05}"/>
    <cellStyle name="Normal 2 16 2 32" xfId="6916" xr:uid="{8B09B95C-5830-47B3-A177-D02709E45BC4}"/>
    <cellStyle name="Normal 2 16 2 33" xfId="6917" xr:uid="{6FCC6E4C-D9F2-4440-BACD-45D7021EE097}"/>
    <cellStyle name="Normal 2 16 2 34" xfId="6918" xr:uid="{33823D86-E163-4A4A-90FF-C2F95B8E811B}"/>
    <cellStyle name="Normal 2 16 2 35" xfId="6919" xr:uid="{1AA4C91C-0F7D-43B7-974F-2F0D41055BAB}"/>
    <cellStyle name="Normal 2 16 2 36" xfId="6920" xr:uid="{CB92A2EC-F1B2-4DF1-B5D6-B0E100DB09CC}"/>
    <cellStyle name="Normal 2 16 2 37" xfId="6921" xr:uid="{57FBADDC-AB7B-46C2-A95C-8C0561CACB91}"/>
    <cellStyle name="Normal 2 16 2 38" xfId="6922" xr:uid="{F76733AD-AF98-4D44-82B7-6E81F2A1DD38}"/>
    <cellStyle name="Normal 2 16 2 39" xfId="6923" xr:uid="{6CD95CE7-BC2F-4D8B-A454-B314AFB5F6D6}"/>
    <cellStyle name="Normal 2 16 2 4" xfId="6924" xr:uid="{2F754181-03FD-4F82-B95F-8DD625194976}"/>
    <cellStyle name="Normal 2 16 2 40" xfId="6925" xr:uid="{2D3EA2E6-3917-4639-9B9C-8EEEFCB0C530}"/>
    <cellStyle name="Normal 2 16 2 5" xfId="6926" xr:uid="{F99E427A-F2B6-496B-B795-225D9D716341}"/>
    <cellStyle name="Normal 2 16 2 6" xfId="6927" xr:uid="{B6237884-B169-4EED-A0C6-AB0520A3B287}"/>
    <cellStyle name="Normal 2 16 2 7" xfId="6928" xr:uid="{F5C5DA13-A7A9-4F9D-92BF-386D7E9E037A}"/>
    <cellStyle name="Normal 2 16 2 8" xfId="6929" xr:uid="{21A9724F-A12F-4675-AD1D-9AF64A8F990C}"/>
    <cellStyle name="Normal 2 16 2 9" xfId="6930" xr:uid="{FF434B63-DFA2-4438-A48E-210E2BB0476D}"/>
    <cellStyle name="Normal 2 16 20" xfId="6931" xr:uid="{D9E25ED7-9EB2-4CC4-B62B-675F235F78FB}"/>
    <cellStyle name="Normal 2 16 21" xfId="6932" xr:uid="{16F19E1D-01B9-4249-BF09-16C34CB7F3BD}"/>
    <cellStyle name="Normal 2 16 22" xfId="6933" xr:uid="{84BB1543-79EA-4792-8E71-9066043D9784}"/>
    <cellStyle name="Normal 2 16 23" xfId="6934" xr:uid="{8474A6D0-BCB3-425C-8F27-116208F3EC8F}"/>
    <cellStyle name="Normal 2 16 24" xfId="6935" xr:uid="{C5B2CFB5-8BCF-4E1E-9790-3942FEF08A86}"/>
    <cellStyle name="Normal 2 16 25" xfId="6936" xr:uid="{D5028ED7-6E60-4919-B857-50630A9A4B3D}"/>
    <cellStyle name="Normal 2 16 26" xfId="6937" xr:uid="{D531FF6C-A154-4E6B-BE57-BDC4F8618E2C}"/>
    <cellStyle name="Normal 2 16 27" xfId="6938" xr:uid="{15F61B15-CC63-4BFF-B2BC-67020B193855}"/>
    <cellStyle name="Normal 2 16 28" xfId="6939" xr:uid="{59873EA2-EE10-4908-9AC5-D60049003BF1}"/>
    <cellStyle name="Normal 2 16 29" xfId="6940" xr:uid="{827481F5-B245-481A-883A-2568B1FD25EB}"/>
    <cellStyle name="Normal 2 16 3" xfId="6941" xr:uid="{DF2FAD26-2971-46E6-897E-BC78F6128273}"/>
    <cellStyle name="Normal 2 16 3 10" xfId="6942" xr:uid="{3B2CC916-4EA1-457E-B383-C2D94E02CD2F}"/>
    <cellStyle name="Normal 2 16 3 11" xfId="6943" xr:uid="{C29BB8D7-6DAD-4FEE-B307-AE07E6482AC8}"/>
    <cellStyle name="Normal 2 16 3 12" xfId="6944" xr:uid="{300458EC-ACD3-4FC2-AD03-745492DD6A4C}"/>
    <cellStyle name="Normal 2 16 3 13" xfId="6945" xr:uid="{CB2A5AB0-70AE-41DD-833E-FD397DD5AF84}"/>
    <cellStyle name="Normal 2 16 3 14" xfId="6946" xr:uid="{E33DD914-914D-4500-89DB-5440B6014144}"/>
    <cellStyle name="Normal 2 16 3 15" xfId="6947" xr:uid="{D6399C3D-2B4D-4671-8EC5-F2E4130A6ED7}"/>
    <cellStyle name="Normal 2 16 3 16" xfId="6948" xr:uid="{70371CBE-DF1C-4FD8-83F2-A5114BBF867B}"/>
    <cellStyle name="Normal 2 16 3 17" xfId="6949" xr:uid="{0ED8A278-9C6C-45C0-B823-799FB67D9118}"/>
    <cellStyle name="Normal 2 16 3 18" xfId="6950" xr:uid="{230210DF-246B-4513-80A2-9425E83AA353}"/>
    <cellStyle name="Normal 2 16 3 19" xfId="6951" xr:uid="{BB1A3D87-E960-4138-9A75-E561DB8BA54B}"/>
    <cellStyle name="Normal 2 16 3 2" xfId="6952" xr:uid="{AB5C7189-7588-4914-A34F-725F5CC44DE5}"/>
    <cellStyle name="Normal 2 16 3 2 10" xfId="6953" xr:uid="{D00184D1-5D48-4902-A307-35906C072BDD}"/>
    <cellStyle name="Normal 2 16 3 2 11" xfId="6954" xr:uid="{17B54D9F-7ED6-466D-B227-C292EA36400E}"/>
    <cellStyle name="Normal 2 16 3 2 12" xfId="6955" xr:uid="{D5FC37E7-FFA1-4105-AF98-7174C78B6D39}"/>
    <cellStyle name="Normal 2 16 3 2 13" xfId="6956" xr:uid="{CBFDCE49-62A3-4DDB-8D3D-5877E35C49A8}"/>
    <cellStyle name="Normal 2 16 3 2 14" xfId="6957" xr:uid="{F07A19D2-C78A-4E54-8EA2-71876CF3A833}"/>
    <cellStyle name="Normal 2 16 3 2 15" xfId="6958" xr:uid="{F1DFC76A-3B95-4DD0-91CB-1143208D85AF}"/>
    <cellStyle name="Normal 2 16 3 2 16" xfId="6959" xr:uid="{E94B7131-A78D-4F21-BDB4-7DD9F4D914A2}"/>
    <cellStyle name="Normal 2 16 3 2 17" xfId="6960" xr:uid="{880B703C-8C7C-4AD5-B72A-C59893E0D910}"/>
    <cellStyle name="Normal 2 16 3 2 18" xfId="6961" xr:uid="{ACCEEF00-4279-4F72-B405-3D2527C92408}"/>
    <cellStyle name="Normal 2 16 3 2 19" xfId="6962" xr:uid="{BBFF3EA5-B5A4-4775-BBBB-E89541791D33}"/>
    <cellStyle name="Normal 2 16 3 2 2" xfId="6963" xr:uid="{0398E363-8FAE-48F8-9F02-2ABB40D5E240}"/>
    <cellStyle name="Normal 2 16 3 2 20" xfId="6964" xr:uid="{3FF4120E-67B2-492A-9CB1-2C02DEA0AA6B}"/>
    <cellStyle name="Normal 2 16 3 2 21" xfId="6965" xr:uid="{32E18834-802D-45A0-A0C9-26F3BEC7FBC7}"/>
    <cellStyle name="Normal 2 16 3 2 22" xfId="6966" xr:uid="{B03F1F49-A436-48E7-9240-59F10794A64B}"/>
    <cellStyle name="Normal 2 16 3 2 23" xfId="6967" xr:uid="{AC54F616-702F-4BD0-95FF-3BC457F410FF}"/>
    <cellStyle name="Normal 2 16 3 2 24" xfId="6968" xr:uid="{F8239F76-CA5D-4D53-ADA4-F5A6845B1F00}"/>
    <cellStyle name="Normal 2 16 3 2 25" xfId="6969" xr:uid="{B08672D8-C880-43B7-B656-8B3060BD31B7}"/>
    <cellStyle name="Normal 2 16 3 2 26" xfId="6970" xr:uid="{9A236ED8-DB4E-43B9-AB0F-CEC4F70502AF}"/>
    <cellStyle name="Normal 2 16 3 2 27" xfId="6971" xr:uid="{9CB0C854-4DBE-4621-8EA3-F566C920B325}"/>
    <cellStyle name="Normal 2 16 3 2 28" xfId="6972" xr:uid="{EDD32193-4412-45F9-882A-28E627D47C92}"/>
    <cellStyle name="Normal 2 16 3 2 29" xfId="6973" xr:uid="{C3B46F23-0CFB-4408-ABD5-00FC34A99EA0}"/>
    <cellStyle name="Normal 2 16 3 2 3" xfId="6974" xr:uid="{572B81ED-454C-4C54-8297-DBDF8F631F22}"/>
    <cellStyle name="Normal 2 16 3 2 30" xfId="6975" xr:uid="{CFC10C7B-AD4E-4C0E-B7B8-1E773A1781E6}"/>
    <cellStyle name="Normal 2 16 3 2 31" xfId="6976" xr:uid="{B945FF41-735B-4EB8-AEDA-0DE29D7CD231}"/>
    <cellStyle name="Normal 2 16 3 2 32" xfId="6977" xr:uid="{722A4C12-2F50-4FFE-9010-F39D252C28D0}"/>
    <cellStyle name="Normal 2 16 3 2 33" xfId="6978" xr:uid="{A431455C-04C4-44F0-B242-DAAC211FEBBF}"/>
    <cellStyle name="Normal 2 16 3 2 34" xfId="6979" xr:uid="{E7E0EBEF-DA18-49A8-A592-7AA79322BDD6}"/>
    <cellStyle name="Normal 2 16 3 2 35" xfId="6980" xr:uid="{CE4E8E26-CFE1-4383-AB88-B494BE8D92C3}"/>
    <cellStyle name="Normal 2 16 3 2 36" xfId="6981" xr:uid="{35445D73-AA32-485D-9ABE-512A04B03BDD}"/>
    <cellStyle name="Normal 2 16 3 2 37" xfId="6982" xr:uid="{8A924DD5-5DA6-430B-B03E-0A185EC66F5F}"/>
    <cellStyle name="Normal 2 16 3 2 38" xfId="6983" xr:uid="{6DD3DA40-E308-47A8-ABDA-5D5163237BD4}"/>
    <cellStyle name="Normal 2 16 3 2 4" xfId="6984" xr:uid="{7AB7AC2F-B71B-4C8C-A41B-FBC84CD96EAB}"/>
    <cellStyle name="Normal 2 16 3 2 5" xfId="6985" xr:uid="{52188740-67C3-493B-B06C-C3082D488ADD}"/>
    <cellStyle name="Normal 2 16 3 2 6" xfId="6986" xr:uid="{1B5D61E6-EFDD-4D02-AE2A-E84FA6D40A65}"/>
    <cellStyle name="Normal 2 16 3 2 7" xfId="6987" xr:uid="{401CA6C4-DED2-4D7C-B61C-475F1EE545E5}"/>
    <cellStyle name="Normal 2 16 3 2 8" xfId="6988" xr:uid="{17EF4D15-2B62-4F0D-BBBC-CA058EFDC17B}"/>
    <cellStyle name="Normal 2 16 3 2 9" xfId="6989" xr:uid="{DCA02F40-033C-4FCA-B092-15AE20B11A1A}"/>
    <cellStyle name="Normal 2 16 3 20" xfId="6990" xr:uid="{DE04FEE9-0C9B-4B10-8855-189C6FF2EA77}"/>
    <cellStyle name="Normal 2 16 3 21" xfId="6991" xr:uid="{74587013-E4C6-4AF3-BBB6-7EAAF3CAB1A8}"/>
    <cellStyle name="Normal 2 16 3 22" xfId="6992" xr:uid="{9855F3D3-086A-4E3D-9AD9-7B1765AF0490}"/>
    <cellStyle name="Normal 2 16 3 23" xfId="6993" xr:uid="{A883D024-81CF-4DE3-9573-180C252B8263}"/>
    <cellStyle name="Normal 2 16 3 24" xfId="6994" xr:uid="{AC0A1296-CFF0-49F4-A7F0-07A8BE5979FD}"/>
    <cellStyle name="Normal 2 16 3 25" xfId="6995" xr:uid="{84D77677-4BB1-459C-9827-6948ED752294}"/>
    <cellStyle name="Normal 2 16 3 26" xfId="6996" xr:uid="{5A688BFD-195D-4958-8CB6-AFA06BE50ED4}"/>
    <cellStyle name="Normal 2 16 3 27" xfId="6997" xr:uid="{E9D4990C-6FDB-4B1D-B93F-DAE02136AA24}"/>
    <cellStyle name="Normal 2 16 3 28" xfId="6998" xr:uid="{CB0D374E-A44A-4A66-942E-6A962FD6842F}"/>
    <cellStyle name="Normal 2 16 3 29" xfId="6999" xr:uid="{E0027B3E-D541-4718-A548-EA0F26707FC0}"/>
    <cellStyle name="Normal 2 16 3 3" xfId="7000" xr:uid="{DF2E643E-CB56-4365-B5AF-2B341CCF71CD}"/>
    <cellStyle name="Normal 2 16 3 30" xfId="7001" xr:uid="{97A591B3-D37C-4240-9E87-C4220D6E0D9D}"/>
    <cellStyle name="Normal 2 16 3 31" xfId="7002" xr:uid="{191CD4AC-12AA-48A0-8D37-50C93B9DC5DC}"/>
    <cellStyle name="Normal 2 16 3 32" xfId="7003" xr:uid="{9B661BFD-813F-4644-A719-67E8CCA9B1B8}"/>
    <cellStyle name="Normal 2 16 3 33" xfId="7004" xr:uid="{E41DFD0A-B0D7-4D01-B10B-FC28750D46F8}"/>
    <cellStyle name="Normal 2 16 3 34" xfId="7005" xr:uid="{9347FCE8-BA3B-477B-9175-18D53F466B5A}"/>
    <cellStyle name="Normal 2 16 3 35" xfId="7006" xr:uid="{38D9B7B4-60FF-4214-BC46-B9891B88C3F0}"/>
    <cellStyle name="Normal 2 16 3 36" xfId="7007" xr:uid="{12FC04E2-3B16-4979-AEDA-557E88AF89C6}"/>
    <cellStyle name="Normal 2 16 3 37" xfId="7008" xr:uid="{EF0886C2-243D-46E3-8980-84D9C25AC809}"/>
    <cellStyle name="Normal 2 16 3 38" xfId="7009" xr:uid="{9BDBC730-8BC0-431E-BD53-48DC29258364}"/>
    <cellStyle name="Normal 2 16 3 4" xfId="7010" xr:uid="{E879282E-D986-4E22-8D38-8C25D24EBFF0}"/>
    <cellStyle name="Normal 2 16 3 5" xfId="7011" xr:uid="{3AE80720-D285-4D7E-8CDE-18D0F0968D24}"/>
    <cellStyle name="Normal 2 16 3 6" xfId="7012" xr:uid="{4D14DA41-2863-4B26-8304-F2BF7263071F}"/>
    <cellStyle name="Normal 2 16 3 7" xfId="7013" xr:uid="{6C79ECA4-20DB-4A05-813D-CF72D77D3486}"/>
    <cellStyle name="Normal 2 16 3 8" xfId="7014" xr:uid="{9D53838B-A367-42EF-B9E0-F760A5C26FCC}"/>
    <cellStyle name="Normal 2 16 3 9" xfId="7015" xr:uid="{13BD7D91-1888-4FF7-8103-059B0A485BE0}"/>
    <cellStyle name="Normal 2 16 30" xfId="7016" xr:uid="{D78707B5-F959-428F-AEAF-E8623074C94F}"/>
    <cellStyle name="Normal 2 16 31" xfId="7017" xr:uid="{63AF2885-5BAD-4844-A1C9-982EA8D21337}"/>
    <cellStyle name="Normal 2 16 32" xfId="7018" xr:uid="{79256079-DDE6-4715-8292-71949D463D5A}"/>
    <cellStyle name="Normal 2 16 33" xfId="7019" xr:uid="{C8E33BDE-92C6-4EEF-A9BC-3D630B843AD7}"/>
    <cellStyle name="Normal 2 16 34" xfId="7020" xr:uid="{21D5C9E3-D309-4777-8640-25EDFA469AB0}"/>
    <cellStyle name="Normal 2 16 35" xfId="7021" xr:uid="{D61E935E-56BF-46C4-BFEF-976A727AB37C}"/>
    <cellStyle name="Normal 2 16 36" xfId="7022" xr:uid="{24157089-41E3-4D59-89FA-E99B593A0405}"/>
    <cellStyle name="Normal 2 16 37" xfId="7023" xr:uid="{C0465375-7264-4C9D-9E98-DAFF6FAC8EA0}"/>
    <cellStyle name="Normal 2 16 38" xfId="7024" xr:uid="{E431DA35-8C9C-43CC-89FA-29AFDA22FFFC}"/>
    <cellStyle name="Normal 2 16 39" xfId="7025" xr:uid="{3A45F2D1-B209-4780-947E-E5C4993859BB}"/>
    <cellStyle name="Normal 2 16 4" xfId="7026" xr:uid="{B40CFDF5-7B7D-4EB7-B44A-43614A31AB92}"/>
    <cellStyle name="Normal 2 16 40" xfId="7027" xr:uid="{4AFD2F41-2A8A-4B11-AABD-61849F8FDC61}"/>
    <cellStyle name="Normal 2 16 5" xfId="7028" xr:uid="{E351C690-C36E-4A7D-8529-A6935055179D}"/>
    <cellStyle name="Normal 2 16 6" xfId="7029" xr:uid="{FE374F37-B270-456C-B05C-312694439F62}"/>
    <cellStyle name="Normal 2 16 7" xfId="7030" xr:uid="{80010A45-660B-44C2-8015-092AB9FE0B72}"/>
    <cellStyle name="Normal 2 16 8" xfId="7031" xr:uid="{AC4C8535-A814-4A31-A2D5-59F5C4930916}"/>
    <cellStyle name="Normal 2 16 9" xfId="7032" xr:uid="{33CB2971-693D-42DC-A88F-22AECC870A5B}"/>
    <cellStyle name="Normal 2 17" xfId="7033" xr:uid="{380773CA-C4DC-4833-A017-ED7FCFD615E0}"/>
    <cellStyle name="Normal 2 17 10" xfId="7034" xr:uid="{930937C1-31B1-4915-8BC0-E367F302C992}"/>
    <cellStyle name="Normal 2 17 11" xfId="7035" xr:uid="{9216E592-5434-401D-A7D4-F1C6322473AC}"/>
    <cellStyle name="Normal 2 17 12" xfId="7036" xr:uid="{75AAF283-5B72-4703-9BD5-DE3FE74DFE8D}"/>
    <cellStyle name="Normal 2 17 13" xfId="7037" xr:uid="{EC518D21-3A86-42B9-8DE5-617FF0167CC9}"/>
    <cellStyle name="Normal 2 17 14" xfId="7038" xr:uid="{C41304F5-510D-4E55-ADDF-D7E978461967}"/>
    <cellStyle name="Normal 2 17 15" xfId="7039" xr:uid="{3F81F738-45C1-481C-8D48-6060343BA188}"/>
    <cellStyle name="Normal 2 17 16" xfId="7040" xr:uid="{94FCB542-E110-4032-9CC7-A875A3E893DD}"/>
    <cellStyle name="Normal 2 17 17" xfId="7041" xr:uid="{ED54A9B3-825D-418C-876E-C079CE640652}"/>
    <cellStyle name="Normal 2 17 18" xfId="7042" xr:uid="{A155BF51-077A-4D60-9978-97D0C88EC8D8}"/>
    <cellStyle name="Normal 2 17 19" xfId="7043" xr:uid="{FA1A97B5-0727-482D-8D74-5ED62ADAF8C0}"/>
    <cellStyle name="Normal 2 17 2" xfId="7044" xr:uid="{10091977-61AA-404C-9222-2A03EB7CB905}"/>
    <cellStyle name="Normal 2 17 2 10" xfId="7045" xr:uid="{FF303B89-654C-45D7-B422-D9C8AEED60F5}"/>
    <cellStyle name="Normal 2 17 2 11" xfId="7046" xr:uid="{18215DB5-7764-4DF1-8BB5-13F34F7C2D9D}"/>
    <cellStyle name="Normal 2 17 2 12" xfId="7047" xr:uid="{BF5E9FAC-3443-4591-9DC6-19801EA6C616}"/>
    <cellStyle name="Normal 2 17 2 13" xfId="7048" xr:uid="{B7AE85EF-B6C2-4F65-B0DB-2C44A29E4B3F}"/>
    <cellStyle name="Normal 2 17 2 14" xfId="7049" xr:uid="{36A69507-E6DE-49A7-ABA0-52FFCF8D8AB2}"/>
    <cellStyle name="Normal 2 17 2 15" xfId="7050" xr:uid="{FBEA8395-4DDE-4225-9A10-709D4D50FC6F}"/>
    <cellStyle name="Normal 2 17 2 16" xfId="7051" xr:uid="{2765349F-09CD-47C4-BE23-3616D2A91A44}"/>
    <cellStyle name="Normal 2 17 2 17" xfId="7052" xr:uid="{D3B95AC9-C233-4118-A9D5-43BB7EF6AC58}"/>
    <cellStyle name="Normal 2 17 2 18" xfId="7053" xr:uid="{F26D82A7-FE94-4DE8-A913-0DE15282BBC3}"/>
    <cellStyle name="Normal 2 17 2 19" xfId="7054" xr:uid="{5B56DF7F-1C1B-4C26-8356-B715A117D416}"/>
    <cellStyle name="Normal 2 17 2 2" xfId="7055" xr:uid="{0A26A197-CEEF-47BB-9E45-F8CF419AF7B7}"/>
    <cellStyle name="Normal 2 17 2 2 10" xfId="7056" xr:uid="{3FA9F3C7-E465-43D3-B3A4-2F89B28F896F}"/>
    <cellStyle name="Normal 2 17 2 2 11" xfId="7057" xr:uid="{98B8E82A-25B7-464E-83F3-928B2DA09B24}"/>
    <cellStyle name="Normal 2 17 2 2 12" xfId="7058" xr:uid="{A561DAD5-F228-4375-8376-65B9CAD978D0}"/>
    <cellStyle name="Normal 2 17 2 2 13" xfId="7059" xr:uid="{90A49F6F-4B08-4209-AC3B-43B976FEF580}"/>
    <cellStyle name="Normal 2 17 2 2 14" xfId="7060" xr:uid="{7049C3D6-C0CF-47A0-83D0-CFF1E34B1053}"/>
    <cellStyle name="Normal 2 17 2 2 15" xfId="7061" xr:uid="{F863670F-F007-458F-976B-B13D88AD5424}"/>
    <cellStyle name="Normal 2 17 2 2 16" xfId="7062" xr:uid="{63F2C841-A158-43D6-B3A2-4AF7FEA6F6E8}"/>
    <cellStyle name="Normal 2 17 2 2 17" xfId="7063" xr:uid="{35D13463-B8E0-43A8-889E-BAF7966347DA}"/>
    <cellStyle name="Normal 2 17 2 2 18" xfId="7064" xr:uid="{10FD7384-64D9-4112-B93E-B6016CDAA5A3}"/>
    <cellStyle name="Normal 2 17 2 2 19" xfId="7065" xr:uid="{0D3F4BC8-E939-406C-9385-89C37AC73DFB}"/>
    <cellStyle name="Normal 2 17 2 2 2" xfId="7066" xr:uid="{486D6FF5-4EE8-4EDD-9C25-47FD05985A40}"/>
    <cellStyle name="Normal 2 17 2 2 2 10" xfId="7067" xr:uid="{FCAD9DDD-CFA3-455A-BCCB-BD83FA9D8C81}"/>
    <cellStyle name="Normal 2 17 2 2 2 11" xfId="7068" xr:uid="{8706243D-8DFD-4918-8714-43BB8EFE750D}"/>
    <cellStyle name="Normal 2 17 2 2 2 12" xfId="7069" xr:uid="{AACB9879-262E-4DDB-ACB8-4DEEC8618DE8}"/>
    <cellStyle name="Normal 2 17 2 2 2 13" xfId="7070" xr:uid="{38FC4541-2D42-4630-AB8E-2B5F883D280F}"/>
    <cellStyle name="Normal 2 17 2 2 2 14" xfId="7071" xr:uid="{09E6A04F-C535-435B-8122-A61FCB3140DF}"/>
    <cellStyle name="Normal 2 17 2 2 2 15" xfId="7072" xr:uid="{FB7E9475-6C21-4B75-BE4B-BA09A723010F}"/>
    <cellStyle name="Normal 2 17 2 2 2 16" xfId="7073" xr:uid="{8444926E-E9E3-42CC-A275-B7D831DDB8D0}"/>
    <cellStyle name="Normal 2 17 2 2 2 17" xfId="7074" xr:uid="{43C6BD16-0839-48C3-8416-56F5DBF02BBE}"/>
    <cellStyle name="Normal 2 17 2 2 2 18" xfId="7075" xr:uid="{48AC1ED8-6FAB-40FF-94D0-EAB50EB5D814}"/>
    <cellStyle name="Normal 2 17 2 2 2 19" xfId="7076" xr:uid="{8EDB379E-E9B8-46D4-A963-609BD7E564F2}"/>
    <cellStyle name="Normal 2 17 2 2 2 2" xfId="7077" xr:uid="{3520AC42-3303-4858-8F7B-91AF2F31051F}"/>
    <cellStyle name="Normal 2 17 2 2 2 20" xfId="7078" xr:uid="{697A5841-9A7C-4A57-8687-FD36CA28DB26}"/>
    <cellStyle name="Normal 2 17 2 2 2 21" xfId="7079" xr:uid="{B5E3A37A-A850-447A-83CA-5EA54CBFA516}"/>
    <cellStyle name="Normal 2 17 2 2 2 22" xfId="7080" xr:uid="{A5778D62-FA6F-4325-B994-8A847ECD0804}"/>
    <cellStyle name="Normal 2 17 2 2 2 23" xfId="7081" xr:uid="{3A4FA605-F6EF-41BC-AB3A-0FB3497F4C1E}"/>
    <cellStyle name="Normal 2 17 2 2 2 24" xfId="7082" xr:uid="{4E212BA8-4A90-4805-A12C-580BF50B9535}"/>
    <cellStyle name="Normal 2 17 2 2 2 25" xfId="7083" xr:uid="{D1F7C00D-1C52-4DFC-A5A5-AEF61E87395A}"/>
    <cellStyle name="Normal 2 17 2 2 2 26" xfId="7084" xr:uid="{14B02BEE-9766-4569-B752-122E2955E48E}"/>
    <cellStyle name="Normal 2 17 2 2 2 27" xfId="7085" xr:uid="{03B35E71-4784-46C2-864F-05D6BA559A9D}"/>
    <cellStyle name="Normal 2 17 2 2 2 28" xfId="7086" xr:uid="{CA9BCD0B-890B-4985-AB38-BE4FCF443682}"/>
    <cellStyle name="Normal 2 17 2 2 2 29" xfId="7087" xr:uid="{485F2D68-4688-49F8-8838-B0CB823820DF}"/>
    <cellStyle name="Normal 2 17 2 2 2 3" xfId="7088" xr:uid="{DB5362F5-56B8-4ABD-9C9F-3C9395919DEC}"/>
    <cellStyle name="Normal 2 17 2 2 2 30" xfId="7089" xr:uid="{A1A8F4C0-1D7B-4234-89CF-F74918F6CE78}"/>
    <cellStyle name="Normal 2 17 2 2 2 31" xfId="7090" xr:uid="{AAA0ECBE-84D7-43E4-A3A6-DA627A153D90}"/>
    <cellStyle name="Normal 2 17 2 2 2 32" xfId="7091" xr:uid="{E353ECE2-C36B-40F8-B58D-B00F090A3CF1}"/>
    <cellStyle name="Normal 2 17 2 2 2 33" xfId="7092" xr:uid="{4CD3B281-7FE9-407E-8FF5-3E58705C8200}"/>
    <cellStyle name="Normal 2 17 2 2 2 34" xfId="7093" xr:uid="{8FA546F8-1166-4DA8-B60D-82B061F4DC40}"/>
    <cellStyle name="Normal 2 17 2 2 2 35" xfId="7094" xr:uid="{445F6331-2261-48A7-8401-B9E2456685DA}"/>
    <cellStyle name="Normal 2 17 2 2 2 36" xfId="7095" xr:uid="{3B16FE7A-4FEF-439A-8F75-C6E4A174D5BE}"/>
    <cellStyle name="Normal 2 17 2 2 2 37" xfId="7096" xr:uid="{EEC90758-EE3D-40DC-822A-48B708BD9B44}"/>
    <cellStyle name="Normal 2 17 2 2 2 38" xfId="7097" xr:uid="{8160C208-BBA4-4B2B-844E-F185BA0AB2E8}"/>
    <cellStyle name="Normal 2 17 2 2 2 4" xfId="7098" xr:uid="{9974070B-13AB-45C5-9AF7-03863A72C6B1}"/>
    <cellStyle name="Normal 2 17 2 2 2 5" xfId="7099" xr:uid="{302481D2-FF66-4134-9AAD-99FE26C87B5C}"/>
    <cellStyle name="Normal 2 17 2 2 2 6" xfId="7100" xr:uid="{A5E2C797-7CE0-4CEB-9080-992632E9010A}"/>
    <cellStyle name="Normal 2 17 2 2 2 7" xfId="7101" xr:uid="{E5E1987D-F41A-4082-8E71-F3BCB6DD1AAD}"/>
    <cellStyle name="Normal 2 17 2 2 2 8" xfId="7102" xr:uid="{1580184C-DC3A-4AF6-8E86-93897FBE3335}"/>
    <cellStyle name="Normal 2 17 2 2 2 9" xfId="7103" xr:uid="{B680BC6A-0DA7-4C0C-92BA-11D20286CF43}"/>
    <cellStyle name="Normal 2 17 2 2 20" xfId="7104" xr:uid="{F8BC2460-4050-4F6B-8E22-9A7C7D222070}"/>
    <cellStyle name="Normal 2 17 2 2 21" xfId="7105" xr:uid="{D3C70F7C-791A-4DFF-B1B5-FE10F17F3D73}"/>
    <cellStyle name="Normal 2 17 2 2 22" xfId="7106" xr:uid="{0E15C1D9-712E-4A7F-B6ED-8B2AA71AA726}"/>
    <cellStyle name="Normal 2 17 2 2 23" xfId="7107" xr:uid="{CB01A795-3329-48A7-92AB-BF9B90535737}"/>
    <cellStyle name="Normal 2 17 2 2 24" xfId="7108" xr:uid="{6243E09B-207F-4699-819E-EDBDEE17D265}"/>
    <cellStyle name="Normal 2 17 2 2 25" xfId="7109" xr:uid="{A7D484AE-943F-40F2-A4BC-1BA081B14D01}"/>
    <cellStyle name="Normal 2 17 2 2 26" xfId="7110" xr:uid="{81EC48F8-467F-4E77-A3E5-0DE52BB909DF}"/>
    <cellStyle name="Normal 2 17 2 2 27" xfId="7111" xr:uid="{ABDBC2F4-9701-41FC-9F43-93E1C91765EA}"/>
    <cellStyle name="Normal 2 17 2 2 28" xfId="7112" xr:uid="{05D23E02-A946-48D9-BFEA-55CA120D4579}"/>
    <cellStyle name="Normal 2 17 2 2 29" xfId="7113" xr:uid="{6BF596E3-1588-4A13-A574-49A27853BE86}"/>
    <cellStyle name="Normal 2 17 2 2 3" xfId="7114" xr:uid="{365C03C2-15D3-4B1C-A46B-75E3A465B5EF}"/>
    <cellStyle name="Normal 2 17 2 2 30" xfId="7115" xr:uid="{F4185853-6CDD-4AD4-B054-C16BC18810CA}"/>
    <cellStyle name="Normal 2 17 2 2 31" xfId="7116" xr:uid="{1EC7D869-E2A7-4278-BBA8-7C2E61F1C54E}"/>
    <cellStyle name="Normal 2 17 2 2 32" xfId="7117" xr:uid="{DB4BAD6A-E036-4D79-81BA-F4D15DC519AD}"/>
    <cellStyle name="Normal 2 17 2 2 33" xfId="7118" xr:uid="{BF5BD6BB-536B-468C-B3D4-ADE972D59DD5}"/>
    <cellStyle name="Normal 2 17 2 2 34" xfId="7119" xr:uid="{781CC279-2186-4F5F-B504-3D6FF2DE813B}"/>
    <cellStyle name="Normal 2 17 2 2 35" xfId="7120" xr:uid="{6E8D2356-C990-4CE1-8303-7A7F6132258F}"/>
    <cellStyle name="Normal 2 17 2 2 36" xfId="7121" xr:uid="{A8D1C3F2-9319-4B7F-AC5B-CB70387723B8}"/>
    <cellStyle name="Normal 2 17 2 2 37" xfId="7122" xr:uid="{E9515438-421B-4B28-858A-A1828F8B7063}"/>
    <cellStyle name="Normal 2 17 2 2 38" xfId="7123" xr:uid="{E094BAA4-6ED2-46D2-870A-A75875FC50F0}"/>
    <cellStyle name="Normal 2 17 2 2 4" xfId="7124" xr:uid="{A26DC77C-0BF9-4557-BE08-35E7F0983099}"/>
    <cellStyle name="Normal 2 17 2 2 5" xfId="7125" xr:uid="{E9EAF2C4-15E2-4CEA-804F-C4DBC6E9DD65}"/>
    <cellStyle name="Normal 2 17 2 2 6" xfId="7126" xr:uid="{65F61A80-8A6C-435E-9F84-378A55503AD1}"/>
    <cellStyle name="Normal 2 17 2 2 7" xfId="7127" xr:uid="{05089D86-4FC1-45F9-830A-E342416FF68A}"/>
    <cellStyle name="Normal 2 17 2 2 8" xfId="7128" xr:uid="{2BD592F0-780A-48A6-B36D-DAE9CC396AF7}"/>
    <cellStyle name="Normal 2 17 2 2 9" xfId="7129" xr:uid="{A4B9923A-979D-41AC-9480-04057E927DB7}"/>
    <cellStyle name="Normal 2 17 2 20" xfId="7130" xr:uid="{1F59C0C6-3D7C-4295-A2BE-0B5F99AE0A87}"/>
    <cellStyle name="Normal 2 17 2 21" xfId="7131" xr:uid="{56CC1FA4-5EF8-4355-B9C5-65BB7BBFD5E6}"/>
    <cellStyle name="Normal 2 17 2 22" xfId="7132" xr:uid="{63CCB12A-7F84-4153-9E7B-2531F8156F36}"/>
    <cellStyle name="Normal 2 17 2 23" xfId="7133" xr:uid="{CAD8FC91-9A5A-4794-8806-2B598EAAF8E1}"/>
    <cellStyle name="Normal 2 17 2 24" xfId="7134" xr:uid="{739B429E-215D-426E-882E-F5BF1CAB964E}"/>
    <cellStyle name="Normal 2 17 2 25" xfId="7135" xr:uid="{04EA9435-959C-4F0D-9C49-3DE573F8EAE2}"/>
    <cellStyle name="Normal 2 17 2 26" xfId="7136" xr:uid="{0243A6F4-EE08-40BF-ADE3-05C4AB6D6933}"/>
    <cellStyle name="Normal 2 17 2 27" xfId="7137" xr:uid="{8804FD2F-3913-4B4C-A047-320872FF2D2E}"/>
    <cellStyle name="Normal 2 17 2 28" xfId="7138" xr:uid="{FF6B18A2-3C9A-4FE6-B329-8A87CBC68F8A}"/>
    <cellStyle name="Normal 2 17 2 29" xfId="7139" xr:uid="{6C10D6DB-8415-4214-9F27-54360360DE2F}"/>
    <cellStyle name="Normal 2 17 2 3" xfId="7140" xr:uid="{6C397012-97ED-4715-9B19-183150903438}"/>
    <cellStyle name="Normal 2 17 2 30" xfId="7141" xr:uid="{2FB09A98-72DD-4542-97D7-BA99C26D6926}"/>
    <cellStyle name="Normal 2 17 2 31" xfId="7142" xr:uid="{C6A2C88E-1412-44C6-B422-FDBE624DDFDB}"/>
    <cellStyle name="Normal 2 17 2 32" xfId="7143" xr:uid="{EB05303D-4629-4681-90EC-DDD0804CDDF8}"/>
    <cellStyle name="Normal 2 17 2 33" xfId="7144" xr:uid="{0CF66904-9670-4721-8163-350EF41036B5}"/>
    <cellStyle name="Normal 2 17 2 34" xfId="7145" xr:uid="{5E0A9B01-2467-4DEA-BD3E-16A42CFA965F}"/>
    <cellStyle name="Normal 2 17 2 35" xfId="7146" xr:uid="{1F4DF15B-A0C5-4AED-A56E-072A0F344013}"/>
    <cellStyle name="Normal 2 17 2 36" xfId="7147" xr:uid="{5428F8D5-98D8-4286-8698-C3AF1AFD3A9B}"/>
    <cellStyle name="Normal 2 17 2 37" xfId="7148" xr:uid="{9B739E12-55CB-4C07-9671-7C42C62DFC96}"/>
    <cellStyle name="Normal 2 17 2 38" xfId="7149" xr:uid="{ACBF2907-8F11-484D-9E13-0722796570B3}"/>
    <cellStyle name="Normal 2 17 2 39" xfId="7150" xr:uid="{20725114-1061-470A-9F34-557E3F5A5CBB}"/>
    <cellStyle name="Normal 2 17 2 4" xfId="7151" xr:uid="{E61E9A02-71C6-48C7-B45A-C13169874D90}"/>
    <cellStyle name="Normal 2 17 2 40" xfId="7152" xr:uid="{8D33AD00-6FD8-42DC-BAAD-CFF2ED9B7BF6}"/>
    <cellStyle name="Normal 2 17 2 5" xfId="7153" xr:uid="{F95DB284-5D2B-464C-9F83-4C3A79C7F4DB}"/>
    <cellStyle name="Normal 2 17 2 6" xfId="7154" xr:uid="{74EF7B93-13C8-415D-90F6-7E1F5897AAF6}"/>
    <cellStyle name="Normal 2 17 2 7" xfId="7155" xr:uid="{F07263BB-A344-4387-81CB-56436F74CD6C}"/>
    <cellStyle name="Normal 2 17 2 8" xfId="7156" xr:uid="{A4335795-4959-4321-8649-9E225A52B9EA}"/>
    <cellStyle name="Normal 2 17 2 9" xfId="7157" xr:uid="{05587DEE-A407-4D87-87C5-376276294295}"/>
    <cellStyle name="Normal 2 17 20" xfId="7158" xr:uid="{16F302EE-39BF-4039-A882-240751880B7D}"/>
    <cellStyle name="Normal 2 17 21" xfId="7159" xr:uid="{9C9D398B-5F0D-499D-BCE5-D394C309FDFF}"/>
    <cellStyle name="Normal 2 17 22" xfId="7160" xr:uid="{09312C05-6D3F-4894-BCBB-CC1E75F4E84C}"/>
    <cellStyle name="Normal 2 17 23" xfId="7161" xr:uid="{C136441C-5AB1-4151-88ED-4D2098D588A8}"/>
    <cellStyle name="Normal 2 17 24" xfId="7162" xr:uid="{CDB81529-FD3D-4783-827D-C097225F2295}"/>
    <cellStyle name="Normal 2 17 25" xfId="7163" xr:uid="{5F9FBB90-BF3B-48BE-AA8C-D97FAABB257F}"/>
    <cellStyle name="Normal 2 17 26" xfId="7164" xr:uid="{496DDCD2-B07A-4171-9611-45344BCEB4B2}"/>
    <cellStyle name="Normal 2 17 27" xfId="7165" xr:uid="{012BFDC8-3FC2-4355-BAEF-E850B4AF332D}"/>
    <cellStyle name="Normal 2 17 28" xfId="7166" xr:uid="{6B5DF107-57C4-4413-95A5-6E6E7BD87A4A}"/>
    <cellStyle name="Normal 2 17 29" xfId="7167" xr:uid="{38675769-ADCB-45C6-B336-EFFB258D3A5D}"/>
    <cellStyle name="Normal 2 17 3" xfId="7168" xr:uid="{D0BD1EAC-DE9A-4C14-B249-11355114B69C}"/>
    <cellStyle name="Normal 2 17 3 10" xfId="7169" xr:uid="{4004C271-223E-4B93-A1AB-92705C8975C3}"/>
    <cellStyle name="Normal 2 17 3 11" xfId="7170" xr:uid="{11C194A7-F7F5-4DBC-B205-41FCE5412C04}"/>
    <cellStyle name="Normal 2 17 3 12" xfId="7171" xr:uid="{FFA3F937-5B5A-4F8E-B7D4-ACC4DD37C51E}"/>
    <cellStyle name="Normal 2 17 3 13" xfId="7172" xr:uid="{4C376730-1A3B-4120-BB27-066B217226D2}"/>
    <cellStyle name="Normal 2 17 3 14" xfId="7173" xr:uid="{153B4DB0-D207-41B5-9270-D75B4A8D75F4}"/>
    <cellStyle name="Normal 2 17 3 15" xfId="7174" xr:uid="{77C54E13-5357-479A-928B-246A6979D175}"/>
    <cellStyle name="Normal 2 17 3 16" xfId="7175" xr:uid="{CEEBE7C3-335D-4B42-BC7C-5C5403990633}"/>
    <cellStyle name="Normal 2 17 3 17" xfId="7176" xr:uid="{3A587F10-2EB5-4A3B-8BAF-A772E18B2C6B}"/>
    <cellStyle name="Normal 2 17 3 18" xfId="7177" xr:uid="{656B9BD3-809A-411D-9BE7-D9032E8E2849}"/>
    <cellStyle name="Normal 2 17 3 19" xfId="7178" xr:uid="{BA49D2B9-A8A0-4B96-B73A-76596007F076}"/>
    <cellStyle name="Normal 2 17 3 2" xfId="7179" xr:uid="{E8DF6AFF-2D8C-40EC-9435-CF44846962B0}"/>
    <cellStyle name="Normal 2 17 3 2 10" xfId="7180" xr:uid="{4287291A-13B4-4D75-A8F0-C180C13D7E0D}"/>
    <cellStyle name="Normal 2 17 3 2 11" xfId="7181" xr:uid="{782A98AE-76EB-48B0-89D2-A33993D67468}"/>
    <cellStyle name="Normal 2 17 3 2 12" xfId="7182" xr:uid="{170021E8-5841-4D7B-9FF3-E75EC1F31992}"/>
    <cellStyle name="Normal 2 17 3 2 13" xfId="7183" xr:uid="{91C29047-E8B7-466F-909D-C628BA411E71}"/>
    <cellStyle name="Normal 2 17 3 2 14" xfId="7184" xr:uid="{B412F4B3-FD27-4EE9-AE05-AB5EBBE3BB49}"/>
    <cellStyle name="Normal 2 17 3 2 15" xfId="7185" xr:uid="{250A1C17-5A10-482C-9856-94BB2F899312}"/>
    <cellStyle name="Normal 2 17 3 2 16" xfId="7186" xr:uid="{4A932742-2417-4176-8BD9-D579990B1A2F}"/>
    <cellStyle name="Normal 2 17 3 2 17" xfId="7187" xr:uid="{5684FA3C-D84B-4741-B46E-4E8173A5296D}"/>
    <cellStyle name="Normal 2 17 3 2 18" xfId="7188" xr:uid="{FEC5359A-3369-4111-B980-865B55CD0DF5}"/>
    <cellStyle name="Normal 2 17 3 2 19" xfId="7189" xr:uid="{0D0871BD-1800-4B9F-AC99-C3C8296D2670}"/>
    <cellStyle name="Normal 2 17 3 2 2" xfId="7190" xr:uid="{131ECE6D-9133-433C-991A-6691E3BDC1DD}"/>
    <cellStyle name="Normal 2 17 3 2 20" xfId="7191" xr:uid="{6623C9C6-3196-45F7-B571-BADF323E25D4}"/>
    <cellStyle name="Normal 2 17 3 2 21" xfId="7192" xr:uid="{6B6425D0-09E6-467C-AD74-30D6BEFCEC7F}"/>
    <cellStyle name="Normal 2 17 3 2 22" xfId="7193" xr:uid="{F4368BDA-5D28-48C3-83BD-FEFBDD0840E7}"/>
    <cellStyle name="Normal 2 17 3 2 23" xfId="7194" xr:uid="{E35F1654-5F11-4114-B0C4-CFED88985DF4}"/>
    <cellStyle name="Normal 2 17 3 2 24" xfId="7195" xr:uid="{99EEACA3-2997-467B-9405-0475E6877F7F}"/>
    <cellStyle name="Normal 2 17 3 2 25" xfId="7196" xr:uid="{08F86014-9B86-4600-9BB6-052AA7973007}"/>
    <cellStyle name="Normal 2 17 3 2 26" xfId="7197" xr:uid="{AF1B586B-1524-4039-BACC-1B28FCDA7F50}"/>
    <cellStyle name="Normal 2 17 3 2 27" xfId="7198" xr:uid="{C473425A-A8E2-4067-AE97-977B431DA91E}"/>
    <cellStyle name="Normal 2 17 3 2 28" xfId="7199" xr:uid="{36D47251-55FC-4548-8F36-13A6EA7DCEFD}"/>
    <cellStyle name="Normal 2 17 3 2 29" xfId="7200" xr:uid="{DA0EA33E-58CA-498B-AD78-B0B0409F9164}"/>
    <cellStyle name="Normal 2 17 3 2 3" xfId="7201" xr:uid="{1B7A01EE-21D9-45F7-AC4D-9EBDC932E823}"/>
    <cellStyle name="Normal 2 17 3 2 30" xfId="7202" xr:uid="{7348B522-E622-4801-8CCC-B87C4E1A0A82}"/>
    <cellStyle name="Normal 2 17 3 2 31" xfId="7203" xr:uid="{88066873-93E0-42C3-9F5A-61C0C3A48A47}"/>
    <cellStyle name="Normal 2 17 3 2 32" xfId="7204" xr:uid="{37E4CB1D-7326-4EFE-A899-35011F2E3F17}"/>
    <cellStyle name="Normal 2 17 3 2 33" xfId="7205" xr:uid="{342EF4EC-6ED9-4180-9A87-02F9C3C08541}"/>
    <cellStyle name="Normal 2 17 3 2 34" xfId="7206" xr:uid="{E468A34D-BDCD-4871-8845-0E7DCF37003D}"/>
    <cellStyle name="Normal 2 17 3 2 35" xfId="7207" xr:uid="{DA1D4FF2-94E8-4F40-B36B-0577D55CB55E}"/>
    <cellStyle name="Normal 2 17 3 2 36" xfId="7208" xr:uid="{792C0656-A636-4F92-A5C2-A33E8DB649C4}"/>
    <cellStyle name="Normal 2 17 3 2 37" xfId="7209" xr:uid="{9DA8F5A9-A5F9-4783-88C9-4482F687D2D5}"/>
    <cellStyle name="Normal 2 17 3 2 38" xfId="7210" xr:uid="{1D7F9B2F-0B7D-4B80-9E1F-02F410A001CA}"/>
    <cellStyle name="Normal 2 17 3 2 4" xfId="7211" xr:uid="{682A9F7D-491E-4390-BFC3-84B1C443799C}"/>
    <cellStyle name="Normal 2 17 3 2 5" xfId="7212" xr:uid="{C7AACDDE-B54E-481D-9C3B-32CEB8B9A2E9}"/>
    <cellStyle name="Normal 2 17 3 2 6" xfId="7213" xr:uid="{5248F2D7-296C-4CD0-89B1-677944AE77C6}"/>
    <cellStyle name="Normal 2 17 3 2 7" xfId="7214" xr:uid="{22F2A8A5-B199-402D-8169-097F13C399DD}"/>
    <cellStyle name="Normal 2 17 3 2 8" xfId="7215" xr:uid="{3942AF5A-F49B-4A68-8D0E-3EA12B7772F6}"/>
    <cellStyle name="Normal 2 17 3 2 9" xfId="7216" xr:uid="{B225C7DC-8A16-4871-9811-A2A6F369E591}"/>
    <cellStyle name="Normal 2 17 3 20" xfId="7217" xr:uid="{5592AA94-B09B-4AE5-88EA-5CB5E85A63D7}"/>
    <cellStyle name="Normal 2 17 3 21" xfId="7218" xr:uid="{94939CC9-DDFA-40C1-9AEB-BCEE99794C26}"/>
    <cellStyle name="Normal 2 17 3 22" xfId="7219" xr:uid="{96451F1F-D94A-4A6F-AC3F-4747D28B29EF}"/>
    <cellStyle name="Normal 2 17 3 23" xfId="7220" xr:uid="{691FA05B-96DC-46D0-A825-A45670DA82C1}"/>
    <cellStyle name="Normal 2 17 3 24" xfId="7221" xr:uid="{8D31F162-D828-4D01-ABF4-51B39A90D162}"/>
    <cellStyle name="Normal 2 17 3 25" xfId="7222" xr:uid="{32CF7F44-6758-4C75-A95E-0A39519EC2DC}"/>
    <cellStyle name="Normal 2 17 3 26" xfId="7223" xr:uid="{E9AA46D1-7185-45C3-9811-20FAB333C112}"/>
    <cellStyle name="Normal 2 17 3 27" xfId="7224" xr:uid="{8A201342-9762-42B1-9206-5A230E15E854}"/>
    <cellStyle name="Normal 2 17 3 28" xfId="7225" xr:uid="{22E17EBE-F4DA-41F6-B355-64064C763616}"/>
    <cellStyle name="Normal 2 17 3 29" xfId="7226" xr:uid="{DDD67433-21F7-4996-B039-689D186D36BA}"/>
    <cellStyle name="Normal 2 17 3 3" xfId="7227" xr:uid="{2FF2DBC2-897C-43AC-AC06-246A52203CFC}"/>
    <cellStyle name="Normal 2 17 3 30" xfId="7228" xr:uid="{54492A34-E85A-4422-89C7-7431C8743B67}"/>
    <cellStyle name="Normal 2 17 3 31" xfId="7229" xr:uid="{60BEAD10-0EBA-43BE-AF52-8A9CBDBD8389}"/>
    <cellStyle name="Normal 2 17 3 32" xfId="7230" xr:uid="{43781E1E-5C3C-4D81-B5FA-9BCD068E4588}"/>
    <cellStyle name="Normal 2 17 3 33" xfId="7231" xr:uid="{EA5E6FF5-6AE4-4154-9EDE-901021D28C1B}"/>
    <cellStyle name="Normal 2 17 3 34" xfId="7232" xr:uid="{B16DDCC2-0377-499D-9CB9-C7B3CBDCF02B}"/>
    <cellStyle name="Normal 2 17 3 35" xfId="7233" xr:uid="{3849A3A2-35E0-4123-AC1E-BA859A91ADFD}"/>
    <cellStyle name="Normal 2 17 3 36" xfId="7234" xr:uid="{E77B3D21-2008-4C06-AEFD-CA588C8FE9F7}"/>
    <cellStyle name="Normal 2 17 3 37" xfId="7235" xr:uid="{63F14661-0A8F-4B45-A5B0-3AECB68BCD66}"/>
    <cellStyle name="Normal 2 17 3 38" xfId="7236" xr:uid="{7189DCAE-D52E-4778-A70F-C0339E6B008A}"/>
    <cellStyle name="Normal 2 17 3 4" xfId="7237" xr:uid="{F19B3147-F6AA-4C38-A903-4A0281255F57}"/>
    <cellStyle name="Normal 2 17 3 5" xfId="7238" xr:uid="{15E78C7A-85AD-4452-A452-A46274D66812}"/>
    <cellStyle name="Normal 2 17 3 6" xfId="7239" xr:uid="{500306DF-AAD4-41FA-93B9-82A44B6D715B}"/>
    <cellStyle name="Normal 2 17 3 7" xfId="7240" xr:uid="{508C82DA-02FE-42EC-B8AD-0E99A5D25CF7}"/>
    <cellStyle name="Normal 2 17 3 8" xfId="7241" xr:uid="{B9071A81-C74D-4B0C-ABBD-26AB8C6A795E}"/>
    <cellStyle name="Normal 2 17 3 9" xfId="7242" xr:uid="{F2F74D62-535B-4B73-901C-A22935106B1B}"/>
    <cellStyle name="Normal 2 17 30" xfId="7243" xr:uid="{6CB7E051-BE1A-4984-9AAC-39F290E77114}"/>
    <cellStyle name="Normal 2 17 31" xfId="7244" xr:uid="{98A94B1D-3C93-4C76-A4FF-3B04B5703620}"/>
    <cellStyle name="Normal 2 17 32" xfId="7245" xr:uid="{D5D1A1E4-76FC-4419-9D2F-BB0193F43EB9}"/>
    <cellStyle name="Normal 2 17 33" xfId="7246" xr:uid="{0816E635-2CC8-4216-91F5-C027C564A043}"/>
    <cellStyle name="Normal 2 17 34" xfId="7247" xr:uid="{6FE4179A-410E-4A72-B5B5-A6A0BCD4F53D}"/>
    <cellStyle name="Normal 2 17 35" xfId="7248" xr:uid="{D8ED72D9-140A-41B9-A53B-5CEB69A2F00D}"/>
    <cellStyle name="Normal 2 17 36" xfId="7249" xr:uid="{DC7611A8-11AE-439B-8E86-DB805255D09F}"/>
    <cellStyle name="Normal 2 17 37" xfId="7250" xr:uid="{F56756C9-BE3D-45A4-AB2E-BDE1D84E6570}"/>
    <cellStyle name="Normal 2 17 38" xfId="7251" xr:uid="{E2316ACC-32AF-4DB5-9C1C-57FC87AC1547}"/>
    <cellStyle name="Normal 2 17 39" xfId="7252" xr:uid="{F0C34A9A-35F9-4066-8F79-7164DCB1601A}"/>
    <cellStyle name="Normal 2 17 4" xfId="7253" xr:uid="{3B63A39C-7F8B-4A82-9E0A-CD8005AF764E}"/>
    <cellStyle name="Normal 2 17 40" xfId="7254" xr:uid="{1F40D5A3-E7FB-4DC9-A4FF-81037F87CA17}"/>
    <cellStyle name="Normal 2 17 5" xfId="7255" xr:uid="{19FDEE78-EDA7-4EDA-A3B8-A7DCF5D6FE8D}"/>
    <cellStyle name="Normal 2 17 6" xfId="7256" xr:uid="{D230FF10-3F33-4345-872F-64415AA499AF}"/>
    <cellStyle name="Normal 2 17 7" xfId="7257" xr:uid="{354FB043-192B-4E73-A848-922E6A45C3D5}"/>
    <cellStyle name="Normal 2 17 8" xfId="7258" xr:uid="{1A56486D-7C11-4C59-AE91-FF81D07514CD}"/>
    <cellStyle name="Normal 2 17 9" xfId="7259" xr:uid="{55D021DD-1033-49FC-9961-74EA153A5A6A}"/>
    <cellStyle name="Normal 2 18" xfId="7260" xr:uid="{884D2946-BAB5-40B9-B3C0-B125639E9302}"/>
    <cellStyle name="Normal 2 18 10" xfId="7261" xr:uid="{08A1C10A-5673-4A8B-A842-35B2499EE1D3}"/>
    <cellStyle name="Normal 2 18 11" xfId="7262" xr:uid="{1BA6BDE1-9FE8-48D0-BF19-D958B3E291B9}"/>
    <cellStyle name="Normal 2 18 12" xfId="7263" xr:uid="{7DF73E59-A715-47B4-A40D-E164A816AA4B}"/>
    <cellStyle name="Normal 2 18 13" xfId="7264" xr:uid="{34A794D2-45A9-469E-B181-F0091C106597}"/>
    <cellStyle name="Normal 2 18 14" xfId="7265" xr:uid="{41FA5D2B-1A17-4F6C-814F-84CDCF9295C3}"/>
    <cellStyle name="Normal 2 18 15" xfId="7266" xr:uid="{7DA61F37-3F9C-440A-BE18-E86EC67FA9E4}"/>
    <cellStyle name="Normal 2 18 16" xfId="7267" xr:uid="{DBADD9E4-092E-4AFC-ABFE-10549EBED116}"/>
    <cellStyle name="Normal 2 18 17" xfId="7268" xr:uid="{45A2DC04-BC29-4DFC-BC17-1EF5C7388863}"/>
    <cellStyle name="Normal 2 18 18" xfId="7269" xr:uid="{E1F280DB-88C9-4395-8CD7-D86849A72398}"/>
    <cellStyle name="Normal 2 18 19" xfId="7270" xr:uid="{E6104ADC-ECD6-40DE-9556-BD683ED17CF0}"/>
    <cellStyle name="Normal 2 18 2" xfId="7271" xr:uid="{0F56AE05-6DA7-449C-9299-C04F64858FD6}"/>
    <cellStyle name="Normal 2 18 2 10" xfId="7272" xr:uid="{4E3D1F48-FE8E-46A9-B9FA-2F12F7428417}"/>
    <cellStyle name="Normal 2 18 2 11" xfId="7273" xr:uid="{720E657A-9A9B-48BB-AA23-BBABE197B463}"/>
    <cellStyle name="Normal 2 18 2 12" xfId="7274" xr:uid="{DAF722F6-23A1-4571-9299-DFFE89558A71}"/>
    <cellStyle name="Normal 2 18 2 13" xfId="7275" xr:uid="{E6F616E8-1DE2-49F5-871A-32A137F59724}"/>
    <cellStyle name="Normal 2 18 2 14" xfId="7276" xr:uid="{402A289A-A4DB-4ED8-8CF0-6ED8EF563489}"/>
    <cellStyle name="Normal 2 18 2 15" xfId="7277" xr:uid="{B3B68833-7241-4181-841F-26B92D6B267C}"/>
    <cellStyle name="Normal 2 18 2 16" xfId="7278" xr:uid="{DBB4A75D-3B38-4349-A7E3-90CE481EAC3F}"/>
    <cellStyle name="Normal 2 18 2 17" xfId="7279" xr:uid="{98937577-DA9A-4E62-8B58-A46127879B95}"/>
    <cellStyle name="Normal 2 18 2 18" xfId="7280" xr:uid="{5452157C-A902-4B47-B504-728DEE3ED696}"/>
    <cellStyle name="Normal 2 18 2 19" xfId="7281" xr:uid="{49FE40AF-8F7A-4AE0-BC7E-14F9E733A730}"/>
    <cellStyle name="Normal 2 18 2 2" xfId="7282" xr:uid="{904FAB51-F7A2-4C8C-86E3-6879858F2A40}"/>
    <cellStyle name="Normal 2 18 2 2 10" xfId="7283" xr:uid="{5AF5DE61-5CF5-4239-9DBA-916D6D246DB2}"/>
    <cellStyle name="Normal 2 18 2 2 11" xfId="7284" xr:uid="{0AC5764C-97DE-4784-A1DA-BAB170924BDE}"/>
    <cellStyle name="Normal 2 18 2 2 12" xfId="7285" xr:uid="{F3C8E1F4-3198-4251-8A58-504EDFE27C99}"/>
    <cellStyle name="Normal 2 18 2 2 13" xfId="7286" xr:uid="{C6605EAF-A985-48B7-81BB-A90DA878C81A}"/>
    <cellStyle name="Normal 2 18 2 2 14" xfId="7287" xr:uid="{CA94DFAD-EB13-4485-BA58-36F916CD0106}"/>
    <cellStyle name="Normal 2 18 2 2 15" xfId="7288" xr:uid="{07997CE1-07CD-46D7-A629-A100A60483B7}"/>
    <cellStyle name="Normal 2 18 2 2 16" xfId="7289" xr:uid="{8489E51E-B45C-4AA4-A487-37F9B670EC34}"/>
    <cellStyle name="Normal 2 18 2 2 17" xfId="7290" xr:uid="{E36078BD-BAEC-4A6B-A87D-AE971E62D667}"/>
    <cellStyle name="Normal 2 18 2 2 18" xfId="7291" xr:uid="{3AC6880A-E986-43D2-9AB2-96D7244386A0}"/>
    <cellStyle name="Normal 2 18 2 2 19" xfId="7292" xr:uid="{3A04017D-0B69-4A37-810C-E3C9AC5B7135}"/>
    <cellStyle name="Normal 2 18 2 2 2" xfId="7293" xr:uid="{16EB3E88-6B37-439C-BA18-E6997D29A0B9}"/>
    <cellStyle name="Normal 2 18 2 2 2 10" xfId="7294" xr:uid="{9A49DCDF-24BD-4C20-A5A4-0D948F59DBAC}"/>
    <cellStyle name="Normal 2 18 2 2 2 11" xfId="7295" xr:uid="{7DBF7E47-F1E3-4D8D-A825-11391CCC09DB}"/>
    <cellStyle name="Normal 2 18 2 2 2 12" xfId="7296" xr:uid="{92B1AADF-0342-4CC5-A325-F22FFDA6C248}"/>
    <cellStyle name="Normal 2 18 2 2 2 13" xfId="7297" xr:uid="{030C321C-EB0D-4BBC-9140-336578CCBBBB}"/>
    <cellStyle name="Normal 2 18 2 2 2 14" xfId="7298" xr:uid="{C1EB3323-527F-4C10-9258-A9EDAA71F2D9}"/>
    <cellStyle name="Normal 2 18 2 2 2 15" xfId="7299" xr:uid="{F57CF17C-C628-4ECF-A6F3-2D7270FFCC5A}"/>
    <cellStyle name="Normal 2 18 2 2 2 16" xfId="7300" xr:uid="{02BA9F6A-1533-4180-8824-D94ACDBAACCF}"/>
    <cellStyle name="Normal 2 18 2 2 2 17" xfId="7301" xr:uid="{1E258BC5-707A-44B5-A8C5-590FEE0A6FF1}"/>
    <cellStyle name="Normal 2 18 2 2 2 18" xfId="7302" xr:uid="{0E0821A6-528F-4D52-B608-6BDD30F94A7A}"/>
    <cellStyle name="Normal 2 18 2 2 2 19" xfId="7303" xr:uid="{3330CBC0-AC2A-43B6-92A0-305B6370F622}"/>
    <cellStyle name="Normal 2 18 2 2 2 2" xfId="7304" xr:uid="{2D09EA17-D13F-4390-951B-2CB13CE0FB99}"/>
    <cellStyle name="Normal 2 18 2 2 2 20" xfId="7305" xr:uid="{C96791BA-E292-4903-BFB1-CDF6E4DC9441}"/>
    <cellStyle name="Normal 2 18 2 2 2 21" xfId="7306" xr:uid="{D3026191-D31F-406C-92E2-EF6BE344AF35}"/>
    <cellStyle name="Normal 2 18 2 2 2 22" xfId="7307" xr:uid="{CA005D1F-A430-45BF-9118-26795221BA5C}"/>
    <cellStyle name="Normal 2 18 2 2 2 23" xfId="7308" xr:uid="{636ECF6E-D36C-4C73-B798-8F024CDCBC00}"/>
    <cellStyle name="Normal 2 18 2 2 2 24" xfId="7309" xr:uid="{D1E9F23B-77E7-4CDA-96C9-74E3E6248020}"/>
    <cellStyle name="Normal 2 18 2 2 2 25" xfId="7310" xr:uid="{3D34437D-C7AA-4839-A6CA-F33E8ED6532D}"/>
    <cellStyle name="Normal 2 18 2 2 2 26" xfId="7311" xr:uid="{28946592-B8F4-4FA9-A274-8D7DC2BAB247}"/>
    <cellStyle name="Normal 2 18 2 2 2 27" xfId="7312" xr:uid="{1A052E46-A609-40E2-8448-61A5561CE7CB}"/>
    <cellStyle name="Normal 2 18 2 2 2 28" xfId="7313" xr:uid="{4D77C6A1-824C-4BAC-B471-0801B4273350}"/>
    <cellStyle name="Normal 2 18 2 2 2 29" xfId="7314" xr:uid="{514FB828-01C3-4E37-9FED-7C18C2037F47}"/>
    <cellStyle name="Normal 2 18 2 2 2 3" xfId="7315" xr:uid="{EE9E55AF-544E-4DE2-AF6C-1E6DE10F5588}"/>
    <cellStyle name="Normal 2 18 2 2 2 30" xfId="7316" xr:uid="{63D1FD67-E100-4D0C-879B-5696BED0CB68}"/>
    <cellStyle name="Normal 2 18 2 2 2 31" xfId="7317" xr:uid="{D41B2497-8758-4FEE-A759-3852728C6E0A}"/>
    <cellStyle name="Normal 2 18 2 2 2 32" xfId="7318" xr:uid="{9BC041AA-36E1-4644-AB61-67C4B63B97A0}"/>
    <cellStyle name="Normal 2 18 2 2 2 33" xfId="7319" xr:uid="{BA8500E8-729F-4FBE-B815-BF6C301D7CF6}"/>
    <cellStyle name="Normal 2 18 2 2 2 34" xfId="7320" xr:uid="{5767721F-FCEB-46FF-B78B-ACD1649EC6AC}"/>
    <cellStyle name="Normal 2 18 2 2 2 35" xfId="7321" xr:uid="{DD748655-D3D7-4B48-A173-C2F45ABDAD7B}"/>
    <cellStyle name="Normal 2 18 2 2 2 36" xfId="7322" xr:uid="{1C43884B-BE1B-4C78-BF69-892DC5751EEF}"/>
    <cellStyle name="Normal 2 18 2 2 2 37" xfId="7323" xr:uid="{9564EC48-3755-48CC-8E16-E9052FCC7972}"/>
    <cellStyle name="Normal 2 18 2 2 2 38" xfId="7324" xr:uid="{F68CA120-0B50-4C22-868F-53C1F107CEE1}"/>
    <cellStyle name="Normal 2 18 2 2 2 4" xfId="7325" xr:uid="{7AFAC12A-20B8-4F51-A730-C2614CCBB1DD}"/>
    <cellStyle name="Normal 2 18 2 2 2 5" xfId="7326" xr:uid="{3B15E832-1EFA-4C42-8A4A-ED3F05F48644}"/>
    <cellStyle name="Normal 2 18 2 2 2 6" xfId="7327" xr:uid="{C0100752-2A0D-438B-8FF9-5E90F9B5EA68}"/>
    <cellStyle name="Normal 2 18 2 2 2 7" xfId="7328" xr:uid="{68B99F28-FFF7-434B-B681-C002158A6918}"/>
    <cellStyle name="Normal 2 18 2 2 2 8" xfId="7329" xr:uid="{6A16AAD1-1DA0-4C86-BCA9-5423C2EF8404}"/>
    <cellStyle name="Normal 2 18 2 2 2 9" xfId="7330" xr:uid="{A8160973-07AD-454B-B1B2-8B0BAAE83E1D}"/>
    <cellStyle name="Normal 2 18 2 2 20" xfId="7331" xr:uid="{AB7D9E57-C6C0-4E2F-BEF6-89C38052B981}"/>
    <cellStyle name="Normal 2 18 2 2 21" xfId="7332" xr:uid="{7C719997-2998-485D-BDA9-C08F8CB688DC}"/>
    <cellStyle name="Normal 2 18 2 2 22" xfId="7333" xr:uid="{3253BE8E-5D60-42F4-A1FC-B2A2EFEE73BD}"/>
    <cellStyle name="Normal 2 18 2 2 23" xfId="7334" xr:uid="{7C80CFB9-CBC5-414E-9519-A4BDD1CA7115}"/>
    <cellStyle name="Normal 2 18 2 2 24" xfId="7335" xr:uid="{70158ED2-7A11-45AB-9507-61ECD9143927}"/>
    <cellStyle name="Normal 2 18 2 2 25" xfId="7336" xr:uid="{6FE6CFB5-EDAB-4EDC-9496-15903111C656}"/>
    <cellStyle name="Normal 2 18 2 2 26" xfId="7337" xr:uid="{A5F4D6AF-A141-49E1-8366-53BD466CA83E}"/>
    <cellStyle name="Normal 2 18 2 2 27" xfId="7338" xr:uid="{2B6340F2-A799-4C83-BF5F-7FD7C3F70485}"/>
    <cellStyle name="Normal 2 18 2 2 28" xfId="7339" xr:uid="{6C7D02EB-76C7-4EC4-89C8-94C6F4980018}"/>
    <cellStyle name="Normal 2 18 2 2 29" xfId="7340" xr:uid="{DB791A2A-AC71-49E7-8149-FE75F5C0D27D}"/>
    <cellStyle name="Normal 2 18 2 2 3" xfId="7341" xr:uid="{9CF576A2-79B7-4166-B9DB-3870F6F74A09}"/>
    <cellStyle name="Normal 2 18 2 2 30" xfId="7342" xr:uid="{DD1E03DA-8E98-49C1-87C3-1D355FD9BDB4}"/>
    <cellStyle name="Normal 2 18 2 2 31" xfId="7343" xr:uid="{50085BA0-42B0-4F5C-955C-D83F86772C62}"/>
    <cellStyle name="Normal 2 18 2 2 32" xfId="7344" xr:uid="{D3E568BA-98F9-469F-B098-AB784A763FF7}"/>
    <cellStyle name="Normal 2 18 2 2 33" xfId="7345" xr:uid="{6FA9D8D4-6386-4271-AD29-24D026BB26DF}"/>
    <cellStyle name="Normal 2 18 2 2 34" xfId="7346" xr:uid="{49B6D1CF-7B8B-4114-9C9C-CD7E64F544CE}"/>
    <cellStyle name="Normal 2 18 2 2 35" xfId="7347" xr:uid="{826B09EF-B3C7-4BE8-94C1-67C2EDED9565}"/>
    <cellStyle name="Normal 2 18 2 2 36" xfId="7348" xr:uid="{A05DF4AE-C6F7-46D7-B9E2-31B8A0B6D659}"/>
    <cellStyle name="Normal 2 18 2 2 37" xfId="7349" xr:uid="{752EE389-2FC7-4DE7-A780-F06D17213873}"/>
    <cellStyle name="Normal 2 18 2 2 38" xfId="7350" xr:uid="{6FED63FE-A485-47F7-996B-0426FBD98678}"/>
    <cellStyle name="Normal 2 18 2 2 4" xfId="7351" xr:uid="{D1CF8DA9-3FDB-4FCF-A7E9-AC4E2FF45A58}"/>
    <cellStyle name="Normal 2 18 2 2 5" xfId="7352" xr:uid="{E2FF7C7C-3482-4DC0-A69C-3055DA058C9A}"/>
    <cellStyle name="Normal 2 18 2 2 6" xfId="7353" xr:uid="{7FC05E94-F8CD-4B75-8201-7CDF7DB0ACF2}"/>
    <cellStyle name="Normal 2 18 2 2 7" xfId="7354" xr:uid="{B7D48EB7-288C-4315-B3CC-3885EB5545BE}"/>
    <cellStyle name="Normal 2 18 2 2 8" xfId="7355" xr:uid="{78E3046D-82E8-4881-9989-D936178943AB}"/>
    <cellStyle name="Normal 2 18 2 2 9" xfId="7356" xr:uid="{4F8017B3-2D4B-496B-A0D5-C6772D506F34}"/>
    <cellStyle name="Normal 2 18 2 20" xfId="7357" xr:uid="{C946D37A-D114-4FE9-9429-8E042B9E5663}"/>
    <cellStyle name="Normal 2 18 2 21" xfId="7358" xr:uid="{4EE656A9-8E92-4A57-B547-5296F72A0965}"/>
    <cellStyle name="Normal 2 18 2 22" xfId="7359" xr:uid="{28AF974B-5B78-45B7-9029-9393DC6B19A9}"/>
    <cellStyle name="Normal 2 18 2 23" xfId="7360" xr:uid="{212FB4A8-D08A-4E72-A448-2BF6002718DE}"/>
    <cellStyle name="Normal 2 18 2 24" xfId="7361" xr:uid="{2175C302-77AC-44C8-A98F-1AEC0EF620C3}"/>
    <cellStyle name="Normal 2 18 2 25" xfId="7362" xr:uid="{380EFAC9-F924-4B18-8862-F5B09C0838A4}"/>
    <cellStyle name="Normal 2 18 2 26" xfId="7363" xr:uid="{9C04D276-AD7E-40D7-9F1A-2F9EB7DCC56D}"/>
    <cellStyle name="Normal 2 18 2 27" xfId="7364" xr:uid="{461F7A68-5663-44C6-B116-9330966FCAC8}"/>
    <cellStyle name="Normal 2 18 2 28" xfId="7365" xr:uid="{7B1BDF08-EE67-4038-A4CA-807BEDFA82CB}"/>
    <cellStyle name="Normal 2 18 2 29" xfId="7366" xr:uid="{E9C4B3B7-D47F-4651-BFCE-D6054B92B715}"/>
    <cellStyle name="Normal 2 18 2 3" xfId="7367" xr:uid="{D51F8569-E4AD-4096-AD49-CD4732B6E0F3}"/>
    <cellStyle name="Normal 2 18 2 30" xfId="7368" xr:uid="{027ABD13-3D5C-4D1C-A9DD-ED5EC187D905}"/>
    <cellStyle name="Normal 2 18 2 31" xfId="7369" xr:uid="{6C0995E7-5FB6-453F-888D-2ED4783ACC45}"/>
    <cellStyle name="Normal 2 18 2 32" xfId="7370" xr:uid="{B9292CE0-31AC-4CCF-82E8-8FD9AD040B4A}"/>
    <cellStyle name="Normal 2 18 2 33" xfId="7371" xr:uid="{D87145BF-3077-4AFD-B918-BDEACD6BDA49}"/>
    <cellStyle name="Normal 2 18 2 34" xfId="7372" xr:uid="{872772E9-DBB3-48AF-BDA3-2DC9036E71F9}"/>
    <cellStyle name="Normal 2 18 2 35" xfId="7373" xr:uid="{F4197977-50EC-47E3-8B99-5D6BCA5BBF2B}"/>
    <cellStyle name="Normal 2 18 2 36" xfId="7374" xr:uid="{A2B4CAB7-16D5-4B28-99C9-B4D02512F76D}"/>
    <cellStyle name="Normal 2 18 2 37" xfId="7375" xr:uid="{BA40B75F-4B08-4396-BD96-E898295DB3C4}"/>
    <cellStyle name="Normal 2 18 2 38" xfId="7376" xr:uid="{572066F7-88CC-4733-88D9-E6F54260796C}"/>
    <cellStyle name="Normal 2 18 2 39" xfId="7377" xr:uid="{E55F0BD8-F830-4CBE-9960-96FB85F20F73}"/>
    <cellStyle name="Normal 2 18 2 4" xfId="7378" xr:uid="{EB439F62-5028-4797-BEB4-69256213E1CB}"/>
    <cellStyle name="Normal 2 18 2 40" xfId="7379" xr:uid="{CC587213-66A0-400E-A235-1AA021DDC445}"/>
    <cellStyle name="Normal 2 18 2 5" xfId="7380" xr:uid="{51AFD229-83A6-47AE-B705-D9873A219D7B}"/>
    <cellStyle name="Normal 2 18 2 6" xfId="7381" xr:uid="{48BA604B-007C-4127-A496-E95C6789D589}"/>
    <cellStyle name="Normal 2 18 2 7" xfId="7382" xr:uid="{08F32086-C875-49DA-87AB-038EA37AF05F}"/>
    <cellStyle name="Normal 2 18 2 8" xfId="7383" xr:uid="{C6AAB2E4-97BA-4736-92BB-7F327D819E62}"/>
    <cellStyle name="Normal 2 18 2 9" xfId="7384" xr:uid="{FC526C4B-EC6E-48FE-A7A9-8AC989C7D213}"/>
    <cellStyle name="Normal 2 18 20" xfId="7385" xr:uid="{27765246-79A2-4694-AE2B-7A382EEE0076}"/>
    <cellStyle name="Normal 2 18 21" xfId="7386" xr:uid="{307B61AF-AD1B-4BA1-BE14-DFA71977A46A}"/>
    <cellStyle name="Normal 2 18 22" xfId="7387" xr:uid="{15BFE07E-8B75-4050-9CD7-05D7735CDFF8}"/>
    <cellStyle name="Normal 2 18 23" xfId="7388" xr:uid="{4E783BF9-9315-4529-9173-811A8031933C}"/>
    <cellStyle name="Normal 2 18 24" xfId="7389" xr:uid="{E19991D7-AF78-44E1-8F91-E7ED31071224}"/>
    <cellStyle name="Normal 2 18 25" xfId="7390" xr:uid="{2BF3D6DF-B854-4E16-BC07-2335B877A3F9}"/>
    <cellStyle name="Normal 2 18 26" xfId="7391" xr:uid="{C12CBD85-8EF8-4F4C-A290-F851C743FA9C}"/>
    <cellStyle name="Normal 2 18 27" xfId="7392" xr:uid="{7F3A0DDF-8BC2-4DA7-A09D-147CC67B53FB}"/>
    <cellStyle name="Normal 2 18 28" xfId="7393" xr:uid="{29BA4CA2-A630-4289-9B10-8E02C94D68C7}"/>
    <cellStyle name="Normal 2 18 29" xfId="7394" xr:uid="{A0532527-416B-41FD-8102-6BDD99B4B3BE}"/>
    <cellStyle name="Normal 2 18 3" xfId="7395" xr:uid="{D01845CE-1E82-4EAF-A255-A81C073CD329}"/>
    <cellStyle name="Normal 2 18 3 10" xfId="7396" xr:uid="{B8D8871C-96D6-45AD-B5F0-9A3EDBC50263}"/>
    <cellStyle name="Normal 2 18 3 11" xfId="7397" xr:uid="{1B3D2515-6E6A-47F8-BFBB-679FAB19E77A}"/>
    <cellStyle name="Normal 2 18 3 12" xfId="7398" xr:uid="{0C30775A-18BB-4B9E-B619-3126D809123E}"/>
    <cellStyle name="Normal 2 18 3 13" xfId="7399" xr:uid="{47BF6E33-64F9-4C59-AD54-2E5C68CEC4F5}"/>
    <cellStyle name="Normal 2 18 3 14" xfId="7400" xr:uid="{7D23F463-EA0D-4234-A46B-9AB0F2327E8F}"/>
    <cellStyle name="Normal 2 18 3 15" xfId="7401" xr:uid="{B35A38EB-181C-4282-9CE9-52475139C34B}"/>
    <cellStyle name="Normal 2 18 3 16" xfId="7402" xr:uid="{7F60BD78-1017-421B-976D-EFFE0AB96E81}"/>
    <cellStyle name="Normal 2 18 3 17" xfId="7403" xr:uid="{ECD81A08-E49F-42A5-8D93-B5F1FA0EA0F6}"/>
    <cellStyle name="Normal 2 18 3 18" xfId="7404" xr:uid="{A7B5AE33-41FF-4796-93DE-21E52D5E3EFA}"/>
    <cellStyle name="Normal 2 18 3 19" xfId="7405" xr:uid="{8CF6F7A1-D4A4-4E72-A72A-6D4466830DE5}"/>
    <cellStyle name="Normal 2 18 3 2" xfId="7406" xr:uid="{A5C6514C-AA85-40CA-B0DC-BF130052B6DC}"/>
    <cellStyle name="Normal 2 18 3 2 10" xfId="7407" xr:uid="{F0263B58-3E06-42FA-8A31-D6217400A49A}"/>
    <cellStyle name="Normal 2 18 3 2 11" xfId="7408" xr:uid="{FE27CD24-EF7F-455F-A466-0AF34294497B}"/>
    <cellStyle name="Normal 2 18 3 2 12" xfId="7409" xr:uid="{B04DDD67-B6F1-4ADF-9135-AD05AF1F1F31}"/>
    <cellStyle name="Normal 2 18 3 2 13" xfId="7410" xr:uid="{64B6605B-0D59-412A-8863-0F471381E262}"/>
    <cellStyle name="Normal 2 18 3 2 14" xfId="7411" xr:uid="{C7D2A15F-001E-4EA5-807F-5FB2356BC1C2}"/>
    <cellStyle name="Normal 2 18 3 2 15" xfId="7412" xr:uid="{64064899-5B9D-41B2-9C7B-4B71713FEF00}"/>
    <cellStyle name="Normal 2 18 3 2 16" xfId="7413" xr:uid="{46FFAB4A-F630-483F-9C54-4FD1405C5F2F}"/>
    <cellStyle name="Normal 2 18 3 2 17" xfId="7414" xr:uid="{EFC63E25-73E3-4E23-9A78-7EEBD95E3912}"/>
    <cellStyle name="Normal 2 18 3 2 18" xfId="7415" xr:uid="{88DC72E9-38DE-40E4-95FE-B98E687FD069}"/>
    <cellStyle name="Normal 2 18 3 2 19" xfId="7416" xr:uid="{C8CF4724-A1B1-42EE-9BA1-DEF8EE6B2A8C}"/>
    <cellStyle name="Normal 2 18 3 2 2" xfId="7417" xr:uid="{730E3D6D-5DCB-4962-9375-06563B297C0E}"/>
    <cellStyle name="Normal 2 18 3 2 20" xfId="7418" xr:uid="{C7AAFB76-ECD8-42AA-BE11-7C64E22AB924}"/>
    <cellStyle name="Normal 2 18 3 2 21" xfId="7419" xr:uid="{A77CAEB1-B59A-4F7B-9D0E-367816675332}"/>
    <cellStyle name="Normal 2 18 3 2 22" xfId="7420" xr:uid="{DD16660A-CC79-4AF6-B795-564AC0B681DE}"/>
    <cellStyle name="Normal 2 18 3 2 23" xfId="7421" xr:uid="{362F32AE-77B2-41C8-8A04-1F6FD7A1FA27}"/>
    <cellStyle name="Normal 2 18 3 2 24" xfId="7422" xr:uid="{2FAD6DD0-0FEE-4A8F-9C66-C6ABCDA3684D}"/>
    <cellStyle name="Normal 2 18 3 2 25" xfId="7423" xr:uid="{B89851FF-6F68-43F9-8D5B-4E7626CB9437}"/>
    <cellStyle name="Normal 2 18 3 2 26" xfId="7424" xr:uid="{19E7430B-365C-4294-A4BD-93B112F6E5EC}"/>
    <cellStyle name="Normal 2 18 3 2 27" xfId="7425" xr:uid="{611BEF67-2674-44E6-B4FD-CF43DF6F29ED}"/>
    <cellStyle name="Normal 2 18 3 2 28" xfId="7426" xr:uid="{BCE8EB3F-5018-478C-8A6A-F0B68A93030E}"/>
    <cellStyle name="Normal 2 18 3 2 29" xfId="7427" xr:uid="{43106979-22E4-428F-94F2-5CEC2EF026D9}"/>
    <cellStyle name="Normal 2 18 3 2 3" xfId="7428" xr:uid="{743CCBD3-594F-47FF-964E-DDFD35601442}"/>
    <cellStyle name="Normal 2 18 3 2 30" xfId="7429" xr:uid="{816B562D-7372-4785-9215-91C0606767EA}"/>
    <cellStyle name="Normal 2 18 3 2 31" xfId="7430" xr:uid="{56F7A245-A50F-4BAF-BF61-B2AECE6B6326}"/>
    <cellStyle name="Normal 2 18 3 2 32" xfId="7431" xr:uid="{73BF9DF5-F7DC-4C18-A764-818E5780E0BD}"/>
    <cellStyle name="Normal 2 18 3 2 33" xfId="7432" xr:uid="{B5DE565F-1A4B-4E16-8C98-B665D7BD94D2}"/>
    <cellStyle name="Normal 2 18 3 2 34" xfId="7433" xr:uid="{51D8DD69-A552-4746-ACBC-12DA5A5BDB24}"/>
    <cellStyle name="Normal 2 18 3 2 35" xfId="7434" xr:uid="{9FAD4678-2203-4C20-9378-ED78702D0842}"/>
    <cellStyle name="Normal 2 18 3 2 36" xfId="7435" xr:uid="{C71C3720-D166-4CE0-BC40-8A23E6EB29D3}"/>
    <cellStyle name="Normal 2 18 3 2 37" xfId="7436" xr:uid="{34EBBF17-0509-4AEB-BD39-53AD08950D6D}"/>
    <cellStyle name="Normal 2 18 3 2 38" xfId="7437" xr:uid="{553F9DA8-1534-445A-96E5-37CC1EA92C82}"/>
    <cellStyle name="Normal 2 18 3 2 4" xfId="7438" xr:uid="{EFB7FC6D-4F7B-499A-9753-4D50FA4F74D9}"/>
    <cellStyle name="Normal 2 18 3 2 5" xfId="7439" xr:uid="{CF4EDFDF-B980-4066-A447-7799419F1C73}"/>
    <cellStyle name="Normal 2 18 3 2 6" xfId="7440" xr:uid="{455F0DB3-AE18-49F1-BB26-FACFB68F695F}"/>
    <cellStyle name="Normal 2 18 3 2 7" xfId="7441" xr:uid="{646D01DA-0EDA-40EB-8F2E-B998AB1D08A9}"/>
    <cellStyle name="Normal 2 18 3 2 8" xfId="7442" xr:uid="{DB6307BD-A8D4-4A68-AF3D-493BB55EA8E6}"/>
    <cellStyle name="Normal 2 18 3 2 9" xfId="7443" xr:uid="{BC57D1C7-D571-4B06-B061-1064C937110D}"/>
    <cellStyle name="Normal 2 18 3 20" xfId="7444" xr:uid="{C28FA693-DDEA-4EB3-A106-6F4123541734}"/>
    <cellStyle name="Normal 2 18 3 21" xfId="7445" xr:uid="{78B574AD-1E5B-446D-9C51-3B40CFA7A4B5}"/>
    <cellStyle name="Normal 2 18 3 22" xfId="7446" xr:uid="{81C571DC-AB89-4F95-9E87-073D23F2DCC3}"/>
    <cellStyle name="Normal 2 18 3 23" xfId="7447" xr:uid="{24BD59AD-CD45-45D8-A6FE-ED7E18F46655}"/>
    <cellStyle name="Normal 2 18 3 24" xfId="7448" xr:uid="{65D4FABD-0E3C-4DE0-8C4B-E3A91B969C1E}"/>
    <cellStyle name="Normal 2 18 3 25" xfId="7449" xr:uid="{F5DCD74C-45BF-45E2-ABD5-2F813D4B479A}"/>
    <cellStyle name="Normal 2 18 3 26" xfId="7450" xr:uid="{AE61C9E1-FCC3-4946-AC96-E14832592675}"/>
    <cellStyle name="Normal 2 18 3 27" xfId="7451" xr:uid="{8045D068-CDFE-45D2-A0F7-863F88EDA543}"/>
    <cellStyle name="Normal 2 18 3 28" xfId="7452" xr:uid="{76A6CD83-9DF4-4F20-9A3F-FAE921D9C3D7}"/>
    <cellStyle name="Normal 2 18 3 29" xfId="7453" xr:uid="{8F1F6F72-99EF-449B-AB4E-80D9A61D5B5A}"/>
    <cellStyle name="Normal 2 18 3 3" xfId="7454" xr:uid="{E5D1201D-E654-4226-B897-D9F949B445CC}"/>
    <cellStyle name="Normal 2 18 3 30" xfId="7455" xr:uid="{A559590A-315E-48A0-AAE9-3A4F6C29625D}"/>
    <cellStyle name="Normal 2 18 3 31" xfId="7456" xr:uid="{CF8002BA-F103-4B2F-8358-88E3257242F2}"/>
    <cellStyle name="Normal 2 18 3 32" xfId="7457" xr:uid="{5E36343E-3B57-4F39-B290-92079C6A7D23}"/>
    <cellStyle name="Normal 2 18 3 33" xfId="7458" xr:uid="{50AA0511-C62C-49DC-92E9-D8223FF26DAF}"/>
    <cellStyle name="Normal 2 18 3 34" xfId="7459" xr:uid="{171DBAF7-DCF8-47C6-ABDF-F37216AEAB47}"/>
    <cellStyle name="Normal 2 18 3 35" xfId="7460" xr:uid="{1FA45CF4-CCFF-4885-A450-4284C4DC4813}"/>
    <cellStyle name="Normal 2 18 3 36" xfId="7461" xr:uid="{7FC7381F-FBFF-4CC6-8144-D8685380D4BF}"/>
    <cellStyle name="Normal 2 18 3 37" xfId="7462" xr:uid="{4FC48CCE-DC96-4879-955C-1E75F14B2A3D}"/>
    <cellStyle name="Normal 2 18 3 38" xfId="7463" xr:uid="{2A48E2D3-C2EE-412A-BECC-5587BD44D226}"/>
    <cellStyle name="Normal 2 18 3 4" xfId="7464" xr:uid="{2C1057B9-BC24-4B73-9EB4-4F3B506BD022}"/>
    <cellStyle name="Normal 2 18 3 5" xfId="7465" xr:uid="{4172AE55-6CA6-441B-8D38-228FD7D33B09}"/>
    <cellStyle name="Normal 2 18 3 6" xfId="7466" xr:uid="{DD3F877C-D05F-4EA5-96D7-CF590A07D878}"/>
    <cellStyle name="Normal 2 18 3 7" xfId="7467" xr:uid="{4B5F2E2F-EF08-4763-9F40-607F5D241C49}"/>
    <cellStyle name="Normal 2 18 3 8" xfId="7468" xr:uid="{3103CA55-5C15-4252-9D88-E918CEB18501}"/>
    <cellStyle name="Normal 2 18 3 9" xfId="7469" xr:uid="{3F3B8EE2-CF79-49F0-8A44-9A2B10F87C2F}"/>
    <cellStyle name="Normal 2 18 30" xfId="7470" xr:uid="{962BD515-771A-4B60-BF9F-6C0CB0D20DBD}"/>
    <cellStyle name="Normal 2 18 31" xfId="7471" xr:uid="{658FF6A5-8583-4291-8939-260F3483FE19}"/>
    <cellStyle name="Normal 2 18 32" xfId="7472" xr:uid="{8709046F-7FE0-4AC3-8A49-F0F05EBD28A7}"/>
    <cellStyle name="Normal 2 18 33" xfId="7473" xr:uid="{32C8998B-9C3E-4D3F-8845-5AA0F47D9432}"/>
    <cellStyle name="Normal 2 18 34" xfId="7474" xr:uid="{9F686368-547A-4F02-A376-DCEC601BCFDE}"/>
    <cellStyle name="Normal 2 18 35" xfId="7475" xr:uid="{7A304782-F021-41C6-BFD9-AD0ADE6D7F36}"/>
    <cellStyle name="Normal 2 18 36" xfId="7476" xr:uid="{1511AC9D-2494-48AB-9239-7D0D99262B90}"/>
    <cellStyle name="Normal 2 18 37" xfId="7477" xr:uid="{936DB579-36E9-489E-83FE-1F639B0927E8}"/>
    <cellStyle name="Normal 2 18 38" xfId="7478" xr:uid="{98D62516-AA1E-4EB9-8EAA-5EAF44C05BA6}"/>
    <cellStyle name="Normal 2 18 39" xfId="7479" xr:uid="{E1E3C357-C429-4BDF-92E7-8DEF4E1A485A}"/>
    <cellStyle name="Normal 2 18 4" xfId="7480" xr:uid="{598F8F33-9360-4518-A3D5-3327249E9E77}"/>
    <cellStyle name="Normal 2 18 40" xfId="7481" xr:uid="{2AD5DB69-CE60-470C-9C16-BAE3A0E6B4D6}"/>
    <cellStyle name="Normal 2 18 5" xfId="7482" xr:uid="{56C8EB82-80DF-48D7-945D-0C102C6DBB01}"/>
    <cellStyle name="Normal 2 18 6" xfId="7483" xr:uid="{158840C7-E7EF-4AAF-A256-B4ED67B01B14}"/>
    <cellStyle name="Normal 2 18 7" xfId="7484" xr:uid="{858D290B-FC3A-4AC0-A9BD-D742EFFBBCE1}"/>
    <cellStyle name="Normal 2 18 8" xfId="7485" xr:uid="{BB41ECB1-4D9C-4B76-90DD-1F27A44E2BC1}"/>
    <cellStyle name="Normal 2 18 9" xfId="7486" xr:uid="{409E0C03-8A50-4176-A40F-E1D2C3CC6AD9}"/>
    <cellStyle name="Normal 2 19" xfId="7487" xr:uid="{C9AA73A8-F650-4B91-835F-2BCAF09E5851}"/>
    <cellStyle name="Normal 2 19 10" xfId="7488" xr:uid="{48E32747-302F-4529-A402-C5A8C0163C20}"/>
    <cellStyle name="Normal 2 19 11" xfId="7489" xr:uid="{ADA7597F-5EDA-42C3-9528-53DC8741D6F3}"/>
    <cellStyle name="Normal 2 19 12" xfId="7490" xr:uid="{E65C9CF6-9F42-4F8D-9D1A-04D5FC88785D}"/>
    <cellStyle name="Normal 2 19 13" xfId="7491" xr:uid="{3B30897E-CB76-43D1-939D-C03A70DC83AD}"/>
    <cellStyle name="Normal 2 19 14" xfId="7492" xr:uid="{B54B3D76-B92E-467F-B76C-2270FF496C60}"/>
    <cellStyle name="Normal 2 19 15" xfId="7493" xr:uid="{10DE00BD-B01D-45D7-977A-28C3C2F57B87}"/>
    <cellStyle name="Normal 2 19 16" xfId="7494" xr:uid="{B931EA01-775C-42C8-AECC-7F0CF46B948F}"/>
    <cellStyle name="Normal 2 19 17" xfId="7495" xr:uid="{7D0B3565-5868-4CE1-84D7-86A93D304EE5}"/>
    <cellStyle name="Normal 2 19 18" xfId="7496" xr:uid="{565D99E4-515F-4B26-B845-C384A10E624D}"/>
    <cellStyle name="Normal 2 19 19" xfId="7497" xr:uid="{B49E78D0-622E-4AB0-8565-53FC2C6E3A27}"/>
    <cellStyle name="Normal 2 19 2" xfId="7498" xr:uid="{AA7F3955-9BF6-4ECC-81BD-81213DECCF04}"/>
    <cellStyle name="Normal 2 19 2 10" xfId="7499" xr:uid="{3C6D8612-AAD9-4E99-A65D-86EEF07AA3BF}"/>
    <cellStyle name="Normal 2 19 2 11" xfId="7500" xr:uid="{64852A3C-13A2-4D47-83B5-71F89B843FBE}"/>
    <cellStyle name="Normal 2 19 2 12" xfId="7501" xr:uid="{0A1B3EFF-D302-4814-B8F9-C028C7643B0F}"/>
    <cellStyle name="Normal 2 19 2 13" xfId="7502" xr:uid="{090ACCE6-B122-42B3-91C7-E5720A280FDD}"/>
    <cellStyle name="Normal 2 19 2 14" xfId="7503" xr:uid="{0CEDD438-F21B-47BB-9D68-87B8F5466F92}"/>
    <cellStyle name="Normal 2 19 2 15" xfId="7504" xr:uid="{29B5B663-22F5-454D-A6D8-ED2A8EAABE9E}"/>
    <cellStyle name="Normal 2 19 2 16" xfId="7505" xr:uid="{B87D22F8-CF47-49F9-BCBF-DC5DD9E7F67D}"/>
    <cellStyle name="Normal 2 19 2 17" xfId="7506" xr:uid="{7731E8E8-A281-485F-A5FD-8193CCEC3C38}"/>
    <cellStyle name="Normal 2 19 2 18" xfId="7507" xr:uid="{5E7B6041-E583-446E-80BC-08933AE2B524}"/>
    <cellStyle name="Normal 2 19 2 19" xfId="7508" xr:uid="{A8CDED0C-0A6E-45BE-8C8F-F33A8EC7C81A}"/>
    <cellStyle name="Normal 2 19 2 2" xfId="7509" xr:uid="{EB3870F5-E7FA-4A3C-8E45-480D18D95FDC}"/>
    <cellStyle name="Normal 2 19 2 2 10" xfId="7510" xr:uid="{0A4194B5-F826-4CEF-9CEE-F28A6D1294E4}"/>
    <cellStyle name="Normal 2 19 2 2 11" xfId="7511" xr:uid="{2005C461-72CD-4EE4-A5BB-C1A2C7C2858D}"/>
    <cellStyle name="Normal 2 19 2 2 12" xfId="7512" xr:uid="{FB84288A-303F-4963-A488-7EA0EF5F4576}"/>
    <cellStyle name="Normal 2 19 2 2 13" xfId="7513" xr:uid="{1B2B8357-603E-458F-8B62-9A7FF8CC2709}"/>
    <cellStyle name="Normal 2 19 2 2 14" xfId="7514" xr:uid="{E7FF3064-9FA9-4D9D-9982-EA4D5B2BA58E}"/>
    <cellStyle name="Normal 2 19 2 2 15" xfId="7515" xr:uid="{72B2E49F-0265-43B4-8339-F527E2F5AC40}"/>
    <cellStyle name="Normal 2 19 2 2 16" xfId="7516" xr:uid="{D0898BC5-6A51-4177-88C4-B2E45465D2B7}"/>
    <cellStyle name="Normal 2 19 2 2 17" xfId="7517" xr:uid="{74439681-7284-4702-87A8-9038321690C2}"/>
    <cellStyle name="Normal 2 19 2 2 18" xfId="7518" xr:uid="{FBFB3B66-5FEE-4418-AD39-01A7BC60C750}"/>
    <cellStyle name="Normal 2 19 2 2 19" xfId="7519" xr:uid="{8B837AA3-AEFE-409B-9143-2F0688069CDA}"/>
    <cellStyle name="Normal 2 19 2 2 2" xfId="7520" xr:uid="{AA2A3140-1D53-4A45-9BD5-1F987CD319C4}"/>
    <cellStyle name="Normal 2 19 2 2 2 10" xfId="7521" xr:uid="{13990E79-58B4-497D-9CD0-2D171B357BD7}"/>
    <cellStyle name="Normal 2 19 2 2 2 11" xfId="7522" xr:uid="{79DD06B5-3F53-487C-A2A8-CAD0C5529E39}"/>
    <cellStyle name="Normal 2 19 2 2 2 12" xfId="7523" xr:uid="{9B5B22F3-01DE-41B3-8FCD-E460886D883A}"/>
    <cellStyle name="Normal 2 19 2 2 2 13" xfId="7524" xr:uid="{D9ACF4FD-28CE-4224-90DF-0906CFF9C0E0}"/>
    <cellStyle name="Normal 2 19 2 2 2 14" xfId="7525" xr:uid="{B320B99D-AF2C-45AE-B616-A9680E4E89AB}"/>
    <cellStyle name="Normal 2 19 2 2 2 15" xfId="7526" xr:uid="{2C0FA0BD-E8AB-4227-8C3F-AD2BB8816EB0}"/>
    <cellStyle name="Normal 2 19 2 2 2 16" xfId="7527" xr:uid="{2CEB0371-4275-4E53-8037-1A7C4B0C8C9F}"/>
    <cellStyle name="Normal 2 19 2 2 2 17" xfId="7528" xr:uid="{6AE3AC7D-EE19-4149-AF73-B4C92F40981F}"/>
    <cellStyle name="Normal 2 19 2 2 2 18" xfId="7529" xr:uid="{9821541D-F022-442E-AD79-0CFC174B60D8}"/>
    <cellStyle name="Normal 2 19 2 2 2 19" xfId="7530" xr:uid="{E0FA4F45-A26A-490E-9AEB-B5B347A1502F}"/>
    <cellStyle name="Normal 2 19 2 2 2 2" xfId="7531" xr:uid="{DB29EEC9-EBB3-42A2-B5AC-942F0CBBADF6}"/>
    <cellStyle name="Normal 2 19 2 2 2 20" xfId="7532" xr:uid="{2CEA3D88-B20C-495C-B09A-47B94D84C65E}"/>
    <cellStyle name="Normal 2 19 2 2 2 21" xfId="7533" xr:uid="{9848FA9F-6C81-4B3B-9BE0-35AB9BFA5D58}"/>
    <cellStyle name="Normal 2 19 2 2 2 22" xfId="7534" xr:uid="{010C7AF4-90AF-49ED-9648-E93BE23FBA0F}"/>
    <cellStyle name="Normal 2 19 2 2 2 23" xfId="7535" xr:uid="{A7A49603-EDBF-49D3-939B-F3A45F9F3917}"/>
    <cellStyle name="Normal 2 19 2 2 2 24" xfId="7536" xr:uid="{A7E55FE3-E623-4131-ABB0-BC2CD8F4E856}"/>
    <cellStyle name="Normal 2 19 2 2 2 25" xfId="7537" xr:uid="{F55F3124-6376-422A-9B37-2B13B4C193E2}"/>
    <cellStyle name="Normal 2 19 2 2 2 26" xfId="7538" xr:uid="{FE9F83E2-B081-4AB8-8970-6E63FEAECEBD}"/>
    <cellStyle name="Normal 2 19 2 2 2 27" xfId="7539" xr:uid="{2A112261-9E4D-42E6-BCB5-46796480D728}"/>
    <cellStyle name="Normal 2 19 2 2 2 28" xfId="7540" xr:uid="{4EDF16DA-F594-49C9-8105-9B64D1AAEF70}"/>
    <cellStyle name="Normal 2 19 2 2 2 29" xfId="7541" xr:uid="{E5890CF5-D227-479B-9F21-AAB446EE915E}"/>
    <cellStyle name="Normal 2 19 2 2 2 3" xfId="7542" xr:uid="{74124A99-745B-4DFA-BC5A-D9056AC03BC4}"/>
    <cellStyle name="Normal 2 19 2 2 2 30" xfId="7543" xr:uid="{E1D55D39-45ED-4A12-82C7-6ACEE357B9F5}"/>
    <cellStyle name="Normal 2 19 2 2 2 31" xfId="7544" xr:uid="{964EAB46-2ABE-493B-819C-31AF34E5AC68}"/>
    <cellStyle name="Normal 2 19 2 2 2 32" xfId="7545" xr:uid="{7BEB21D9-6447-4813-A7B4-CFEEFC662BED}"/>
    <cellStyle name="Normal 2 19 2 2 2 33" xfId="7546" xr:uid="{F43EBBB1-F01A-4CDB-B949-2EFC2BF33298}"/>
    <cellStyle name="Normal 2 19 2 2 2 34" xfId="7547" xr:uid="{760FD032-9BD0-4A30-B79D-7108F2E261BE}"/>
    <cellStyle name="Normal 2 19 2 2 2 35" xfId="7548" xr:uid="{0AFEA19E-D24E-488D-B36A-0E7FFD4574AB}"/>
    <cellStyle name="Normal 2 19 2 2 2 36" xfId="7549" xr:uid="{2A446200-11D6-485E-8B32-0487C5FCBB42}"/>
    <cellStyle name="Normal 2 19 2 2 2 37" xfId="7550" xr:uid="{3365F644-A6CD-4F0D-9ACF-E6780A00DA1E}"/>
    <cellStyle name="Normal 2 19 2 2 2 38" xfId="7551" xr:uid="{FDF92561-A9FC-4E4A-B8B3-E6D7EACAA78F}"/>
    <cellStyle name="Normal 2 19 2 2 2 4" xfId="7552" xr:uid="{E234513F-37C2-408D-BF33-02D65FA3F5CF}"/>
    <cellStyle name="Normal 2 19 2 2 2 5" xfId="7553" xr:uid="{53470E3B-8CBC-486A-B076-DC8348219992}"/>
    <cellStyle name="Normal 2 19 2 2 2 6" xfId="7554" xr:uid="{7974A4D5-DBE1-410B-B879-EFD6DDC6875A}"/>
    <cellStyle name="Normal 2 19 2 2 2 7" xfId="7555" xr:uid="{521D91AD-3C15-468E-876D-784CB9F0DC51}"/>
    <cellStyle name="Normal 2 19 2 2 2 8" xfId="7556" xr:uid="{2112AAAC-494A-43C5-8490-EFFEA7E4BE6F}"/>
    <cellStyle name="Normal 2 19 2 2 2 9" xfId="7557" xr:uid="{E90427CF-086A-4EAF-B3ED-3C13071D3844}"/>
    <cellStyle name="Normal 2 19 2 2 20" xfId="7558" xr:uid="{E1F07C1D-223B-45BA-B03A-BD8B6CD389B7}"/>
    <cellStyle name="Normal 2 19 2 2 21" xfId="7559" xr:uid="{08E81503-CBE1-4279-9C44-AE95D48FADC7}"/>
    <cellStyle name="Normal 2 19 2 2 22" xfId="7560" xr:uid="{A0EBA93B-62D9-4D0F-B226-A346BDF92F1C}"/>
    <cellStyle name="Normal 2 19 2 2 23" xfId="7561" xr:uid="{CDAAB6B3-651C-498E-9E07-F274501A7078}"/>
    <cellStyle name="Normal 2 19 2 2 24" xfId="7562" xr:uid="{67C08023-2DFF-45E8-B289-D32F375AA5DD}"/>
    <cellStyle name="Normal 2 19 2 2 25" xfId="7563" xr:uid="{1D7C22B9-E5A0-418B-AE22-8800749335DC}"/>
    <cellStyle name="Normal 2 19 2 2 26" xfId="7564" xr:uid="{CAB027A8-C6CD-4C0E-9D56-D87DC8EA059D}"/>
    <cellStyle name="Normal 2 19 2 2 27" xfId="7565" xr:uid="{9360355E-2405-44ED-A33D-4AF130B25ADC}"/>
    <cellStyle name="Normal 2 19 2 2 28" xfId="7566" xr:uid="{A477F712-9B1B-46CF-BD70-86EA0ABCB33C}"/>
    <cellStyle name="Normal 2 19 2 2 29" xfId="7567" xr:uid="{286E9367-5FCB-4E77-BF50-C35BE4A3EBED}"/>
    <cellStyle name="Normal 2 19 2 2 3" xfId="7568" xr:uid="{B04D3F86-4927-44B8-A388-A9595F54DD8B}"/>
    <cellStyle name="Normal 2 19 2 2 30" xfId="7569" xr:uid="{0891E383-784E-4D79-B840-5AC5F358A08C}"/>
    <cellStyle name="Normal 2 19 2 2 31" xfId="7570" xr:uid="{75643D8F-C340-46AC-A370-B8A75923809F}"/>
    <cellStyle name="Normal 2 19 2 2 32" xfId="7571" xr:uid="{C3B675E6-A7D0-414F-86CB-33D20D5EEDCA}"/>
    <cellStyle name="Normal 2 19 2 2 33" xfId="7572" xr:uid="{01FE9D85-5AB6-437C-926F-7F9C8850083B}"/>
    <cellStyle name="Normal 2 19 2 2 34" xfId="7573" xr:uid="{453A081E-2509-4A02-BD1C-DE9F27AE1771}"/>
    <cellStyle name="Normal 2 19 2 2 35" xfId="7574" xr:uid="{66AB0597-4FAC-42D7-AAF2-0E01FB4CA38A}"/>
    <cellStyle name="Normal 2 19 2 2 36" xfId="7575" xr:uid="{9260B8AB-FAD7-4F6D-BB38-ED13109E6028}"/>
    <cellStyle name="Normal 2 19 2 2 37" xfId="7576" xr:uid="{15956D99-312C-41F3-BD71-1432FCF10FCB}"/>
    <cellStyle name="Normal 2 19 2 2 38" xfId="7577" xr:uid="{C6C3136F-9F1D-4F54-8C98-1D870CBAB344}"/>
    <cellStyle name="Normal 2 19 2 2 4" xfId="7578" xr:uid="{87826B46-3231-44CA-BBF2-55FDF8E67CD1}"/>
    <cellStyle name="Normal 2 19 2 2 5" xfId="7579" xr:uid="{975C66C9-D0DC-4DE6-85AB-66361C1C4303}"/>
    <cellStyle name="Normal 2 19 2 2 6" xfId="7580" xr:uid="{6BDC6070-40DA-4080-98D4-6B36F0029D55}"/>
    <cellStyle name="Normal 2 19 2 2 7" xfId="7581" xr:uid="{C88EB967-A48C-4002-B7F0-588826E52653}"/>
    <cellStyle name="Normal 2 19 2 2 8" xfId="7582" xr:uid="{375506BA-FBB4-4011-A8EB-9E235883D7A3}"/>
    <cellStyle name="Normal 2 19 2 2 9" xfId="7583" xr:uid="{EBC2D3A3-D21A-4000-A5B1-5F625DDC1422}"/>
    <cellStyle name="Normal 2 19 2 20" xfId="7584" xr:uid="{E977F348-EC03-4081-9BB4-7D5E15F7CEB9}"/>
    <cellStyle name="Normal 2 19 2 21" xfId="7585" xr:uid="{85FC2443-4546-4257-BF86-7E5CF75C6D20}"/>
    <cellStyle name="Normal 2 19 2 22" xfId="7586" xr:uid="{D8718BA3-7DAF-4A07-8EC4-1C9C166336DF}"/>
    <cellStyle name="Normal 2 19 2 23" xfId="7587" xr:uid="{A9336BD5-FDD4-4EE4-9B9D-DD532E16F62E}"/>
    <cellStyle name="Normal 2 19 2 24" xfId="7588" xr:uid="{941682C1-9EA3-4CC4-BBD2-CF729C24EAA7}"/>
    <cellStyle name="Normal 2 19 2 25" xfId="7589" xr:uid="{139E6D37-5C46-444D-B976-4E60383C42EE}"/>
    <cellStyle name="Normal 2 19 2 26" xfId="7590" xr:uid="{E77A9F55-5432-4715-9656-B0532FC9A7E6}"/>
    <cellStyle name="Normal 2 19 2 27" xfId="7591" xr:uid="{0FD0F017-73D3-4724-8AFC-643FA265B493}"/>
    <cellStyle name="Normal 2 19 2 28" xfId="7592" xr:uid="{7C935D49-616F-4749-B1F0-F8655EE8825B}"/>
    <cellStyle name="Normal 2 19 2 29" xfId="7593" xr:uid="{729C0989-230F-47CA-A2A2-47BFEF9FFD66}"/>
    <cellStyle name="Normal 2 19 2 3" xfId="7594" xr:uid="{02553FC1-CA9A-4E01-88E4-61BB5F0A7766}"/>
    <cellStyle name="Normal 2 19 2 30" xfId="7595" xr:uid="{3FE87625-F582-45FB-B246-9F016DC5D9C2}"/>
    <cellStyle name="Normal 2 19 2 31" xfId="7596" xr:uid="{91F55C57-87F1-4BCB-9DAF-0207C3A34343}"/>
    <cellStyle name="Normal 2 19 2 32" xfId="7597" xr:uid="{9B4284FB-9A2D-406D-A275-A71352F91CF7}"/>
    <cellStyle name="Normal 2 19 2 33" xfId="7598" xr:uid="{D8FE9888-8C10-423B-8406-B6304EFB4AE2}"/>
    <cellStyle name="Normal 2 19 2 34" xfId="7599" xr:uid="{F7178314-EB3A-4253-9C81-597A3A39109E}"/>
    <cellStyle name="Normal 2 19 2 35" xfId="7600" xr:uid="{70CCBCF7-09E5-4E9E-B575-2E8E516AE6CD}"/>
    <cellStyle name="Normal 2 19 2 36" xfId="7601" xr:uid="{C6EE6580-18E4-4C09-BB89-917B327EF88E}"/>
    <cellStyle name="Normal 2 19 2 37" xfId="7602" xr:uid="{B71E836A-1571-49A6-BE1B-4E62AD064AD0}"/>
    <cellStyle name="Normal 2 19 2 38" xfId="7603" xr:uid="{0430665B-6DFC-4D30-A0F8-A97BD961E2EA}"/>
    <cellStyle name="Normal 2 19 2 39" xfId="7604" xr:uid="{E0717DD2-CD4F-4B79-94AE-23A7F75BCB7C}"/>
    <cellStyle name="Normal 2 19 2 4" xfId="7605" xr:uid="{248ED44C-098F-408C-AA5C-8A3B346EB2DA}"/>
    <cellStyle name="Normal 2 19 2 40" xfId="7606" xr:uid="{D3AA7EC8-CA4F-4F48-95BD-36238790DB96}"/>
    <cellStyle name="Normal 2 19 2 5" xfId="7607" xr:uid="{7542F0C1-F33D-498A-A4CE-DCD8DF604A5F}"/>
    <cellStyle name="Normal 2 19 2 6" xfId="7608" xr:uid="{C51A52E8-B923-4AE4-8E1B-CFC93D5A58CE}"/>
    <cellStyle name="Normal 2 19 2 7" xfId="7609" xr:uid="{E3C091EA-AABF-4CF6-B9A2-2243E8D031D8}"/>
    <cellStyle name="Normal 2 19 2 8" xfId="7610" xr:uid="{A9AAE65B-7A35-4AB0-A30E-7D510C4E9C70}"/>
    <cellStyle name="Normal 2 19 2 9" xfId="7611" xr:uid="{159A5250-9D82-458B-9A5D-EBEB7F85CD06}"/>
    <cellStyle name="Normal 2 19 20" xfId="7612" xr:uid="{97882C3C-CD8A-4A99-8175-8CB5F02B03D0}"/>
    <cellStyle name="Normal 2 19 21" xfId="7613" xr:uid="{BFE2132A-1C1D-4AF7-B35D-7494F4CDE7E8}"/>
    <cellStyle name="Normal 2 19 22" xfId="7614" xr:uid="{F2CBC35C-1980-4AC8-8980-8F58C057687C}"/>
    <cellStyle name="Normal 2 19 23" xfId="7615" xr:uid="{ABB36C00-30D2-4AE3-A46E-9AB24482F0C3}"/>
    <cellStyle name="Normal 2 19 24" xfId="7616" xr:uid="{4D182D43-E07F-4E5C-8A97-3E68E1E85187}"/>
    <cellStyle name="Normal 2 19 25" xfId="7617" xr:uid="{62BE955D-58A2-4BDE-B496-780C938786F9}"/>
    <cellStyle name="Normal 2 19 26" xfId="7618" xr:uid="{F57BE0D5-1EBA-4DC2-A88D-B5447BCE2E32}"/>
    <cellStyle name="Normal 2 19 27" xfId="7619" xr:uid="{041F576B-801A-4DA4-8DA6-05616B99BBB9}"/>
    <cellStyle name="Normal 2 19 28" xfId="7620" xr:uid="{56A21869-FAFF-4639-98EE-C35DF06E24E0}"/>
    <cellStyle name="Normal 2 19 29" xfId="7621" xr:uid="{DBFFE289-BBBB-4B57-9EA4-34D17821E407}"/>
    <cellStyle name="Normal 2 19 3" xfId="7622" xr:uid="{385C2873-9EE8-42F4-93FB-141548B15D9F}"/>
    <cellStyle name="Normal 2 19 3 10" xfId="7623" xr:uid="{DBAFBD7B-AB04-443E-A29D-9687D7CA6317}"/>
    <cellStyle name="Normal 2 19 3 11" xfId="7624" xr:uid="{157ACC73-0012-4215-A5BB-4FE5D2902CF4}"/>
    <cellStyle name="Normal 2 19 3 12" xfId="7625" xr:uid="{D9CD00BB-BC9A-48F6-90C9-95408C1EC13F}"/>
    <cellStyle name="Normal 2 19 3 13" xfId="7626" xr:uid="{A520330C-5EE2-4E20-8B09-6C20519DFECE}"/>
    <cellStyle name="Normal 2 19 3 14" xfId="7627" xr:uid="{25CC6B73-3A18-4008-B899-98829F174075}"/>
    <cellStyle name="Normal 2 19 3 15" xfId="7628" xr:uid="{D5B94DF4-C0CC-42A3-8E8C-AC2D4DFDD96E}"/>
    <cellStyle name="Normal 2 19 3 16" xfId="7629" xr:uid="{3A32B110-3B25-4E34-A4AC-1E8A5A255186}"/>
    <cellStyle name="Normal 2 19 3 17" xfId="7630" xr:uid="{1E1EA623-AB17-4EE1-8427-87706F86E69A}"/>
    <cellStyle name="Normal 2 19 3 18" xfId="7631" xr:uid="{FEA31B85-66F6-4C38-9E9F-8F5396525B49}"/>
    <cellStyle name="Normal 2 19 3 19" xfId="7632" xr:uid="{EFA7A8DC-C0B1-443B-B9A6-C142A0BE3B52}"/>
    <cellStyle name="Normal 2 19 3 2" xfId="7633" xr:uid="{96572FC3-06DC-426B-8532-B2A5F3B74EFC}"/>
    <cellStyle name="Normal 2 19 3 2 10" xfId="7634" xr:uid="{2720C90C-A5EE-4BA2-BECC-0FEABEA5E13C}"/>
    <cellStyle name="Normal 2 19 3 2 11" xfId="7635" xr:uid="{CAABCCE7-72A6-4A12-8D93-878FDB5A49EC}"/>
    <cellStyle name="Normal 2 19 3 2 12" xfId="7636" xr:uid="{3F43A98C-95EE-47B0-9931-4E59F552F15C}"/>
    <cellStyle name="Normal 2 19 3 2 13" xfId="7637" xr:uid="{F53AA349-4A85-4C87-8A52-E7D5F6B0647E}"/>
    <cellStyle name="Normal 2 19 3 2 14" xfId="7638" xr:uid="{4522DB88-01CB-4D9F-865E-DF9039958AEC}"/>
    <cellStyle name="Normal 2 19 3 2 15" xfId="7639" xr:uid="{B25A8640-7257-49FF-8362-2D19035EABC8}"/>
    <cellStyle name="Normal 2 19 3 2 16" xfId="7640" xr:uid="{FB11E2C6-AD1C-47FC-A5B0-3E745C74D901}"/>
    <cellStyle name="Normal 2 19 3 2 17" xfId="7641" xr:uid="{DAC5D191-FF7E-4465-A992-D09AAE552B1F}"/>
    <cellStyle name="Normal 2 19 3 2 18" xfId="7642" xr:uid="{99F8A3DC-D433-4050-BD19-550E331FCA3A}"/>
    <cellStyle name="Normal 2 19 3 2 19" xfId="7643" xr:uid="{005770E9-A0E7-44C9-A856-339839658926}"/>
    <cellStyle name="Normal 2 19 3 2 2" xfId="7644" xr:uid="{19E79402-F744-4765-A26C-4DA1A63A8DCC}"/>
    <cellStyle name="Normal 2 19 3 2 20" xfId="7645" xr:uid="{AE26A226-D5A3-40DE-9B09-FCEEEF42409F}"/>
    <cellStyle name="Normal 2 19 3 2 21" xfId="7646" xr:uid="{D51C9310-0246-4812-936D-59E82F5D3A23}"/>
    <cellStyle name="Normal 2 19 3 2 22" xfId="7647" xr:uid="{C116405A-FCE3-48A6-9E8A-47FCD525C970}"/>
    <cellStyle name="Normal 2 19 3 2 23" xfId="7648" xr:uid="{6E3BF805-CF03-411C-A266-862D57D7276A}"/>
    <cellStyle name="Normal 2 19 3 2 24" xfId="7649" xr:uid="{F3486209-2236-4112-A878-85708EC1AF98}"/>
    <cellStyle name="Normal 2 19 3 2 25" xfId="7650" xr:uid="{E01E5F66-A386-480F-AA0C-683F6A520236}"/>
    <cellStyle name="Normal 2 19 3 2 26" xfId="7651" xr:uid="{D08C41B2-8B40-420C-AFD4-397ACBD699C0}"/>
    <cellStyle name="Normal 2 19 3 2 27" xfId="7652" xr:uid="{9A7741D2-BD5C-4793-8D59-AB783572EA53}"/>
    <cellStyle name="Normal 2 19 3 2 28" xfId="7653" xr:uid="{1E83801C-2B52-4266-927E-7C1B6EF3CF3C}"/>
    <cellStyle name="Normal 2 19 3 2 29" xfId="7654" xr:uid="{D72B342A-4EBC-40D4-87F6-18AC8BFA2E3B}"/>
    <cellStyle name="Normal 2 19 3 2 3" xfId="7655" xr:uid="{C05CCF11-9F00-4DB9-AC79-C3BA8AF92ECF}"/>
    <cellStyle name="Normal 2 19 3 2 30" xfId="7656" xr:uid="{CA210C87-40CC-4A98-AC7D-3CE3AE65BA7A}"/>
    <cellStyle name="Normal 2 19 3 2 31" xfId="7657" xr:uid="{489DAACB-6556-4CCF-B8C8-510050292803}"/>
    <cellStyle name="Normal 2 19 3 2 32" xfId="7658" xr:uid="{0888B2C7-7B4D-4336-B9DE-EF7810B6DC76}"/>
    <cellStyle name="Normal 2 19 3 2 33" xfId="7659" xr:uid="{04BFA253-D139-4827-897D-9514D023AEFF}"/>
    <cellStyle name="Normal 2 19 3 2 34" xfId="7660" xr:uid="{9118A47D-2052-4003-A036-0A6E4DD7497B}"/>
    <cellStyle name="Normal 2 19 3 2 35" xfId="7661" xr:uid="{D091B58D-45D2-426C-A832-020F75FFCEE2}"/>
    <cellStyle name="Normal 2 19 3 2 36" xfId="7662" xr:uid="{EE91C890-368A-43AE-953F-5743BC0BA94C}"/>
    <cellStyle name="Normal 2 19 3 2 37" xfId="7663" xr:uid="{DD1280E6-812A-4458-9445-FF078FA29116}"/>
    <cellStyle name="Normal 2 19 3 2 38" xfId="7664" xr:uid="{7BB21D95-36D4-4DB4-BD91-5779CB06DE28}"/>
    <cellStyle name="Normal 2 19 3 2 4" xfId="7665" xr:uid="{DB38C8C8-999D-4536-87E3-AF28172066DF}"/>
    <cellStyle name="Normal 2 19 3 2 5" xfId="7666" xr:uid="{4941712A-94AD-43F9-A012-F48EF646440E}"/>
    <cellStyle name="Normal 2 19 3 2 6" xfId="7667" xr:uid="{90555950-4616-415D-884A-4542516BCA6B}"/>
    <cellStyle name="Normal 2 19 3 2 7" xfId="7668" xr:uid="{BCF8970B-8AA3-4D6A-8647-63A880B1D659}"/>
    <cellStyle name="Normal 2 19 3 2 8" xfId="7669" xr:uid="{FD8AFDB9-FF88-40BB-85C2-C6D27EAEDF8F}"/>
    <cellStyle name="Normal 2 19 3 2 9" xfId="7670" xr:uid="{071D1BAB-1CB6-4D79-8B84-CDF1A92DB528}"/>
    <cellStyle name="Normal 2 19 3 20" xfId="7671" xr:uid="{C70AB2CE-A638-4481-9B1F-F59ECAE0FFAA}"/>
    <cellStyle name="Normal 2 19 3 21" xfId="7672" xr:uid="{0627E6D4-1256-492C-AFA0-BADFE434A493}"/>
    <cellStyle name="Normal 2 19 3 22" xfId="7673" xr:uid="{49E5E1D7-4533-4534-8984-B2CD23D41D31}"/>
    <cellStyle name="Normal 2 19 3 23" xfId="7674" xr:uid="{688B882E-1B02-4D30-8374-E90A4F3D03BC}"/>
    <cellStyle name="Normal 2 19 3 24" xfId="7675" xr:uid="{2C9A6A9E-0F54-4668-A759-6E906B27DA23}"/>
    <cellStyle name="Normal 2 19 3 25" xfId="7676" xr:uid="{32B46026-C1D6-4F5F-9A85-841CF59391CE}"/>
    <cellStyle name="Normal 2 19 3 26" xfId="7677" xr:uid="{70F33CF3-CD1E-4A37-ACAA-6E8E20A2DF6A}"/>
    <cellStyle name="Normal 2 19 3 27" xfId="7678" xr:uid="{3F3D3B92-0FA0-434D-B5D3-79066861F54C}"/>
    <cellStyle name="Normal 2 19 3 28" xfId="7679" xr:uid="{C1A20E5C-97B8-4870-9A4F-83503C8B4402}"/>
    <cellStyle name="Normal 2 19 3 29" xfId="7680" xr:uid="{299374D6-E45D-4B14-99B3-BBB3F4BA6E19}"/>
    <cellStyle name="Normal 2 19 3 3" xfId="7681" xr:uid="{991F12DB-CB8E-4921-A937-CD7832BE0829}"/>
    <cellStyle name="Normal 2 19 3 30" xfId="7682" xr:uid="{D5806479-81F0-4114-8F87-1FFA861490B4}"/>
    <cellStyle name="Normal 2 19 3 31" xfId="7683" xr:uid="{43C26A85-0781-486E-ABC7-BE738E1390BF}"/>
    <cellStyle name="Normal 2 19 3 32" xfId="7684" xr:uid="{1225AD2F-1204-4245-B038-BAB3F7AF20CC}"/>
    <cellStyle name="Normal 2 19 3 33" xfId="7685" xr:uid="{7F5FB320-3A6C-422D-956F-87F884E7AC1A}"/>
    <cellStyle name="Normal 2 19 3 34" xfId="7686" xr:uid="{493F6A32-FAD4-4D0F-BB92-2E0DD6D344E8}"/>
    <cellStyle name="Normal 2 19 3 35" xfId="7687" xr:uid="{F5080645-0E36-4D52-A241-84BDA1AACAE9}"/>
    <cellStyle name="Normal 2 19 3 36" xfId="7688" xr:uid="{D226C7BE-478B-4B6C-B1E3-04D8E2256369}"/>
    <cellStyle name="Normal 2 19 3 37" xfId="7689" xr:uid="{D2057C1B-E0ED-46B8-AE4D-4ACCE6EFC5C6}"/>
    <cellStyle name="Normal 2 19 3 38" xfId="7690" xr:uid="{83F5174A-AC26-408B-AA21-2D6CBB7AF23D}"/>
    <cellStyle name="Normal 2 19 3 4" xfId="7691" xr:uid="{EB37FB39-89E5-419F-B950-092C08724FF2}"/>
    <cellStyle name="Normal 2 19 3 5" xfId="7692" xr:uid="{96197B0B-2C09-424A-A82D-38C3DAF612B2}"/>
    <cellStyle name="Normal 2 19 3 6" xfId="7693" xr:uid="{5D675005-E1E3-4AFA-8358-3DF0E3F75C2A}"/>
    <cellStyle name="Normal 2 19 3 7" xfId="7694" xr:uid="{C011C172-F620-4BD2-ADDB-F81F6F3EB3EE}"/>
    <cellStyle name="Normal 2 19 3 8" xfId="7695" xr:uid="{564B289F-63FB-4400-9086-1D6ED3B65CD9}"/>
    <cellStyle name="Normal 2 19 3 9" xfId="7696" xr:uid="{886A8DC4-A1F1-48FD-92EA-2BDB73B39959}"/>
    <cellStyle name="Normal 2 19 30" xfId="7697" xr:uid="{ABFDA054-7348-40C9-BEAA-C720B69713F7}"/>
    <cellStyle name="Normal 2 19 31" xfId="7698" xr:uid="{6BF47012-F0CC-480E-B2F8-91445CBD67F8}"/>
    <cellStyle name="Normal 2 19 32" xfId="7699" xr:uid="{0C002483-1061-4C60-87B8-2948F5CBF805}"/>
    <cellStyle name="Normal 2 19 33" xfId="7700" xr:uid="{48878739-F69C-478A-9033-A93826314634}"/>
    <cellStyle name="Normal 2 19 34" xfId="7701" xr:uid="{89CC6BF8-C047-4617-B9DA-49BAE61AD925}"/>
    <cellStyle name="Normal 2 19 35" xfId="7702" xr:uid="{D1A96DDB-3E0F-4886-BD48-8F9406923969}"/>
    <cellStyle name="Normal 2 19 36" xfId="7703" xr:uid="{C3FE7631-5E4E-498D-8E5D-AB017760BE20}"/>
    <cellStyle name="Normal 2 19 37" xfId="7704" xr:uid="{97D5B0C8-6981-4418-9050-90809D2BCCB4}"/>
    <cellStyle name="Normal 2 19 38" xfId="7705" xr:uid="{C852D450-F82E-46B9-A230-9A9C902EDB9D}"/>
    <cellStyle name="Normal 2 19 39" xfId="7706" xr:uid="{DF676DB9-8455-4B79-80DB-1BD2525BCB06}"/>
    <cellStyle name="Normal 2 19 4" xfId="7707" xr:uid="{6820C9DE-5648-4CBB-8780-49C4CB68E9B7}"/>
    <cellStyle name="Normal 2 19 40" xfId="7708" xr:uid="{A5CE9A7D-03C4-4C3E-B200-F351F33C884A}"/>
    <cellStyle name="Normal 2 19 5" xfId="7709" xr:uid="{38013FD8-BE9F-47A1-8537-32B7322BE30A}"/>
    <cellStyle name="Normal 2 19 6" xfId="7710" xr:uid="{9B2D5872-086E-43FE-8192-60E7D1D081C5}"/>
    <cellStyle name="Normal 2 19 7" xfId="7711" xr:uid="{1C43BA00-9C36-43DD-9A25-77F6CFFC2DC6}"/>
    <cellStyle name="Normal 2 19 8" xfId="7712" xr:uid="{783DACB2-57C7-45A1-9628-422C890B3941}"/>
    <cellStyle name="Normal 2 19 9" xfId="7713" xr:uid="{689E7FAF-E801-47A8-8A1B-ABB79C444DAA}"/>
    <cellStyle name="Normal 2 2" xfId="7714" xr:uid="{94AC8AE8-AE5C-42E0-B4D2-B8E7C6C6EAA1}"/>
    <cellStyle name="Normal 2 2 10" xfId="7715" xr:uid="{4CCF10C8-37BE-4B3F-A4F2-537C031907A5}"/>
    <cellStyle name="Normal 2 2 11" xfId="7716" xr:uid="{07DCFCE2-A295-44D8-8216-5FC6E4BB7E23}"/>
    <cellStyle name="Normal 2 2 12" xfId="7717" xr:uid="{0288EBB5-E2C6-47C9-8BB3-A1EAD3CBB4AC}"/>
    <cellStyle name="Normal 2 2 13" xfId="7718" xr:uid="{247DCC88-7F87-4199-86A9-AC887FBB9051}"/>
    <cellStyle name="Normal 2 2 14" xfId="7719" xr:uid="{856841E2-CADF-46CD-B73C-753A49BAF457}"/>
    <cellStyle name="Normal 2 2 15" xfId="7720" xr:uid="{70556D39-9ED6-4B74-9707-6B4E1B68C106}"/>
    <cellStyle name="Normal 2 2 16" xfId="7721" xr:uid="{9DCD7144-5046-4A7C-83E4-A0A5C93ADBA5}"/>
    <cellStyle name="Normal 2 2 17" xfId="7722" xr:uid="{7B25A2B0-ED65-4E91-9DF2-08F5E8C2ED02}"/>
    <cellStyle name="Normal 2 2 18" xfId="7723" xr:uid="{AE83DF9B-47FA-44C2-840D-18C0AA854773}"/>
    <cellStyle name="Normal 2 2 19" xfId="7724" xr:uid="{CEC908C4-B6E7-4EE1-ABB8-B3705C5562E9}"/>
    <cellStyle name="Normal 2 2 2" xfId="7725" xr:uid="{F2501F19-3B6E-435E-9FD2-A8FA2CB05D92}"/>
    <cellStyle name="Normal 2 2 20" xfId="7726" xr:uid="{CA215385-12C6-4DB7-8829-B49606285C10}"/>
    <cellStyle name="Normal 2 2 21" xfId="7727" xr:uid="{0A8E2B94-4B3B-4C95-B806-E19A32FF37B8}"/>
    <cellStyle name="Normal 2 2 22" xfId="7728" xr:uid="{2A3000FF-B5EA-4F5F-97D7-83B6E1ECA7DC}"/>
    <cellStyle name="Normal 2 2 23" xfId="7729" xr:uid="{8CCAD3E7-6293-41A4-9671-C82A9BBD3725}"/>
    <cellStyle name="Normal 2 2 24" xfId="7730" xr:uid="{974060A6-1B35-499E-A306-18BEB11DD312}"/>
    <cellStyle name="Normal 2 2 25" xfId="7731" xr:uid="{66553BE1-A470-4B87-9F18-857DB6B49495}"/>
    <cellStyle name="Normal 2 2 26" xfId="7732" xr:uid="{169CC4FB-2984-4E60-8C23-6149301F7D07}"/>
    <cellStyle name="Normal 2 2 27" xfId="7733" xr:uid="{E10FD0D0-098E-4890-BC9A-68E27FFAB248}"/>
    <cellStyle name="Normal 2 2 28" xfId="7734" xr:uid="{B71592DF-3214-4A2C-8DBB-8C32C469929D}"/>
    <cellStyle name="Normal 2 2 29" xfId="7735" xr:uid="{8E04A83C-80AD-40DA-ADC0-BA1A413949A2}"/>
    <cellStyle name="Normal 2 2 3" xfId="7736" xr:uid="{6D172910-5031-442A-9AEB-4DFDD06EE811}"/>
    <cellStyle name="Normal 2 2 30" xfId="7737" xr:uid="{EDED697F-329E-46B9-A835-3BB18B970DEC}"/>
    <cellStyle name="Normal 2 2 31" xfId="7738" xr:uid="{0A51D8A8-586D-4E77-BB3E-E719CD976585}"/>
    <cellStyle name="Normal 2 2 32" xfId="7739" xr:uid="{2A50903E-57A7-4183-B05C-8BD92B83829F}"/>
    <cellStyle name="Normal 2 2 33" xfId="7740" xr:uid="{E3218C1A-32C7-4239-8B56-4E7B25572576}"/>
    <cellStyle name="Normal 2 2 34" xfId="7741" xr:uid="{6C8699BC-4144-4C2E-9C87-A58ED51EBD85}"/>
    <cellStyle name="Normal 2 2 35" xfId="7742" xr:uid="{B0C6E2DD-3D9E-4927-BF0D-C0A45E78D919}"/>
    <cellStyle name="Normal 2 2 36" xfId="7743" xr:uid="{BA71704B-0C5D-43D5-A05A-6533544B5191}"/>
    <cellStyle name="Normal 2 2 37" xfId="7744" xr:uid="{9D0AD406-F633-49E7-9CAD-0B14B562C12F}"/>
    <cellStyle name="Normal 2 2 38" xfId="7745" xr:uid="{0774957F-0621-427C-B30C-6E1BFC64BE1D}"/>
    <cellStyle name="Normal 2 2 39" xfId="7746" xr:uid="{2A6AD8D3-FAF9-4914-AF26-AF459E7478CF}"/>
    <cellStyle name="Normal 2 2 4" xfId="7747" xr:uid="{4D906976-D7CA-4607-BFAE-B4E0C686C630}"/>
    <cellStyle name="Normal 2 2 40" xfId="7748" xr:uid="{E1C17F96-7D76-4E95-B37B-21E58D16FCB6}"/>
    <cellStyle name="Normal 2 2 41" xfId="7749" xr:uid="{C0462C57-FB2F-4945-A3F4-668352B5A61E}"/>
    <cellStyle name="Normal 2 2 42" xfId="7750" xr:uid="{F925B9C9-85A4-4219-BBFE-D7F0BA71798E}"/>
    <cellStyle name="Normal 2 2 43" xfId="7751" xr:uid="{7E31DBF9-0111-4457-9E96-61920822E661}"/>
    <cellStyle name="Normal 2 2 5" xfId="7752" xr:uid="{718AE0C9-FB8B-4CFD-8068-899D14EC9A6B}"/>
    <cellStyle name="Normal 2 2 6" xfId="7753" xr:uid="{0E52A5BF-2DF4-4B8C-AE9E-8C33D5AFAB90}"/>
    <cellStyle name="Normal 2 2 7" xfId="7754" xr:uid="{4996A91D-0844-4ED7-9214-11203FD91E55}"/>
    <cellStyle name="Normal 2 2 8" xfId="7755" xr:uid="{D4234BBE-AD22-4D59-BAE4-D85B84A5BE16}"/>
    <cellStyle name="Normal 2 2 9" xfId="7756" xr:uid="{711DEE58-3DA7-41F0-8C2D-1EEEE5889602}"/>
    <cellStyle name="Normal 2 20" xfId="7757" xr:uid="{B7D8469B-E7AE-43A0-92C7-6FF50AB7FF91}"/>
    <cellStyle name="Normal 2 20 10" xfId="7758" xr:uid="{55036040-7BF1-4A4C-9CE2-B06F3FE7D629}"/>
    <cellStyle name="Normal 2 20 11" xfId="7759" xr:uid="{925B25C9-F598-4C21-9E7B-34E01282B785}"/>
    <cellStyle name="Normal 2 20 12" xfId="7760" xr:uid="{90C45BFB-94F6-4AE3-BF87-3D921FD5F105}"/>
    <cellStyle name="Normal 2 20 13" xfId="7761" xr:uid="{B4320C98-E343-4244-B26D-9D2A13B31269}"/>
    <cellStyle name="Normal 2 20 14" xfId="7762" xr:uid="{A132C874-C403-42B5-9EC4-D98C564630FB}"/>
    <cellStyle name="Normal 2 20 15" xfId="7763" xr:uid="{529C4E79-D32E-4C41-AEDC-07D775ABD272}"/>
    <cellStyle name="Normal 2 20 16" xfId="7764" xr:uid="{790BA24A-EB24-4907-8329-76A8B350B16D}"/>
    <cellStyle name="Normal 2 20 17" xfId="7765" xr:uid="{16B2B7FB-E21C-4D98-AF1E-744AC238DE67}"/>
    <cellStyle name="Normal 2 20 18" xfId="7766" xr:uid="{CE1C0FB5-36B0-4F51-B9F3-EFB9636D0535}"/>
    <cellStyle name="Normal 2 20 19" xfId="7767" xr:uid="{1FADAAB0-DEE0-4486-AEEB-1D6C05A0E344}"/>
    <cellStyle name="Normal 2 20 2" xfId="7768" xr:uid="{217876E4-066F-45B3-82DE-50BCF0557C0F}"/>
    <cellStyle name="Normal 2 20 2 10" xfId="7769" xr:uid="{F719C3C4-294F-42F1-9FEC-1955495CAF86}"/>
    <cellStyle name="Normal 2 20 2 11" xfId="7770" xr:uid="{00EC459E-D6F8-45F3-BC50-DBA0050E4FCB}"/>
    <cellStyle name="Normal 2 20 2 12" xfId="7771" xr:uid="{CE279CDE-8DFC-48C3-AA1F-145DC83825A3}"/>
    <cellStyle name="Normal 2 20 2 13" xfId="7772" xr:uid="{CB6E8B48-5393-48FD-A968-82A8C275AEF7}"/>
    <cellStyle name="Normal 2 20 2 14" xfId="7773" xr:uid="{700040ED-C114-45D4-B00F-34563A39599E}"/>
    <cellStyle name="Normal 2 20 2 15" xfId="7774" xr:uid="{72150CE2-4BC2-4819-894A-AAAD7BA6D7E8}"/>
    <cellStyle name="Normal 2 20 2 16" xfId="7775" xr:uid="{31520B7C-B39E-4226-9719-797221DC6C4C}"/>
    <cellStyle name="Normal 2 20 2 17" xfId="7776" xr:uid="{2A947EF7-F37F-4C54-A852-5BF7C7088621}"/>
    <cellStyle name="Normal 2 20 2 18" xfId="7777" xr:uid="{21541A07-C2A8-4DE9-A434-9C546113878C}"/>
    <cellStyle name="Normal 2 20 2 19" xfId="7778" xr:uid="{E1CF4083-B5C4-46C5-8D15-8E60588D997A}"/>
    <cellStyle name="Normal 2 20 2 2" xfId="7779" xr:uid="{5798F38E-36A6-4F88-A1A3-6B1D856FE7AC}"/>
    <cellStyle name="Normal 2 20 2 2 10" xfId="7780" xr:uid="{78DFA3DF-8C18-4DF1-83AA-2B2F9D35AE3A}"/>
    <cellStyle name="Normal 2 20 2 2 11" xfId="7781" xr:uid="{4F7EBA28-8951-488D-AF9D-9E0E689113D1}"/>
    <cellStyle name="Normal 2 20 2 2 12" xfId="7782" xr:uid="{69D67510-D289-4618-8473-75E710B34887}"/>
    <cellStyle name="Normal 2 20 2 2 13" xfId="7783" xr:uid="{2563D853-BEC6-4583-AF8C-22C7918F7DD1}"/>
    <cellStyle name="Normal 2 20 2 2 14" xfId="7784" xr:uid="{86AA9611-42AD-4379-B9C1-9BF52070B156}"/>
    <cellStyle name="Normal 2 20 2 2 15" xfId="7785" xr:uid="{BDD667C6-6A54-49F9-A7A2-2690DF516681}"/>
    <cellStyle name="Normal 2 20 2 2 16" xfId="7786" xr:uid="{F746B582-4ED3-43B1-BD81-6044D59B91A9}"/>
    <cellStyle name="Normal 2 20 2 2 17" xfId="7787" xr:uid="{61231230-D109-4E72-8309-C5BE4B4F4311}"/>
    <cellStyle name="Normal 2 20 2 2 18" xfId="7788" xr:uid="{9E0DBCDD-E460-4983-94BC-3744A686DE87}"/>
    <cellStyle name="Normal 2 20 2 2 19" xfId="7789" xr:uid="{BDFE9D20-E3C6-4539-ACC6-8CD3EB1FE596}"/>
    <cellStyle name="Normal 2 20 2 2 2" xfId="7790" xr:uid="{B121A088-848D-495F-A2AA-3FE2D24DD6DC}"/>
    <cellStyle name="Normal 2 20 2 2 2 10" xfId="7791" xr:uid="{54C54E46-7095-45F6-A4A0-C94804E857B2}"/>
    <cellStyle name="Normal 2 20 2 2 2 11" xfId="7792" xr:uid="{E16C00FD-D28E-400C-85AD-14AA48C3B5EA}"/>
    <cellStyle name="Normal 2 20 2 2 2 12" xfId="7793" xr:uid="{AAEB8880-34C3-4E07-BF9E-6C92442DD4AC}"/>
    <cellStyle name="Normal 2 20 2 2 2 13" xfId="7794" xr:uid="{39A55173-4ECC-486E-B8E3-40109FDAD45B}"/>
    <cellStyle name="Normal 2 20 2 2 2 14" xfId="7795" xr:uid="{2BF80C3E-2D17-483B-8D33-4142395A10A9}"/>
    <cellStyle name="Normal 2 20 2 2 2 15" xfId="7796" xr:uid="{88A6CCA3-97F5-4B61-897D-D09759416FB7}"/>
    <cellStyle name="Normal 2 20 2 2 2 16" xfId="7797" xr:uid="{3A93E8F7-B0F3-4046-B00B-1B5F2C945E6C}"/>
    <cellStyle name="Normal 2 20 2 2 2 17" xfId="7798" xr:uid="{CF8EFBD9-0A84-4F26-BD4B-20E0CE3CC16A}"/>
    <cellStyle name="Normal 2 20 2 2 2 18" xfId="7799" xr:uid="{09C11305-57B4-4ACC-BBB8-C899CB8CB967}"/>
    <cellStyle name="Normal 2 20 2 2 2 19" xfId="7800" xr:uid="{B3C3D91F-5D3F-4512-9EF0-20D0819BF433}"/>
    <cellStyle name="Normal 2 20 2 2 2 2" xfId="7801" xr:uid="{47F21699-AAB4-4226-9041-C1F71762DCD6}"/>
    <cellStyle name="Normal 2 20 2 2 2 20" xfId="7802" xr:uid="{778B7634-51FF-43DC-A257-2D8AC8F4EACE}"/>
    <cellStyle name="Normal 2 20 2 2 2 21" xfId="7803" xr:uid="{C638B12F-7F63-4B17-8977-664C0346E609}"/>
    <cellStyle name="Normal 2 20 2 2 2 22" xfId="7804" xr:uid="{E11DF246-5284-4BFD-AB34-3D04462C47F1}"/>
    <cellStyle name="Normal 2 20 2 2 2 23" xfId="7805" xr:uid="{FD211E72-98BA-4ED1-9E43-6B8050861E1A}"/>
    <cellStyle name="Normal 2 20 2 2 2 24" xfId="7806" xr:uid="{45ACFD02-9879-4809-BAFE-8C663CF5A355}"/>
    <cellStyle name="Normal 2 20 2 2 2 25" xfId="7807" xr:uid="{B93E7D8C-9E74-4A83-B869-6D445C1F60E0}"/>
    <cellStyle name="Normal 2 20 2 2 2 26" xfId="7808" xr:uid="{548DF74A-55A4-404D-9009-EA30FE84D26E}"/>
    <cellStyle name="Normal 2 20 2 2 2 27" xfId="7809" xr:uid="{05D83737-8DD5-4D80-969A-4A490FB54A69}"/>
    <cellStyle name="Normal 2 20 2 2 2 28" xfId="7810" xr:uid="{C8DC41D5-D3F1-4EF9-BF62-59CFCE23CE06}"/>
    <cellStyle name="Normal 2 20 2 2 2 29" xfId="7811" xr:uid="{7CA10E8B-E3D2-49DF-AA11-43943C73C9C1}"/>
    <cellStyle name="Normal 2 20 2 2 2 3" xfId="7812" xr:uid="{43DE5FAA-0E25-4C86-A163-CF97DD17E9FC}"/>
    <cellStyle name="Normal 2 20 2 2 2 30" xfId="7813" xr:uid="{92F0AB8F-9670-409A-BE4C-7349C59EFC15}"/>
    <cellStyle name="Normal 2 20 2 2 2 31" xfId="7814" xr:uid="{C2CCB346-9B36-464B-B106-D488622F10FF}"/>
    <cellStyle name="Normal 2 20 2 2 2 32" xfId="7815" xr:uid="{F4C6B331-C9EC-47F5-B0E0-A973557972B6}"/>
    <cellStyle name="Normal 2 20 2 2 2 33" xfId="7816" xr:uid="{49E3BE68-5C3F-4583-A474-897B7030A93A}"/>
    <cellStyle name="Normal 2 20 2 2 2 34" xfId="7817" xr:uid="{1FBBE446-0364-48DF-94E5-E06986CB2A05}"/>
    <cellStyle name="Normal 2 20 2 2 2 35" xfId="7818" xr:uid="{9290094B-FCD1-4A03-AE54-919578F5BBFD}"/>
    <cellStyle name="Normal 2 20 2 2 2 36" xfId="7819" xr:uid="{2C26175B-0493-4454-A19E-0B05FFC4E092}"/>
    <cellStyle name="Normal 2 20 2 2 2 37" xfId="7820" xr:uid="{92402A9C-52D2-4665-82EC-5E5C39C45CF4}"/>
    <cellStyle name="Normal 2 20 2 2 2 38" xfId="7821" xr:uid="{1F014822-6DD8-4B6C-9DF8-933BCE8DD790}"/>
    <cellStyle name="Normal 2 20 2 2 2 4" xfId="7822" xr:uid="{7A70B073-AD3B-4EB6-B108-783DDFAFA19F}"/>
    <cellStyle name="Normal 2 20 2 2 2 5" xfId="7823" xr:uid="{74D60436-52C4-4D3A-9479-5FD780F7A1C2}"/>
    <cellStyle name="Normal 2 20 2 2 2 6" xfId="7824" xr:uid="{0408609B-181F-454F-980F-2E6F565B3D8E}"/>
    <cellStyle name="Normal 2 20 2 2 2 7" xfId="7825" xr:uid="{DEE00D5E-7341-4E11-A977-A9014E92314C}"/>
    <cellStyle name="Normal 2 20 2 2 2 8" xfId="7826" xr:uid="{F5D635F7-C682-4DD0-A84A-328513906C86}"/>
    <cellStyle name="Normal 2 20 2 2 2 9" xfId="7827" xr:uid="{EC81636F-A630-489B-8C85-277114AA23A0}"/>
    <cellStyle name="Normal 2 20 2 2 20" xfId="7828" xr:uid="{FF025FB9-A807-4317-BE72-B3FD90DD57EB}"/>
    <cellStyle name="Normal 2 20 2 2 21" xfId="7829" xr:uid="{0BDE6824-3033-496B-B46D-26D3A58A7196}"/>
    <cellStyle name="Normal 2 20 2 2 22" xfId="7830" xr:uid="{340A37E6-B503-4DA7-BCED-C9194C554FD8}"/>
    <cellStyle name="Normal 2 20 2 2 23" xfId="7831" xr:uid="{C06165D1-5F51-45A6-970B-9AE16685005F}"/>
    <cellStyle name="Normal 2 20 2 2 24" xfId="7832" xr:uid="{CB44E2B7-855A-4A43-97A4-7ABE656A04EA}"/>
    <cellStyle name="Normal 2 20 2 2 25" xfId="7833" xr:uid="{7B84DF59-FBD0-4F5E-BBE1-3C10CFD64243}"/>
    <cellStyle name="Normal 2 20 2 2 26" xfId="7834" xr:uid="{DD88E200-2A2E-4B6F-A094-C61872E1387A}"/>
    <cellStyle name="Normal 2 20 2 2 27" xfId="7835" xr:uid="{C3670796-2BED-4ECA-AB8F-E2AACAD26757}"/>
    <cellStyle name="Normal 2 20 2 2 28" xfId="7836" xr:uid="{01125074-8F95-4F92-88B2-E644FA61B378}"/>
    <cellStyle name="Normal 2 20 2 2 29" xfId="7837" xr:uid="{ED65B2F7-F234-4494-B4E4-0306620C8A30}"/>
    <cellStyle name="Normal 2 20 2 2 3" xfId="7838" xr:uid="{0F92FE4A-A2FB-409E-9CAE-65014EEA7E23}"/>
    <cellStyle name="Normal 2 20 2 2 30" xfId="7839" xr:uid="{7283A4A8-A250-4E40-A8C0-7794B102B9E9}"/>
    <cellStyle name="Normal 2 20 2 2 31" xfId="7840" xr:uid="{4703E1F3-5001-420B-8B17-479058B4D48D}"/>
    <cellStyle name="Normal 2 20 2 2 32" xfId="7841" xr:uid="{79C41983-B5F7-4AFA-8488-4D8B14051158}"/>
    <cellStyle name="Normal 2 20 2 2 33" xfId="7842" xr:uid="{F797B289-E971-4194-BB38-38C001E0E6A9}"/>
    <cellStyle name="Normal 2 20 2 2 34" xfId="7843" xr:uid="{4B0BD5C3-81B8-417B-A84E-70F0B9C06BCD}"/>
    <cellStyle name="Normal 2 20 2 2 35" xfId="7844" xr:uid="{134E8034-E561-46D2-91D6-9ACCC28FDBE4}"/>
    <cellStyle name="Normal 2 20 2 2 36" xfId="7845" xr:uid="{C6C871FC-9DA0-4708-8125-722806D29502}"/>
    <cellStyle name="Normal 2 20 2 2 37" xfId="7846" xr:uid="{8208BE5E-E1EF-44DB-A27A-53C264F34067}"/>
    <cellStyle name="Normal 2 20 2 2 38" xfId="7847" xr:uid="{F48CF703-3F95-491F-A0B2-F6596E46F272}"/>
    <cellStyle name="Normal 2 20 2 2 4" xfId="7848" xr:uid="{F4F9CB2D-13E5-4BC6-8692-84DF73030613}"/>
    <cellStyle name="Normal 2 20 2 2 5" xfId="7849" xr:uid="{47E76C68-2D0C-4E53-91F8-A0FA179A5222}"/>
    <cellStyle name="Normal 2 20 2 2 6" xfId="7850" xr:uid="{65550FDF-95F7-4165-9C4E-0DEB31424F5A}"/>
    <cellStyle name="Normal 2 20 2 2 7" xfId="7851" xr:uid="{73096452-E1C9-4DA9-8FBB-FDBAF8998CAE}"/>
    <cellStyle name="Normal 2 20 2 2 8" xfId="7852" xr:uid="{94D356F4-455F-41DF-B319-F21CEB0ED721}"/>
    <cellStyle name="Normal 2 20 2 2 9" xfId="7853" xr:uid="{1CABA7FF-F27D-4A2A-AA6A-B965604B29B2}"/>
    <cellStyle name="Normal 2 20 2 20" xfId="7854" xr:uid="{F7476A59-BEE5-411C-BCD0-D674C4F675A6}"/>
    <cellStyle name="Normal 2 20 2 21" xfId="7855" xr:uid="{D8F49216-7ADD-4B00-B5EB-14D96554D55E}"/>
    <cellStyle name="Normal 2 20 2 22" xfId="7856" xr:uid="{782240F6-BDC8-4D2A-AB88-2B7FA0183587}"/>
    <cellStyle name="Normal 2 20 2 23" xfId="7857" xr:uid="{0BEA7AA6-96CD-411B-B06B-FEF1B3411657}"/>
    <cellStyle name="Normal 2 20 2 24" xfId="7858" xr:uid="{AB7C936E-36D1-47BC-8ABB-DB58D39CDA3C}"/>
    <cellStyle name="Normal 2 20 2 25" xfId="7859" xr:uid="{31BC2C7C-755B-447E-85E2-4FDFF4D67F50}"/>
    <cellStyle name="Normal 2 20 2 26" xfId="7860" xr:uid="{FB44EA84-1E16-487B-8CF5-C967319F24B9}"/>
    <cellStyle name="Normal 2 20 2 27" xfId="7861" xr:uid="{5CEEBD89-D86E-41B6-932D-5E596D5DA086}"/>
    <cellStyle name="Normal 2 20 2 28" xfId="7862" xr:uid="{E8995D95-4C80-455A-800A-72381DDC1C12}"/>
    <cellStyle name="Normal 2 20 2 29" xfId="7863" xr:uid="{0B6C5A26-AA16-4EED-80E4-5596CBF06555}"/>
    <cellStyle name="Normal 2 20 2 3" xfId="7864" xr:uid="{534B1256-3504-4151-BC93-20AF1646FB6E}"/>
    <cellStyle name="Normal 2 20 2 30" xfId="7865" xr:uid="{1452618F-61FF-4B39-BD6F-DC7CDEE122C2}"/>
    <cellStyle name="Normal 2 20 2 31" xfId="7866" xr:uid="{E24BEEFC-8C04-4304-8ADA-C4826F5AFB59}"/>
    <cellStyle name="Normal 2 20 2 32" xfId="7867" xr:uid="{66E209A0-B913-45CF-9D80-593100DA3670}"/>
    <cellStyle name="Normal 2 20 2 33" xfId="7868" xr:uid="{23028D35-EF75-4B0D-A22C-7AD472B2C21B}"/>
    <cellStyle name="Normal 2 20 2 34" xfId="7869" xr:uid="{EED31347-8439-42D7-B7E5-D8E690E2DA13}"/>
    <cellStyle name="Normal 2 20 2 35" xfId="7870" xr:uid="{1FF2CA6C-EF6B-4656-B201-F8C7620A8A57}"/>
    <cellStyle name="Normal 2 20 2 36" xfId="7871" xr:uid="{A25255A8-11DC-4D0B-A801-DEB8ABEFB1C0}"/>
    <cellStyle name="Normal 2 20 2 37" xfId="7872" xr:uid="{C4713D35-CA59-4435-9B23-91AF21D1235C}"/>
    <cellStyle name="Normal 2 20 2 38" xfId="7873" xr:uid="{D054417C-E811-4B8C-B2BB-921369413FAE}"/>
    <cellStyle name="Normal 2 20 2 39" xfId="7874" xr:uid="{F4234948-4707-4A71-A8A6-DB2AA27C7FC4}"/>
    <cellStyle name="Normal 2 20 2 4" xfId="7875" xr:uid="{3E5F45E8-5E1A-4A31-8329-407A9BDA2F16}"/>
    <cellStyle name="Normal 2 20 2 40" xfId="7876" xr:uid="{08CB3C9C-477E-480E-A5D1-E6E2B18E7504}"/>
    <cellStyle name="Normal 2 20 2 5" xfId="7877" xr:uid="{F1C321CD-1F13-4D1A-B269-92A35695A5A9}"/>
    <cellStyle name="Normal 2 20 2 6" xfId="7878" xr:uid="{568D7379-D49F-4970-B943-1445CE702E76}"/>
    <cellStyle name="Normal 2 20 2 7" xfId="7879" xr:uid="{A475E800-9381-49A9-BEEB-1E632FFE2D81}"/>
    <cellStyle name="Normal 2 20 2 8" xfId="7880" xr:uid="{15A71844-84F0-44BA-B9D1-D51703185054}"/>
    <cellStyle name="Normal 2 20 2 9" xfId="7881" xr:uid="{B2B9B2B4-CB9C-47CA-A2F7-4D00E6A32087}"/>
    <cellStyle name="Normal 2 20 20" xfId="7882" xr:uid="{A26933D4-938D-4186-AEA8-CBCB224A587C}"/>
    <cellStyle name="Normal 2 20 21" xfId="7883" xr:uid="{FECA5013-8513-465E-948F-6C69F186B56B}"/>
    <cellStyle name="Normal 2 20 22" xfId="7884" xr:uid="{7B3360CB-BCF6-45AA-8A7E-FF22DE1145FB}"/>
    <cellStyle name="Normal 2 20 23" xfId="7885" xr:uid="{A1C9B47C-BE0D-4FD4-8F90-8EC0D067EE27}"/>
    <cellStyle name="Normal 2 20 24" xfId="7886" xr:uid="{6092CC7F-F23A-49FB-BA7E-E82244BEACE8}"/>
    <cellStyle name="Normal 2 20 25" xfId="7887" xr:uid="{0F75DC67-82A4-4F99-ACE2-2D62DCAA1477}"/>
    <cellStyle name="Normal 2 20 26" xfId="7888" xr:uid="{EA8BFAD0-6DCB-4F09-98C4-D8F087056220}"/>
    <cellStyle name="Normal 2 20 27" xfId="7889" xr:uid="{5DC064DC-B138-4684-A837-9A126F4DA6C0}"/>
    <cellStyle name="Normal 2 20 28" xfId="7890" xr:uid="{8760ECE7-8C42-46E9-97D3-F585A07CD2CB}"/>
    <cellStyle name="Normal 2 20 29" xfId="7891" xr:uid="{132CD944-ABB9-4C16-834F-D1B4AF6AF177}"/>
    <cellStyle name="Normal 2 20 3" xfId="7892" xr:uid="{9F5297EE-C385-4F4F-8D50-EC4C4BDF9C76}"/>
    <cellStyle name="Normal 2 20 3 10" xfId="7893" xr:uid="{642B9F3A-4E9A-407D-8DF1-442BFA758CC5}"/>
    <cellStyle name="Normal 2 20 3 11" xfId="7894" xr:uid="{10B86EE8-12B2-491B-89D3-AEF2E7A29A82}"/>
    <cellStyle name="Normal 2 20 3 12" xfId="7895" xr:uid="{38E1E795-77A8-4DA6-A329-9951973A78B4}"/>
    <cellStyle name="Normal 2 20 3 13" xfId="7896" xr:uid="{050C4C6D-5256-4034-916D-B28D3C80AE8F}"/>
    <cellStyle name="Normal 2 20 3 14" xfId="7897" xr:uid="{CB91A7BE-9ED6-43C6-9EBB-284CD0D6548D}"/>
    <cellStyle name="Normal 2 20 3 15" xfId="7898" xr:uid="{EA310801-FD1D-4420-AC9F-940A785B9295}"/>
    <cellStyle name="Normal 2 20 3 16" xfId="7899" xr:uid="{679DD365-05B8-467C-BC04-463439E5CEF1}"/>
    <cellStyle name="Normal 2 20 3 17" xfId="7900" xr:uid="{04F4623B-A105-454E-A667-99C460E1A4E9}"/>
    <cellStyle name="Normal 2 20 3 18" xfId="7901" xr:uid="{702664D6-AB67-4EBA-B64C-0F05AC8A49B0}"/>
    <cellStyle name="Normal 2 20 3 19" xfId="7902" xr:uid="{B69A9882-0C1C-4AE0-9ABE-74801588FC01}"/>
    <cellStyle name="Normal 2 20 3 2" xfId="7903" xr:uid="{4B56A841-52DF-4E0C-95F5-A5121AA0FD0C}"/>
    <cellStyle name="Normal 2 20 3 2 10" xfId="7904" xr:uid="{72BA0250-6D7E-402E-AD3E-9B3963C306F2}"/>
    <cellStyle name="Normal 2 20 3 2 11" xfId="7905" xr:uid="{FEC8272A-3286-4A49-9DC7-3F6610A3CC39}"/>
    <cellStyle name="Normal 2 20 3 2 12" xfId="7906" xr:uid="{2508677A-E1DA-4E0F-91FA-ED83812C3EE0}"/>
    <cellStyle name="Normal 2 20 3 2 13" xfId="7907" xr:uid="{451E6C8D-03F2-44D2-9308-DFE930F1363E}"/>
    <cellStyle name="Normal 2 20 3 2 14" xfId="7908" xr:uid="{C80C6285-2CD7-4B35-9A58-F5FE818A8266}"/>
    <cellStyle name="Normal 2 20 3 2 15" xfId="7909" xr:uid="{7BB11184-3D29-4CDD-A059-AF7696D3ABEC}"/>
    <cellStyle name="Normal 2 20 3 2 16" xfId="7910" xr:uid="{CB81994D-01FA-4907-85A5-563F53E0DC6E}"/>
    <cellStyle name="Normal 2 20 3 2 17" xfId="7911" xr:uid="{0FB5A2F7-235C-42EF-869F-CE7A40A06911}"/>
    <cellStyle name="Normal 2 20 3 2 18" xfId="7912" xr:uid="{42F7B49F-E76A-49D6-8AC0-4ED6DDCE7451}"/>
    <cellStyle name="Normal 2 20 3 2 19" xfId="7913" xr:uid="{2F645A40-7869-47A3-AFF9-5383CDB96D28}"/>
    <cellStyle name="Normal 2 20 3 2 2" xfId="7914" xr:uid="{9BCD606E-B1E1-41BA-863A-3E269D135D22}"/>
    <cellStyle name="Normal 2 20 3 2 20" xfId="7915" xr:uid="{00DD793D-7DFD-427A-8AA3-AC958B892D35}"/>
    <cellStyle name="Normal 2 20 3 2 21" xfId="7916" xr:uid="{34223B95-83AD-4B3D-8100-493328C0B86E}"/>
    <cellStyle name="Normal 2 20 3 2 22" xfId="7917" xr:uid="{C85BC91C-59A9-4F40-9F02-82ACB2C90ACD}"/>
    <cellStyle name="Normal 2 20 3 2 23" xfId="7918" xr:uid="{2625729F-EB02-41F9-9A65-D87D8855421F}"/>
    <cellStyle name="Normal 2 20 3 2 24" xfId="7919" xr:uid="{B40205CB-EFCB-477C-939E-85E0538F58E1}"/>
    <cellStyle name="Normal 2 20 3 2 25" xfId="7920" xr:uid="{C6EB27B5-0EDB-49BB-86D2-33228527965E}"/>
    <cellStyle name="Normal 2 20 3 2 26" xfId="7921" xr:uid="{7084E535-5170-47EF-B2BA-CBD144EE6649}"/>
    <cellStyle name="Normal 2 20 3 2 27" xfId="7922" xr:uid="{8D419BD7-15C4-48A5-B25B-468E330D4464}"/>
    <cellStyle name="Normal 2 20 3 2 28" xfId="7923" xr:uid="{D718E9A9-6A69-4905-8048-DC1FE7556AED}"/>
    <cellStyle name="Normal 2 20 3 2 29" xfId="7924" xr:uid="{EB8960CE-244A-4897-A989-F11CB7C9B4E1}"/>
    <cellStyle name="Normal 2 20 3 2 3" xfId="7925" xr:uid="{F4090E2E-D34F-4E0E-9A75-FE9FF2EE34FC}"/>
    <cellStyle name="Normal 2 20 3 2 30" xfId="7926" xr:uid="{1E139928-AB1E-4634-822A-1A28A36D2871}"/>
    <cellStyle name="Normal 2 20 3 2 31" xfId="7927" xr:uid="{AF2B9FBC-C056-4BBC-9456-E6B063D3ECBE}"/>
    <cellStyle name="Normal 2 20 3 2 32" xfId="7928" xr:uid="{1D2CE30E-EDB6-4FF3-AC8F-B9BC5393CA39}"/>
    <cellStyle name="Normal 2 20 3 2 33" xfId="7929" xr:uid="{61904CBF-E944-4176-949A-851B4B16A812}"/>
    <cellStyle name="Normal 2 20 3 2 34" xfId="7930" xr:uid="{1C13393E-4C69-4F0C-A6FB-3BA44FABCA4B}"/>
    <cellStyle name="Normal 2 20 3 2 35" xfId="7931" xr:uid="{8855BF4F-8809-4D79-A29A-6D861820DE6D}"/>
    <cellStyle name="Normal 2 20 3 2 36" xfId="7932" xr:uid="{90431F59-2E23-444A-B113-139678528E70}"/>
    <cellStyle name="Normal 2 20 3 2 37" xfId="7933" xr:uid="{3EB827B2-76AC-488C-B332-2650161BECA1}"/>
    <cellStyle name="Normal 2 20 3 2 38" xfId="7934" xr:uid="{8F3A4630-0DD1-4A76-9BB3-6314BD4FA8B1}"/>
    <cellStyle name="Normal 2 20 3 2 4" xfId="7935" xr:uid="{D2BC5618-AE28-4114-9395-5D3C0280A8C1}"/>
    <cellStyle name="Normal 2 20 3 2 5" xfId="7936" xr:uid="{4330EBE6-01D3-4632-8C6A-BFB5C6581679}"/>
    <cellStyle name="Normal 2 20 3 2 6" xfId="7937" xr:uid="{6FCC91EF-EB63-488F-8379-C59CAACA45C3}"/>
    <cellStyle name="Normal 2 20 3 2 7" xfId="7938" xr:uid="{F5302497-786C-4CAF-8443-C7CC5B4650CB}"/>
    <cellStyle name="Normal 2 20 3 2 8" xfId="7939" xr:uid="{434D7337-BC14-4CA5-A5AD-4A20FE6E7B3E}"/>
    <cellStyle name="Normal 2 20 3 2 9" xfId="7940" xr:uid="{9A700BC9-3BF9-4D3B-9C54-4F5411451F32}"/>
    <cellStyle name="Normal 2 20 3 20" xfId="7941" xr:uid="{63AA141C-5A23-4DDA-8526-1E96AFA6CCA8}"/>
    <cellStyle name="Normal 2 20 3 21" xfId="7942" xr:uid="{3FAEC019-77D8-43F7-8572-615FA09D3F95}"/>
    <cellStyle name="Normal 2 20 3 22" xfId="7943" xr:uid="{B23B540F-6CC9-4B70-8446-EA9903531476}"/>
    <cellStyle name="Normal 2 20 3 23" xfId="7944" xr:uid="{A52F7165-025E-4385-B6E3-81506DB404FC}"/>
    <cellStyle name="Normal 2 20 3 24" xfId="7945" xr:uid="{8A4E84DD-AC74-4B40-999C-C3979448537B}"/>
    <cellStyle name="Normal 2 20 3 25" xfId="7946" xr:uid="{597271E5-A1DE-42FC-AD6F-D107DECA5716}"/>
    <cellStyle name="Normal 2 20 3 26" xfId="7947" xr:uid="{243483B4-C276-4329-A1D0-F331E762FFB3}"/>
    <cellStyle name="Normal 2 20 3 27" xfId="7948" xr:uid="{2A48FDF7-1049-4A86-85C3-6B7B63E41C35}"/>
    <cellStyle name="Normal 2 20 3 28" xfId="7949" xr:uid="{6ABBCF3A-0646-4F3E-9AA7-15A0A7E216ED}"/>
    <cellStyle name="Normal 2 20 3 29" xfId="7950" xr:uid="{0975996E-5523-4665-A82A-01E35BA0A98C}"/>
    <cellStyle name="Normal 2 20 3 3" xfId="7951" xr:uid="{7593FD09-DAFA-4F87-8838-3558E4E402A6}"/>
    <cellStyle name="Normal 2 20 3 30" xfId="7952" xr:uid="{30BA4AC4-635E-426E-A308-D9334F12B396}"/>
    <cellStyle name="Normal 2 20 3 31" xfId="7953" xr:uid="{E18F347A-B6F6-4917-AABB-B0ABD5208509}"/>
    <cellStyle name="Normal 2 20 3 32" xfId="7954" xr:uid="{428FB7ED-8027-41EC-A797-80B2814A8867}"/>
    <cellStyle name="Normal 2 20 3 33" xfId="7955" xr:uid="{F096CF07-0CF1-4BF6-913E-00CB60A53B6A}"/>
    <cellStyle name="Normal 2 20 3 34" xfId="7956" xr:uid="{A0B7D11B-A5F1-449D-90CC-BE5045990689}"/>
    <cellStyle name="Normal 2 20 3 35" xfId="7957" xr:uid="{C1179E37-A49F-4218-86CE-A356EFE92146}"/>
    <cellStyle name="Normal 2 20 3 36" xfId="7958" xr:uid="{12439A57-BDBB-4B7B-8A0C-1C1A5C418708}"/>
    <cellStyle name="Normal 2 20 3 37" xfId="7959" xr:uid="{64E06E16-940F-43E5-9EC7-68A94A39F5CA}"/>
    <cellStyle name="Normal 2 20 3 38" xfId="7960" xr:uid="{E0A9BF78-9721-4099-A53D-3DBAC67D2C68}"/>
    <cellStyle name="Normal 2 20 3 4" xfId="7961" xr:uid="{AAC1C5D7-C4AA-4AA1-B0BE-3FAFA3C520CA}"/>
    <cellStyle name="Normal 2 20 3 5" xfId="7962" xr:uid="{FB9DF5F3-A919-4689-88D3-9D004665FE73}"/>
    <cellStyle name="Normal 2 20 3 6" xfId="7963" xr:uid="{41B6801E-6A70-432C-8430-C0C444745E5D}"/>
    <cellStyle name="Normal 2 20 3 7" xfId="7964" xr:uid="{AD31EBF6-FF4A-42F9-BD57-1368943F3200}"/>
    <cellStyle name="Normal 2 20 3 8" xfId="7965" xr:uid="{D76BA329-B0AF-47AA-B7C7-2663503B7831}"/>
    <cellStyle name="Normal 2 20 3 9" xfId="7966" xr:uid="{5AD499E8-8EC5-4938-85DA-E50C20B7092B}"/>
    <cellStyle name="Normal 2 20 30" xfId="7967" xr:uid="{7F3560CD-828F-471F-BC54-EDDB5F0EC8C7}"/>
    <cellStyle name="Normal 2 20 31" xfId="7968" xr:uid="{BCBB933D-9C70-4A2B-8E47-6B641C30F726}"/>
    <cellStyle name="Normal 2 20 32" xfId="7969" xr:uid="{AB62EC2D-DF99-4110-9CEA-4CB577B73777}"/>
    <cellStyle name="Normal 2 20 33" xfId="7970" xr:uid="{6F0C07CF-39BC-4B25-A843-CF7ED39361C2}"/>
    <cellStyle name="Normal 2 20 34" xfId="7971" xr:uid="{28022941-E65D-429F-BCD9-A9FC237475CA}"/>
    <cellStyle name="Normal 2 20 35" xfId="7972" xr:uid="{9F0EDE28-372B-4952-B931-E10B8F7FE141}"/>
    <cellStyle name="Normal 2 20 36" xfId="7973" xr:uid="{06B136B0-6E3A-44DC-B460-3ACAC994349A}"/>
    <cellStyle name="Normal 2 20 37" xfId="7974" xr:uid="{7C9F46FF-F72B-4A23-81DA-4A1D8DC1D2E0}"/>
    <cellStyle name="Normal 2 20 38" xfId="7975" xr:uid="{56433169-CB66-4746-9733-13ECC3FC56E1}"/>
    <cellStyle name="Normal 2 20 39" xfId="7976" xr:uid="{D1F669C0-8773-4B02-B509-146ECB0C6F94}"/>
    <cellStyle name="Normal 2 20 4" xfId="7977" xr:uid="{E1D3D96C-F8D8-42CC-B3D1-B00E43B4AAB4}"/>
    <cellStyle name="Normal 2 20 40" xfId="7978" xr:uid="{E77DD099-4774-4B9C-9B82-E97E6B5433BC}"/>
    <cellStyle name="Normal 2 20 5" xfId="7979" xr:uid="{0A1FC6C3-CDE0-44B6-8AF8-714A7A30055F}"/>
    <cellStyle name="Normal 2 20 6" xfId="7980" xr:uid="{B0DBA6E5-F880-4AAB-AEA7-4EF0CE56D0BA}"/>
    <cellStyle name="Normal 2 20 7" xfId="7981" xr:uid="{7193395D-5CE8-48D2-AF2E-992C8F33DC8A}"/>
    <cellStyle name="Normal 2 20 8" xfId="7982" xr:uid="{8BB49FCA-0505-4D97-B875-B43D8958BD85}"/>
    <cellStyle name="Normal 2 20 9" xfId="7983" xr:uid="{C6964745-044A-4892-A2B6-537DF655C38D}"/>
    <cellStyle name="Normal 2 21" xfId="7984" xr:uid="{1ED42353-19CF-40E4-B1FD-2FE09BB24BEF}"/>
    <cellStyle name="Normal 2 21 10" xfId="7985" xr:uid="{8B63C7A2-8FB8-49C4-ACAB-D05E03658F7E}"/>
    <cellStyle name="Normal 2 21 11" xfId="7986" xr:uid="{3B712598-E023-4742-9923-8EFB1A118BA2}"/>
    <cellStyle name="Normal 2 21 12" xfId="7987" xr:uid="{D8C32A0A-7740-46AB-90C3-382AF5D09D19}"/>
    <cellStyle name="Normal 2 21 13" xfId="7988" xr:uid="{D3748222-9BD0-4BCB-B397-9F73805A860A}"/>
    <cellStyle name="Normal 2 21 14" xfId="7989" xr:uid="{0B8EA0A1-11A6-4196-98C4-0A8D7CCF3ABA}"/>
    <cellStyle name="Normal 2 21 15" xfId="7990" xr:uid="{4B5D2B1D-26BF-4DF4-92AF-7D5A2D29D235}"/>
    <cellStyle name="Normal 2 21 16" xfId="7991" xr:uid="{B42DCBED-274A-425B-8DA4-F8D415950491}"/>
    <cellStyle name="Normal 2 21 17" xfId="7992" xr:uid="{4B806724-3788-4D73-B53B-50208F293DC2}"/>
    <cellStyle name="Normal 2 21 18" xfId="7993" xr:uid="{57DBD29C-50F0-44B0-9B7E-72B8266547D3}"/>
    <cellStyle name="Normal 2 21 19" xfId="7994" xr:uid="{513A8A40-F18C-44BF-81A2-AC984055EACE}"/>
    <cellStyle name="Normal 2 21 2" xfId="7995" xr:uid="{2BF786F7-199B-473C-BA99-2397C124E3AE}"/>
    <cellStyle name="Normal 2 21 2 10" xfId="7996" xr:uid="{754A242C-6907-4C98-A28F-95BDB6FAF5A4}"/>
    <cellStyle name="Normal 2 21 2 11" xfId="7997" xr:uid="{885B37CA-2282-4103-9321-0DC1F6D79577}"/>
    <cellStyle name="Normal 2 21 2 12" xfId="7998" xr:uid="{DE4CEEAC-4D34-4F7D-96C7-AFFEC205D376}"/>
    <cellStyle name="Normal 2 21 2 13" xfId="7999" xr:uid="{8B60FC5D-7095-4784-AAAC-A0141B6AB744}"/>
    <cellStyle name="Normal 2 21 2 14" xfId="8000" xr:uid="{E5D58904-7B35-4256-92D5-FD7763B4A179}"/>
    <cellStyle name="Normal 2 21 2 15" xfId="8001" xr:uid="{2B7C1D40-C24C-45EF-8D12-635779FAD82C}"/>
    <cellStyle name="Normal 2 21 2 16" xfId="8002" xr:uid="{0E9860B3-1574-4C85-BDBD-49A038051894}"/>
    <cellStyle name="Normal 2 21 2 17" xfId="8003" xr:uid="{95C14C35-A050-4992-A718-31788EA5E17A}"/>
    <cellStyle name="Normal 2 21 2 18" xfId="8004" xr:uid="{E51396B7-6B7A-4629-BEBD-29AAC378A0B7}"/>
    <cellStyle name="Normal 2 21 2 19" xfId="8005" xr:uid="{BD8FA0F3-8645-44C5-AB67-E67ABE9FADA1}"/>
    <cellStyle name="Normal 2 21 2 2" xfId="8006" xr:uid="{CC45B3CF-1F4E-4399-A4F1-AB9BF35A766F}"/>
    <cellStyle name="Normal 2 21 2 2 10" xfId="8007" xr:uid="{55D82C3F-20AC-40F3-B1DB-327585164A89}"/>
    <cellStyle name="Normal 2 21 2 2 11" xfId="8008" xr:uid="{4D0BF223-1B70-4BC3-B004-FC3364C25955}"/>
    <cellStyle name="Normal 2 21 2 2 12" xfId="8009" xr:uid="{60E58D51-1A29-45AD-A058-33895DE72349}"/>
    <cellStyle name="Normal 2 21 2 2 13" xfId="8010" xr:uid="{6696BAE2-5123-4F01-8197-64ADEA059D41}"/>
    <cellStyle name="Normal 2 21 2 2 14" xfId="8011" xr:uid="{D3383BAE-0805-427D-810E-A1FD85850F94}"/>
    <cellStyle name="Normal 2 21 2 2 15" xfId="8012" xr:uid="{FCDFC160-5362-4485-B556-6CFAA90D91E2}"/>
    <cellStyle name="Normal 2 21 2 2 16" xfId="8013" xr:uid="{FE07BD7C-A64E-40E0-B39C-3AA719B6DEB0}"/>
    <cellStyle name="Normal 2 21 2 2 17" xfId="8014" xr:uid="{C36D7155-61E9-4A24-BA8E-25A567A815E1}"/>
    <cellStyle name="Normal 2 21 2 2 18" xfId="8015" xr:uid="{FD3940E7-FF39-46C4-9B21-6F969F682C0B}"/>
    <cellStyle name="Normal 2 21 2 2 19" xfId="8016" xr:uid="{8F2E9BD5-E51A-436C-B7A0-6A514E850B69}"/>
    <cellStyle name="Normal 2 21 2 2 2" xfId="8017" xr:uid="{4C21B70C-F63F-47B9-97ED-EA2A7303D8DB}"/>
    <cellStyle name="Normal 2 21 2 2 2 10" xfId="8018" xr:uid="{BAEC0819-E04F-4720-B4EF-49426C5E7229}"/>
    <cellStyle name="Normal 2 21 2 2 2 11" xfId="8019" xr:uid="{DD25EBAC-B8FF-4265-A3E4-B9C1BD14B76F}"/>
    <cellStyle name="Normal 2 21 2 2 2 12" xfId="8020" xr:uid="{CB56A158-C95B-49CB-9240-87F8543588F4}"/>
    <cellStyle name="Normal 2 21 2 2 2 13" xfId="8021" xr:uid="{10168368-052B-4002-9532-04AEC4C86208}"/>
    <cellStyle name="Normal 2 21 2 2 2 14" xfId="8022" xr:uid="{AA378939-55FC-4122-A23A-B5465C95ECF3}"/>
    <cellStyle name="Normal 2 21 2 2 2 15" xfId="8023" xr:uid="{F3E64DEF-0D30-4335-85B3-5AED2428DFC8}"/>
    <cellStyle name="Normal 2 21 2 2 2 16" xfId="8024" xr:uid="{1118EA62-1795-40B7-A4D3-F95D7139D8AE}"/>
    <cellStyle name="Normal 2 21 2 2 2 17" xfId="8025" xr:uid="{50EE3E6C-1D9A-40C0-B989-2E82FE45B9E9}"/>
    <cellStyle name="Normal 2 21 2 2 2 18" xfId="8026" xr:uid="{A452D6CB-4AC6-4F55-B45F-E2B12A2ECCE8}"/>
    <cellStyle name="Normal 2 21 2 2 2 19" xfId="8027" xr:uid="{E90E1F4B-3CA9-428A-A23D-E845D9FE75F5}"/>
    <cellStyle name="Normal 2 21 2 2 2 2" xfId="8028" xr:uid="{DC99CEC9-BB49-40B6-9209-4BD44951E63F}"/>
    <cellStyle name="Normal 2 21 2 2 2 20" xfId="8029" xr:uid="{5E5CAB7F-216C-41BC-9FE3-B117754D584B}"/>
    <cellStyle name="Normal 2 21 2 2 2 21" xfId="8030" xr:uid="{F267C5B7-2A00-4F72-ADE4-96D86BE12865}"/>
    <cellStyle name="Normal 2 21 2 2 2 22" xfId="8031" xr:uid="{5C6A7185-80B5-405F-AC21-940758A1CFCE}"/>
    <cellStyle name="Normal 2 21 2 2 2 23" xfId="8032" xr:uid="{2FC49DA2-B654-45CB-9C5D-0A305057FEE6}"/>
    <cellStyle name="Normal 2 21 2 2 2 24" xfId="8033" xr:uid="{267ACD11-CB2C-47A0-B8FC-EEB98875FB50}"/>
    <cellStyle name="Normal 2 21 2 2 2 25" xfId="8034" xr:uid="{8D16A650-CD27-4538-83CC-D27C9605F0C9}"/>
    <cellStyle name="Normal 2 21 2 2 2 26" xfId="8035" xr:uid="{AE60BD88-FF75-4DED-BEE5-B36021A12B66}"/>
    <cellStyle name="Normal 2 21 2 2 2 27" xfId="8036" xr:uid="{6F8BF253-34EF-4442-9424-4815B95605B6}"/>
    <cellStyle name="Normal 2 21 2 2 2 28" xfId="8037" xr:uid="{4CF8C3C9-A837-4F1A-8EB5-C82BFBC54A51}"/>
    <cellStyle name="Normal 2 21 2 2 2 29" xfId="8038" xr:uid="{2309488F-DDF3-4E68-8E05-9EC584AA4DE4}"/>
    <cellStyle name="Normal 2 21 2 2 2 3" xfId="8039" xr:uid="{C0D7036A-9986-4028-8029-1BC1F28ED520}"/>
    <cellStyle name="Normal 2 21 2 2 2 30" xfId="8040" xr:uid="{0057F3AE-7DF7-49DC-93E6-1C8D2CF57E34}"/>
    <cellStyle name="Normal 2 21 2 2 2 31" xfId="8041" xr:uid="{ED06C2D1-D5E6-4524-A17D-9B604D8C53E4}"/>
    <cellStyle name="Normal 2 21 2 2 2 32" xfId="8042" xr:uid="{20F2CADC-FEF1-4C5E-82D2-9886C5DB34CB}"/>
    <cellStyle name="Normal 2 21 2 2 2 33" xfId="8043" xr:uid="{B23D02DD-8F0E-473B-AAA3-16723263263D}"/>
    <cellStyle name="Normal 2 21 2 2 2 34" xfId="8044" xr:uid="{228B0E20-E79A-421F-ABD2-0027BAFDAA00}"/>
    <cellStyle name="Normal 2 21 2 2 2 35" xfId="8045" xr:uid="{9C1CBB33-0326-470C-8325-2CF5A323E2E8}"/>
    <cellStyle name="Normal 2 21 2 2 2 36" xfId="8046" xr:uid="{85F3E565-3F00-443F-A9DF-7C8C18F9A583}"/>
    <cellStyle name="Normal 2 21 2 2 2 37" xfId="8047" xr:uid="{96149E11-6C63-4A56-AD29-D56A46FE8091}"/>
    <cellStyle name="Normal 2 21 2 2 2 38" xfId="8048" xr:uid="{AA025C57-F0BE-45E9-8461-651C49921EF4}"/>
    <cellStyle name="Normal 2 21 2 2 2 4" xfId="8049" xr:uid="{BA4F49A4-70F4-476F-AECC-EFF7450285D5}"/>
    <cellStyle name="Normal 2 21 2 2 2 5" xfId="8050" xr:uid="{3AD3422E-670D-433E-B4FE-BEF2A06CE2CD}"/>
    <cellStyle name="Normal 2 21 2 2 2 6" xfId="8051" xr:uid="{E3F78DB1-9EFF-402C-89C2-2E8E344CF738}"/>
    <cellStyle name="Normal 2 21 2 2 2 7" xfId="8052" xr:uid="{9AF32C92-78D3-45BE-8BF8-B7F45B625AE4}"/>
    <cellStyle name="Normal 2 21 2 2 2 8" xfId="8053" xr:uid="{23511518-277C-4CAD-9956-C766EA5DD4C5}"/>
    <cellStyle name="Normal 2 21 2 2 2 9" xfId="8054" xr:uid="{59B2B359-F523-4EE3-A2C4-21552B4457D5}"/>
    <cellStyle name="Normal 2 21 2 2 20" xfId="8055" xr:uid="{A5EE1BC0-44EB-4988-AABC-123697AE0653}"/>
    <cellStyle name="Normal 2 21 2 2 21" xfId="8056" xr:uid="{4C9F0961-B44E-46FD-87E7-76F5C973F8C7}"/>
    <cellStyle name="Normal 2 21 2 2 22" xfId="8057" xr:uid="{F371B2A0-A3C2-48B8-A5F8-59D45CA8E700}"/>
    <cellStyle name="Normal 2 21 2 2 23" xfId="8058" xr:uid="{EAA2511E-2C6A-4685-B084-4BD1FB8DA80C}"/>
    <cellStyle name="Normal 2 21 2 2 24" xfId="8059" xr:uid="{C6E74A6A-740C-4D26-BFAA-6A0E708E59FA}"/>
    <cellStyle name="Normal 2 21 2 2 25" xfId="8060" xr:uid="{98854CAE-39C7-4177-87B8-6642F91D0F2E}"/>
    <cellStyle name="Normal 2 21 2 2 26" xfId="8061" xr:uid="{14CC4F29-D250-4EA1-A855-0FF8C62F5396}"/>
    <cellStyle name="Normal 2 21 2 2 27" xfId="8062" xr:uid="{1549D77B-7533-4A97-BE92-7D827E65477F}"/>
    <cellStyle name="Normal 2 21 2 2 28" xfId="8063" xr:uid="{482C2331-9264-4923-AAE5-BAE745B1C15D}"/>
    <cellStyle name="Normal 2 21 2 2 29" xfId="8064" xr:uid="{0A17BCEF-27A0-4FCA-90C6-4735FF6FE333}"/>
    <cellStyle name="Normal 2 21 2 2 3" xfId="8065" xr:uid="{C6594E8F-9EA2-4B8C-8593-C6D5D7433EF6}"/>
    <cellStyle name="Normal 2 21 2 2 30" xfId="8066" xr:uid="{B904C8AA-3524-4016-AA64-DA9476EBF956}"/>
    <cellStyle name="Normal 2 21 2 2 31" xfId="8067" xr:uid="{E3EB015A-8404-4682-89A6-6E71331DA484}"/>
    <cellStyle name="Normal 2 21 2 2 32" xfId="8068" xr:uid="{C6E5AD68-C1B9-4CFE-9B82-E8C5664E2E33}"/>
    <cellStyle name="Normal 2 21 2 2 33" xfId="8069" xr:uid="{12D127BB-4FEC-431D-A068-439D0A25C3C1}"/>
    <cellStyle name="Normal 2 21 2 2 34" xfId="8070" xr:uid="{97C9CC17-657C-4C3A-BE50-AEC128B10810}"/>
    <cellStyle name="Normal 2 21 2 2 35" xfId="8071" xr:uid="{27282655-EE65-42FB-968D-653EEF8E5699}"/>
    <cellStyle name="Normal 2 21 2 2 36" xfId="8072" xr:uid="{D10D82BC-91FD-4CCB-AE40-BD100B6B2D92}"/>
    <cellStyle name="Normal 2 21 2 2 37" xfId="8073" xr:uid="{E0627E2C-31DC-4784-9BE3-928C2335B001}"/>
    <cellStyle name="Normal 2 21 2 2 38" xfId="8074" xr:uid="{691CB6F5-4A0C-4AD1-8A40-D197D1466334}"/>
    <cellStyle name="Normal 2 21 2 2 4" xfId="8075" xr:uid="{6F097F61-C75E-4E68-B355-1210E9CDF482}"/>
    <cellStyle name="Normal 2 21 2 2 5" xfId="8076" xr:uid="{67EC1D5F-D10F-4F40-8F35-0DBAD137BA72}"/>
    <cellStyle name="Normal 2 21 2 2 6" xfId="8077" xr:uid="{94BA1FBA-1930-4BC1-9BFA-A2AC77027A68}"/>
    <cellStyle name="Normal 2 21 2 2 7" xfId="8078" xr:uid="{04607A4B-2ECF-4CFB-A18E-43AD52E11169}"/>
    <cellStyle name="Normal 2 21 2 2 8" xfId="8079" xr:uid="{CA6554AA-CDF5-4DFB-B2A2-774EA8542FAA}"/>
    <cellStyle name="Normal 2 21 2 2 9" xfId="8080" xr:uid="{6A90AE97-1B1C-452C-98B6-A2B5B5151010}"/>
    <cellStyle name="Normal 2 21 2 20" xfId="8081" xr:uid="{41C074E6-9D2B-4DE1-9720-1A25DB014A70}"/>
    <cellStyle name="Normal 2 21 2 21" xfId="8082" xr:uid="{69218612-5188-4FB5-B6EC-C6005596AFB9}"/>
    <cellStyle name="Normal 2 21 2 22" xfId="8083" xr:uid="{88823E57-418D-4338-9F62-B2A7A05DA49C}"/>
    <cellStyle name="Normal 2 21 2 23" xfId="8084" xr:uid="{6715E4D0-9742-4AF5-B726-A6EC714C1F92}"/>
    <cellStyle name="Normal 2 21 2 24" xfId="8085" xr:uid="{C57DCF6D-0B4A-4F14-9032-86D62B670020}"/>
    <cellStyle name="Normal 2 21 2 25" xfId="8086" xr:uid="{DFE7F0DF-C1B9-4ACC-B7D2-4C1C3844DCA2}"/>
    <cellStyle name="Normal 2 21 2 26" xfId="8087" xr:uid="{A6CDFF89-7BC3-47F5-AFBA-C905FCE7EACC}"/>
    <cellStyle name="Normal 2 21 2 27" xfId="8088" xr:uid="{848B242E-61A2-4F0A-981B-6E27BE0BE133}"/>
    <cellStyle name="Normal 2 21 2 28" xfId="8089" xr:uid="{5218C7AE-C6D7-42A2-9BBF-53CBAC6D0D23}"/>
    <cellStyle name="Normal 2 21 2 29" xfId="8090" xr:uid="{A2ED8A54-E8F6-454E-BA46-7EA33C5A3A9A}"/>
    <cellStyle name="Normal 2 21 2 3" xfId="8091" xr:uid="{2F06471E-849B-4CE4-AD44-B6652ED41A1F}"/>
    <cellStyle name="Normal 2 21 2 30" xfId="8092" xr:uid="{2316B626-B889-4B4F-A57C-302A0667A336}"/>
    <cellStyle name="Normal 2 21 2 31" xfId="8093" xr:uid="{06ECE2F6-62EB-4D28-B37C-A806032190F1}"/>
    <cellStyle name="Normal 2 21 2 32" xfId="8094" xr:uid="{D39B95BB-912F-438A-8199-D1DDF8065755}"/>
    <cellStyle name="Normal 2 21 2 33" xfId="8095" xr:uid="{A10527F9-8E32-40EE-8A47-F59FFE9243A0}"/>
    <cellStyle name="Normal 2 21 2 34" xfId="8096" xr:uid="{A711E013-B10B-426D-8C1E-E43C215C9B94}"/>
    <cellStyle name="Normal 2 21 2 35" xfId="8097" xr:uid="{2D3AE988-229B-46C4-B820-862860EBEAC2}"/>
    <cellStyle name="Normal 2 21 2 36" xfId="8098" xr:uid="{D8FED3A1-DF92-484A-B551-E3B95FFF5C8A}"/>
    <cellStyle name="Normal 2 21 2 37" xfId="8099" xr:uid="{CDFB029F-31A9-4A79-83F4-8A3AC6967B94}"/>
    <cellStyle name="Normal 2 21 2 38" xfId="8100" xr:uid="{B929A365-0651-41F7-B9E5-94325C81524F}"/>
    <cellStyle name="Normal 2 21 2 39" xfId="8101" xr:uid="{4F89C5B2-3C7F-4FCE-A347-4FD935146D32}"/>
    <cellStyle name="Normal 2 21 2 4" xfId="8102" xr:uid="{4C0C8011-C91F-4B27-8F03-46CA3D0CE3CE}"/>
    <cellStyle name="Normal 2 21 2 40" xfId="8103" xr:uid="{E4378972-2E6F-46A3-A9C4-62AF0F324B51}"/>
    <cellStyle name="Normal 2 21 2 5" xfId="8104" xr:uid="{BEF10B4A-4D9B-47DC-A294-798765C325E9}"/>
    <cellStyle name="Normal 2 21 2 6" xfId="8105" xr:uid="{4C9A9624-CAD2-44A0-91AF-013E5BF1FB83}"/>
    <cellStyle name="Normal 2 21 2 7" xfId="8106" xr:uid="{A8365770-2383-4E38-B705-7312BD1DCA3E}"/>
    <cellStyle name="Normal 2 21 2 8" xfId="8107" xr:uid="{C2D8A437-7C08-4A31-BC80-389A9E468F51}"/>
    <cellStyle name="Normal 2 21 2 9" xfId="8108" xr:uid="{50CD349C-ECAF-4069-BD5F-9E27AD3B628D}"/>
    <cellStyle name="Normal 2 21 20" xfId="8109" xr:uid="{23FED2C5-1E16-43F6-A04B-B3D4973E1FBC}"/>
    <cellStyle name="Normal 2 21 21" xfId="8110" xr:uid="{9EE12173-4FE1-47B5-8844-857C4E1CDAAD}"/>
    <cellStyle name="Normal 2 21 22" xfId="8111" xr:uid="{E699EB5B-6C67-4C74-B43E-745571605A83}"/>
    <cellStyle name="Normal 2 21 23" xfId="8112" xr:uid="{8453726C-FF99-47C4-BCDA-9A1FC12D5E83}"/>
    <cellStyle name="Normal 2 21 24" xfId="8113" xr:uid="{42F1D904-7816-4F4C-9B55-86B57DE5FD56}"/>
    <cellStyle name="Normal 2 21 25" xfId="8114" xr:uid="{9E21AB45-3DD6-4A2F-86D6-12C181674C33}"/>
    <cellStyle name="Normal 2 21 26" xfId="8115" xr:uid="{57B04A95-0CBD-4E19-960E-2A79D984B63A}"/>
    <cellStyle name="Normal 2 21 27" xfId="8116" xr:uid="{9A595AD6-A943-4DF3-9C87-589094E382E1}"/>
    <cellStyle name="Normal 2 21 28" xfId="8117" xr:uid="{05AB6CFD-8D0D-419E-9BBC-99831413FAE0}"/>
    <cellStyle name="Normal 2 21 29" xfId="8118" xr:uid="{BE3C6527-04FB-45A4-8921-C91FB0E4E82B}"/>
    <cellStyle name="Normal 2 21 3" xfId="8119" xr:uid="{3C0411EB-E580-493D-8B49-DE1BED8ABD44}"/>
    <cellStyle name="Normal 2 21 3 10" xfId="8120" xr:uid="{481F6D0C-619E-4264-BDD0-E373EA9D69D2}"/>
    <cellStyle name="Normal 2 21 3 11" xfId="8121" xr:uid="{D6FE1C51-CF9A-46F3-B562-B80B2C43DEFB}"/>
    <cellStyle name="Normal 2 21 3 12" xfId="8122" xr:uid="{35529FE9-CC28-4372-B639-034C159DBE12}"/>
    <cellStyle name="Normal 2 21 3 13" xfId="8123" xr:uid="{38F80B4A-D7FE-474D-9101-71A6386B9660}"/>
    <cellStyle name="Normal 2 21 3 14" xfId="8124" xr:uid="{C13A7D4E-6E75-4995-A410-5F56F229354F}"/>
    <cellStyle name="Normal 2 21 3 15" xfId="8125" xr:uid="{FD084AFA-D992-447E-8525-D2E6BAB0D01B}"/>
    <cellStyle name="Normal 2 21 3 16" xfId="8126" xr:uid="{59213DF5-4610-4F40-8905-E88090B2A140}"/>
    <cellStyle name="Normal 2 21 3 17" xfId="8127" xr:uid="{674865EA-AFB5-40C7-A3F8-3884D0AE5B0D}"/>
    <cellStyle name="Normal 2 21 3 18" xfId="8128" xr:uid="{1334C612-DD31-4C6E-8765-7C2578B1E68F}"/>
    <cellStyle name="Normal 2 21 3 19" xfId="8129" xr:uid="{45EAE744-D7FB-4997-B36F-DC6E094B3D1D}"/>
    <cellStyle name="Normal 2 21 3 2" xfId="8130" xr:uid="{486688F6-7C1E-483C-86A7-2EFCD946A252}"/>
    <cellStyle name="Normal 2 21 3 2 10" xfId="8131" xr:uid="{1C9D5062-F791-48D7-BCAB-86B5401AC708}"/>
    <cellStyle name="Normal 2 21 3 2 11" xfId="8132" xr:uid="{26C5013F-825B-4FC2-8360-3BD955B94F19}"/>
    <cellStyle name="Normal 2 21 3 2 12" xfId="8133" xr:uid="{F944166A-F5B3-4F9E-A251-3788ED168B46}"/>
    <cellStyle name="Normal 2 21 3 2 13" xfId="8134" xr:uid="{B8DECFFF-3E58-4429-BFCC-19365A3F7F31}"/>
    <cellStyle name="Normal 2 21 3 2 14" xfId="8135" xr:uid="{C72D449E-CDFD-488E-B4AE-6497693685B5}"/>
    <cellStyle name="Normal 2 21 3 2 15" xfId="8136" xr:uid="{644CE1EB-E47D-4078-B7DC-78F92E972D6A}"/>
    <cellStyle name="Normal 2 21 3 2 16" xfId="8137" xr:uid="{19C6926E-9C4D-4918-9DD1-5EF3AC2C0147}"/>
    <cellStyle name="Normal 2 21 3 2 17" xfId="8138" xr:uid="{9ADA949B-D602-4930-A927-0736C45281B6}"/>
    <cellStyle name="Normal 2 21 3 2 18" xfId="8139" xr:uid="{E04A88F9-6B96-47ED-8482-8134AC76EF57}"/>
    <cellStyle name="Normal 2 21 3 2 19" xfId="8140" xr:uid="{1195F4F8-3C47-4BD7-B2E4-CBEEA2659546}"/>
    <cellStyle name="Normal 2 21 3 2 2" xfId="8141" xr:uid="{F604F403-A43D-41EE-A82E-18E98108D3FE}"/>
    <cellStyle name="Normal 2 21 3 2 20" xfId="8142" xr:uid="{2C383FD8-C8E4-4D54-9E8C-8EFBE6698182}"/>
    <cellStyle name="Normal 2 21 3 2 21" xfId="8143" xr:uid="{5DCAB2C7-5609-49CB-894E-1A6496416E80}"/>
    <cellStyle name="Normal 2 21 3 2 22" xfId="8144" xr:uid="{6CCEDF3F-8A9C-4973-9FB1-0B7C059BA926}"/>
    <cellStyle name="Normal 2 21 3 2 23" xfId="8145" xr:uid="{54114339-5DB6-4A2C-AB6E-13A405CE9D53}"/>
    <cellStyle name="Normal 2 21 3 2 24" xfId="8146" xr:uid="{20A51C8C-D208-4767-A07A-B32E66CDAFA7}"/>
    <cellStyle name="Normal 2 21 3 2 25" xfId="8147" xr:uid="{CD1DD84C-F0E6-40F8-866F-334350FB1F3A}"/>
    <cellStyle name="Normal 2 21 3 2 26" xfId="8148" xr:uid="{4130C365-210B-4CEC-8211-108B88D2E60C}"/>
    <cellStyle name="Normal 2 21 3 2 27" xfId="8149" xr:uid="{8D7E8EC5-8F9B-4047-884C-188866A6D5E0}"/>
    <cellStyle name="Normal 2 21 3 2 28" xfId="8150" xr:uid="{9406E217-B10C-411B-8CBA-7B20B463CE90}"/>
    <cellStyle name="Normal 2 21 3 2 29" xfId="8151" xr:uid="{6580CD9C-1FFC-434C-BD25-B6AA38EA5449}"/>
    <cellStyle name="Normal 2 21 3 2 3" xfId="8152" xr:uid="{495EC4B3-2BD0-4F0E-9FA1-8F4D6AEB6FD6}"/>
    <cellStyle name="Normal 2 21 3 2 30" xfId="8153" xr:uid="{2B364468-42FD-4E68-8E7D-4E2D12203B1C}"/>
    <cellStyle name="Normal 2 21 3 2 31" xfId="8154" xr:uid="{36E66322-B648-431A-8EDC-8D783659486E}"/>
    <cellStyle name="Normal 2 21 3 2 32" xfId="8155" xr:uid="{375C9517-109A-4088-8AEC-E14D9C166079}"/>
    <cellStyle name="Normal 2 21 3 2 33" xfId="8156" xr:uid="{85C19566-0222-4BA0-A812-253A63D731C9}"/>
    <cellStyle name="Normal 2 21 3 2 34" xfId="8157" xr:uid="{D9B345ED-F304-418B-AB02-3CE6E0A688D8}"/>
    <cellStyle name="Normal 2 21 3 2 35" xfId="8158" xr:uid="{76178BA1-1060-456E-BE3F-6797E19B231E}"/>
    <cellStyle name="Normal 2 21 3 2 36" xfId="8159" xr:uid="{5D1C73A4-333A-4060-9D80-642068606D92}"/>
    <cellStyle name="Normal 2 21 3 2 37" xfId="8160" xr:uid="{288D3A6D-57AE-49F3-9A74-508CCB85F039}"/>
    <cellStyle name="Normal 2 21 3 2 38" xfId="8161" xr:uid="{01B862E2-D2E7-4554-9419-229D4541EF7A}"/>
    <cellStyle name="Normal 2 21 3 2 4" xfId="8162" xr:uid="{0B871D50-1F7D-4D9B-94DC-FFC7F5157F13}"/>
    <cellStyle name="Normal 2 21 3 2 5" xfId="8163" xr:uid="{478DF2CD-B859-49B5-A91A-0EC13B70D9A2}"/>
    <cellStyle name="Normal 2 21 3 2 6" xfId="8164" xr:uid="{4A9CD22E-D230-4B96-A5F7-20D1F95050FB}"/>
    <cellStyle name="Normal 2 21 3 2 7" xfId="8165" xr:uid="{CE21C01B-ABEF-44CD-9665-C57E12B7BA3C}"/>
    <cellStyle name="Normal 2 21 3 2 8" xfId="8166" xr:uid="{150948CE-53CC-45B9-9D00-53A7B5FFFC3A}"/>
    <cellStyle name="Normal 2 21 3 2 9" xfId="8167" xr:uid="{9C3863BA-FAEA-495A-A4C4-4B35A86614FF}"/>
    <cellStyle name="Normal 2 21 3 20" xfId="8168" xr:uid="{45122DFD-C713-462E-B386-CC8C5CB5C4AA}"/>
    <cellStyle name="Normal 2 21 3 21" xfId="8169" xr:uid="{1FA6D5FC-1011-451D-8088-B229B5B95F15}"/>
    <cellStyle name="Normal 2 21 3 22" xfId="8170" xr:uid="{4B8817C9-5F00-4343-BAE2-2751E0425874}"/>
    <cellStyle name="Normal 2 21 3 23" xfId="8171" xr:uid="{9CD22E03-03B9-4FC0-A314-A19B8B51176A}"/>
    <cellStyle name="Normal 2 21 3 24" xfId="8172" xr:uid="{2545FF82-E795-470D-8ACE-58F6C3043224}"/>
    <cellStyle name="Normal 2 21 3 25" xfId="8173" xr:uid="{1534A625-AB03-416F-AAE8-45D4F4D88664}"/>
    <cellStyle name="Normal 2 21 3 26" xfId="8174" xr:uid="{DAF5E3A1-8F46-4716-8AA0-08FE60C7AC70}"/>
    <cellStyle name="Normal 2 21 3 27" xfId="8175" xr:uid="{7A6FEC11-3D9F-4E9A-A93C-EED0BFE3FD7D}"/>
    <cellStyle name="Normal 2 21 3 28" xfId="8176" xr:uid="{4A58C86A-ED7B-4948-AB2D-6AC20FCD16ED}"/>
    <cellStyle name="Normal 2 21 3 29" xfId="8177" xr:uid="{52D9CFF0-0BDE-42B6-A0B3-2236349627FD}"/>
    <cellStyle name="Normal 2 21 3 3" xfId="8178" xr:uid="{559E2BBA-88E3-4D4C-AA35-B3DD686C9970}"/>
    <cellStyle name="Normal 2 21 3 30" xfId="8179" xr:uid="{928D60FC-F551-435B-A1FE-D37727442122}"/>
    <cellStyle name="Normal 2 21 3 31" xfId="8180" xr:uid="{B6B0E539-F99B-46ED-B130-2C6BC08CE0B1}"/>
    <cellStyle name="Normal 2 21 3 32" xfId="8181" xr:uid="{F7DB2971-F5DE-4EB0-B892-CE61AF054D5B}"/>
    <cellStyle name="Normal 2 21 3 33" xfId="8182" xr:uid="{C47C61B6-F372-40D0-ADA8-77D68D4A55D4}"/>
    <cellStyle name="Normal 2 21 3 34" xfId="8183" xr:uid="{DC5903C8-D136-47B0-9031-5C22638E462C}"/>
    <cellStyle name="Normal 2 21 3 35" xfId="8184" xr:uid="{237F7F5E-C994-48D1-A5B3-C98708A2C6D4}"/>
    <cellStyle name="Normal 2 21 3 36" xfId="8185" xr:uid="{60E84BF6-4770-4919-8016-F6B97F3AC393}"/>
    <cellStyle name="Normal 2 21 3 37" xfId="8186" xr:uid="{F639B55A-022C-4EEA-A3B8-78BECF5F90BD}"/>
    <cellStyle name="Normal 2 21 3 38" xfId="8187" xr:uid="{D64D818C-9E2C-47A4-BCD8-EFBD743E2D0A}"/>
    <cellStyle name="Normal 2 21 3 4" xfId="8188" xr:uid="{94C8AB44-A7E8-4742-B707-2A8378FB7074}"/>
    <cellStyle name="Normal 2 21 3 5" xfId="8189" xr:uid="{74F8F69E-D411-4B6D-8C3E-5D0E97DA25A3}"/>
    <cellStyle name="Normal 2 21 3 6" xfId="8190" xr:uid="{7A62FB9A-9CED-4E54-9E39-FF7A175F88A6}"/>
    <cellStyle name="Normal 2 21 3 7" xfId="8191" xr:uid="{ED04B8B7-91DF-4D52-8571-D79517ED6A48}"/>
    <cellStyle name="Normal 2 21 3 8" xfId="8192" xr:uid="{F2390E9D-2609-4974-B40F-EFFEF848E8FE}"/>
    <cellStyle name="Normal 2 21 3 9" xfId="8193" xr:uid="{2A0C2343-1701-4F3C-9BC9-EBA5A40D3133}"/>
    <cellStyle name="Normal 2 21 30" xfId="8194" xr:uid="{817698B3-4840-45B5-90F1-8E30D4A48637}"/>
    <cellStyle name="Normal 2 21 31" xfId="8195" xr:uid="{BD6AD75A-E489-4F52-A9EC-262BD8416814}"/>
    <cellStyle name="Normal 2 21 32" xfId="8196" xr:uid="{7AC8A156-959E-4B94-AAA6-6DAB1753CFB5}"/>
    <cellStyle name="Normal 2 21 33" xfId="8197" xr:uid="{C744B0ED-3C15-42CB-9830-99FB8C4086AC}"/>
    <cellStyle name="Normal 2 21 34" xfId="8198" xr:uid="{91BB7983-A9A1-48E1-8253-2ECF444FEA8E}"/>
    <cellStyle name="Normal 2 21 35" xfId="8199" xr:uid="{7FACC393-EE95-4C7A-BC17-806FEF44E517}"/>
    <cellStyle name="Normal 2 21 36" xfId="8200" xr:uid="{DED7B7D8-5B5D-42A8-BB46-EEAECAE53BD6}"/>
    <cellStyle name="Normal 2 21 37" xfId="8201" xr:uid="{F95E6200-E23A-4FB4-8E32-5549CBF02134}"/>
    <cellStyle name="Normal 2 21 38" xfId="8202" xr:uid="{EFEB7ED9-93AD-4782-B219-6DE48790319C}"/>
    <cellStyle name="Normal 2 21 39" xfId="8203" xr:uid="{D2A472A0-81B7-4C2A-932B-7C7726C7058F}"/>
    <cellStyle name="Normal 2 21 4" xfId="8204" xr:uid="{07254991-54AB-4EC6-8792-74FBFDCF14A1}"/>
    <cellStyle name="Normal 2 21 40" xfId="8205" xr:uid="{87D01141-074F-4565-B6D3-D2CAC2723DCA}"/>
    <cellStyle name="Normal 2 21 5" xfId="8206" xr:uid="{E148C007-A7E1-4528-B092-57B118B9A8A7}"/>
    <cellStyle name="Normal 2 21 6" xfId="8207" xr:uid="{82111537-F5FD-48CD-9FBA-8DECDF77FB82}"/>
    <cellStyle name="Normal 2 21 7" xfId="8208" xr:uid="{AF4CF525-F591-4411-9AFC-9D658E084487}"/>
    <cellStyle name="Normal 2 21 8" xfId="8209" xr:uid="{EBBCA743-503E-4C41-9AFD-9E60C8F43A29}"/>
    <cellStyle name="Normal 2 21 9" xfId="8210" xr:uid="{E6A2660D-53F3-4A18-A7E5-4E7DA67E8091}"/>
    <cellStyle name="Normal 2 22" xfId="8211" xr:uid="{534E14AD-B6E1-4E00-8CD3-115BD2AC5D68}"/>
    <cellStyle name="Normal 2 22 10" xfId="8212" xr:uid="{C36441C4-AA9B-4495-AF1D-F4C5154F574E}"/>
    <cellStyle name="Normal 2 22 11" xfId="8213" xr:uid="{CA6D7B85-D1EA-4CE8-B02F-28EB3656D5C8}"/>
    <cellStyle name="Normal 2 22 12" xfId="8214" xr:uid="{0F247C50-C78F-4082-8882-9FD94E0BEAC0}"/>
    <cellStyle name="Normal 2 22 13" xfId="8215" xr:uid="{FDC791A4-D894-4CD1-960E-0735A6954C52}"/>
    <cellStyle name="Normal 2 22 14" xfId="8216" xr:uid="{C57995DC-517F-4F7F-8322-190CA0E52E5D}"/>
    <cellStyle name="Normal 2 22 15" xfId="8217" xr:uid="{AE691C6F-1946-4FEF-A406-A01386DD2531}"/>
    <cellStyle name="Normal 2 22 16" xfId="8218" xr:uid="{4D0412DD-4251-4AAA-BA26-15E32E37CB26}"/>
    <cellStyle name="Normal 2 22 17" xfId="8219" xr:uid="{1616F776-E1B1-4D05-8037-7F29EF7E57BF}"/>
    <cellStyle name="Normal 2 22 18" xfId="8220" xr:uid="{028B4399-055C-40F9-9DD1-5553F6B905FC}"/>
    <cellStyle name="Normal 2 22 19" xfId="8221" xr:uid="{FF357D97-5977-4D38-97EE-7B074F9632E5}"/>
    <cellStyle name="Normal 2 22 2" xfId="8222" xr:uid="{FED378C7-19D2-441A-A07C-916AB9B39059}"/>
    <cellStyle name="Normal 2 22 2 10" xfId="8223" xr:uid="{5126E477-E3D9-4C79-AD42-FDB165B032D0}"/>
    <cellStyle name="Normal 2 22 2 11" xfId="8224" xr:uid="{69AD3D0A-7F20-4461-A6A7-A820C7890234}"/>
    <cellStyle name="Normal 2 22 2 12" xfId="8225" xr:uid="{A755FE31-A0F1-4068-A764-1204BF56E187}"/>
    <cellStyle name="Normal 2 22 2 13" xfId="8226" xr:uid="{D1007584-64A9-4B94-A8A7-8CDBF3993287}"/>
    <cellStyle name="Normal 2 22 2 14" xfId="8227" xr:uid="{E51DD48B-5E3B-47D6-8365-76B6D69A64D0}"/>
    <cellStyle name="Normal 2 22 2 15" xfId="8228" xr:uid="{0B8177CE-34A1-48A7-8DB5-B25CD93AF3DC}"/>
    <cellStyle name="Normal 2 22 2 16" xfId="8229" xr:uid="{7B9CDB12-EB0E-4D6D-8521-FC1A3509764D}"/>
    <cellStyle name="Normal 2 22 2 17" xfId="8230" xr:uid="{E519F6FB-F0CE-44F8-A169-703BD13FD4AC}"/>
    <cellStyle name="Normal 2 22 2 18" xfId="8231" xr:uid="{EAE5C00B-2565-4B5A-BC12-42D050ABB9EB}"/>
    <cellStyle name="Normal 2 22 2 19" xfId="8232" xr:uid="{9B88D23E-36B3-47E0-A862-BD28893948FD}"/>
    <cellStyle name="Normal 2 22 2 2" xfId="8233" xr:uid="{6297A2AE-62F9-45EC-9D3A-C65A70D6DF8F}"/>
    <cellStyle name="Normal 2 22 2 2 10" xfId="8234" xr:uid="{115271B1-1389-41DA-9BE8-82B2695AD6BE}"/>
    <cellStyle name="Normal 2 22 2 2 11" xfId="8235" xr:uid="{CFD1D576-3658-4A94-8CED-761F43CB10C1}"/>
    <cellStyle name="Normal 2 22 2 2 12" xfId="8236" xr:uid="{AEF5F3E6-C8CC-4A9D-8AF0-58F71008EBB4}"/>
    <cellStyle name="Normal 2 22 2 2 13" xfId="8237" xr:uid="{9B1CBB05-B34D-4127-BDD3-2F927E96B7FC}"/>
    <cellStyle name="Normal 2 22 2 2 14" xfId="8238" xr:uid="{B888ADA4-623D-4038-AD6D-35C5D63702C3}"/>
    <cellStyle name="Normal 2 22 2 2 15" xfId="8239" xr:uid="{505BA798-67E5-44A1-8CE8-840E9043C714}"/>
    <cellStyle name="Normal 2 22 2 2 16" xfId="8240" xr:uid="{DB421523-7403-4B7E-A07C-F4F54A560DDD}"/>
    <cellStyle name="Normal 2 22 2 2 17" xfId="8241" xr:uid="{A0F34C35-02AC-4DD1-84D9-9DACE8376544}"/>
    <cellStyle name="Normal 2 22 2 2 18" xfId="8242" xr:uid="{F71336A5-423F-4F06-AE6B-2E838279EC14}"/>
    <cellStyle name="Normal 2 22 2 2 19" xfId="8243" xr:uid="{8B46B9A6-2EC1-4AF9-839D-D0A2B33E9D31}"/>
    <cellStyle name="Normal 2 22 2 2 2" xfId="8244" xr:uid="{6138A13E-ABFD-4833-8B7F-ADC7DF4C0305}"/>
    <cellStyle name="Normal 2 22 2 2 2 10" xfId="8245" xr:uid="{F7657B77-C31C-4F95-8296-0E9771D454F8}"/>
    <cellStyle name="Normal 2 22 2 2 2 11" xfId="8246" xr:uid="{3E84A45D-7C16-4504-A9CA-E188DBF09F30}"/>
    <cellStyle name="Normal 2 22 2 2 2 12" xfId="8247" xr:uid="{39445D8B-3697-4B89-AC15-475027D35BBA}"/>
    <cellStyle name="Normal 2 22 2 2 2 13" xfId="8248" xr:uid="{1BF881FE-E3D1-4B1C-8B4B-A9D1C469641D}"/>
    <cellStyle name="Normal 2 22 2 2 2 14" xfId="8249" xr:uid="{17E71E60-6BFF-45C8-8AAB-52F71558DBAE}"/>
    <cellStyle name="Normal 2 22 2 2 2 15" xfId="8250" xr:uid="{0D21C8F0-D8E8-4469-B02B-0D67710D869E}"/>
    <cellStyle name="Normal 2 22 2 2 2 16" xfId="8251" xr:uid="{ACC04CBC-6EF0-4272-9297-6A8C94AC5AA0}"/>
    <cellStyle name="Normal 2 22 2 2 2 17" xfId="8252" xr:uid="{7F8E7C42-2BBF-410D-AF9E-324F368914E3}"/>
    <cellStyle name="Normal 2 22 2 2 2 18" xfId="8253" xr:uid="{DCA4BB73-A822-4144-A6D3-91920C7B0726}"/>
    <cellStyle name="Normal 2 22 2 2 2 19" xfId="8254" xr:uid="{32EA31E7-BBB5-4366-BC5F-4847061C53F8}"/>
    <cellStyle name="Normal 2 22 2 2 2 2" xfId="8255" xr:uid="{F49D1736-185D-4EF2-A06C-0169FDB4C21A}"/>
    <cellStyle name="Normal 2 22 2 2 2 20" xfId="8256" xr:uid="{5FEE7285-B6A9-427B-9A42-AAF38B731365}"/>
    <cellStyle name="Normal 2 22 2 2 2 21" xfId="8257" xr:uid="{43E5991D-9E00-42F3-97E3-8A3E6254AB66}"/>
    <cellStyle name="Normal 2 22 2 2 2 22" xfId="8258" xr:uid="{07D89FDA-8E78-4825-A30C-F9BC138A6CA8}"/>
    <cellStyle name="Normal 2 22 2 2 2 23" xfId="8259" xr:uid="{0B92B760-CB2B-4D82-81FA-382D16C5D182}"/>
    <cellStyle name="Normal 2 22 2 2 2 24" xfId="8260" xr:uid="{B1B75349-C36F-4B18-B5B2-752863811E38}"/>
    <cellStyle name="Normal 2 22 2 2 2 25" xfId="8261" xr:uid="{1EC4BD47-9ECF-46D2-BA84-33649F4F7AF3}"/>
    <cellStyle name="Normal 2 22 2 2 2 26" xfId="8262" xr:uid="{B64914F5-F1B4-45D8-BAB5-8BF49581B0A9}"/>
    <cellStyle name="Normal 2 22 2 2 2 27" xfId="8263" xr:uid="{CAB39FD3-2068-4A32-8626-CE30F947322C}"/>
    <cellStyle name="Normal 2 22 2 2 2 28" xfId="8264" xr:uid="{580947A6-370D-4555-A29B-019431E84B38}"/>
    <cellStyle name="Normal 2 22 2 2 2 29" xfId="8265" xr:uid="{CAD701C9-C482-4ACF-8078-47D39766ECAF}"/>
    <cellStyle name="Normal 2 22 2 2 2 3" xfId="8266" xr:uid="{5CA3FB08-8309-47A5-BBB3-249A23459145}"/>
    <cellStyle name="Normal 2 22 2 2 2 30" xfId="8267" xr:uid="{470E6619-BAF7-4101-BFC5-E707193EC9BA}"/>
    <cellStyle name="Normal 2 22 2 2 2 31" xfId="8268" xr:uid="{6EFE65B5-B161-4DA2-94D1-1653979C9269}"/>
    <cellStyle name="Normal 2 22 2 2 2 32" xfId="8269" xr:uid="{970BABC8-CB76-4216-B386-070466B8A242}"/>
    <cellStyle name="Normal 2 22 2 2 2 33" xfId="8270" xr:uid="{AC1DD80B-61C9-41E8-8ABD-EBF2488FA757}"/>
    <cellStyle name="Normal 2 22 2 2 2 34" xfId="8271" xr:uid="{0161721F-4370-4A35-AA1F-787F4D027C49}"/>
    <cellStyle name="Normal 2 22 2 2 2 35" xfId="8272" xr:uid="{B16B4AF7-50DE-434E-AF22-453813D18E42}"/>
    <cellStyle name="Normal 2 22 2 2 2 36" xfId="8273" xr:uid="{9A1BC57C-0313-4B63-A930-5F14CD636F28}"/>
    <cellStyle name="Normal 2 22 2 2 2 37" xfId="8274" xr:uid="{669F58B3-5DC7-4FD7-9A41-816248126B96}"/>
    <cellStyle name="Normal 2 22 2 2 2 38" xfId="8275" xr:uid="{13C7F983-B537-4075-80A0-69E53ED7F769}"/>
    <cellStyle name="Normal 2 22 2 2 2 4" xfId="8276" xr:uid="{6B3C2661-DBA5-4896-8652-C292FC10A169}"/>
    <cellStyle name="Normal 2 22 2 2 2 5" xfId="8277" xr:uid="{0CC1A444-7100-4515-BB42-195ABC655374}"/>
    <cellStyle name="Normal 2 22 2 2 2 6" xfId="8278" xr:uid="{9BFF9680-AFB1-4B82-A1BD-25CC913D2AB1}"/>
    <cellStyle name="Normal 2 22 2 2 2 7" xfId="8279" xr:uid="{B85A4C8B-17F5-43C5-9ED3-D35CF8EEEF9E}"/>
    <cellStyle name="Normal 2 22 2 2 2 8" xfId="8280" xr:uid="{05275C7E-FB11-45C5-AE5F-F9263CF00079}"/>
    <cellStyle name="Normal 2 22 2 2 2 9" xfId="8281" xr:uid="{8AF72362-BA6F-4984-BF46-4C4B75665091}"/>
    <cellStyle name="Normal 2 22 2 2 20" xfId="8282" xr:uid="{22F234FE-2902-42A9-82EE-F8988499DB67}"/>
    <cellStyle name="Normal 2 22 2 2 21" xfId="8283" xr:uid="{7D5D2903-3A34-40FC-ACCC-C8671BF9B2C2}"/>
    <cellStyle name="Normal 2 22 2 2 22" xfId="8284" xr:uid="{34830F5F-5391-421C-852F-EEBF70DEF97D}"/>
    <cellStyle name="Normal 2 22 2 2 23" xfId="8285" xr:uid="{D9122F83-2B60-4683-B4C9-D3F36B8087E4}"/>
    <cellStyle name="Normal 2 22 2 2 24" xfId="8286" xr:uid="{DD1E7637-D72F-4ADE-9BE0-A14439BB077B}"/>
    <cellStyle name="Normal 2 22 2 2 25" xfId="8287" xr:uid="{66523315-995E-4AB9-AEF8-CBD45C63D807}"/>
    <cellStyle name="Normal 2 22 2 2 26" xfId="8288" xr:uid="{BECC4F42-6DA6-4774-8D67-5BC020D74035}"/>
    <cellStyle name="Normal 2 22 2 2 27" xfId="8289" xr:uid="{2F77CA05-E861-4EF1-B385-B1091F3CF313}"/>
    <cellStyle name="Normal 2 22 2 2 28" xfId="8290" xr:uid="{55285C40-23E3-4E7D-B459-40AE1439EDBE}"/>
    <cellStyle name="Normal 2 22 2 2 29" xfId="8291" xr:uid="{010DA569-39B4-4833-ABAF-42512E6C5F81}"/>
    <cellStyle name="Normal 2 22 2 2 3" xfId="8292" xr:uid="{28857551-3095-401B-9D5B-2AF2C596A984}"/>
    <cellStyle name="Normal 2 22 2 2 30" xfId="8293" xr:uid="{DBE8DE34-F701-463C-8ED0-2500E6460884}"/>
    <cellStyle name="Normal 2 22 2 2 31" xfId="8294" xr:uid="{0345EA69-32D2-4FFC-821F-3EB041551307}"/>
    <cellStyle name="Normal 2 22 2 2 32" xfId="8295" xr:uid="{CD98F766-64BC-4801-A121-C4A29648F035}"/>
    <cellStyle name="Normal 2 22 2 2 33" xfId="8296" xr:uid="{B26CF126-44E3-42A8-A760-2AA24EEA93BE}"/>
    <cellStyle name="Normal 2 22 2 2 34" xfId="8297" xr:uid="{2EA13082-FB43-4B80-BB81-E76D76E819C2}"/>
    <cellStyle name="Normal 2 22 2 2 35" xfId="8298" xr:uid="{A5C63C3F-D7CC-45AD-8DBC-B2381B942FC9}"/>
    <cellStyle name="Normal 2 22 2 2 36" xfId="8299" xr:uid="{6C14AEBB-056D-4264-9BC9-DC020D253359}"/>
    <cellStyle name="Normal 2 22 2 2 37" xfId="8300" xr:uid="{BE8D6FEE-C5FB-4EC2-A008-99D936F0A58F}"/>
    <cellStyle name="Normal 2 22 2 2 38" xfId="8301" xr:uid="{944DD691-4318-46FC-9BD2-0E5303DA0FBE}"/>
    <cellStyle name="Normal 2 22 2 2 4" xfId="8302" xr:uid="{8BEC6977-488B-4BCF-90FC-E2E9CA7A1D1B}"/>
    <cellStyle name="Normal 2 22 2 2 5" xfId="8303" xr:uid="{E4350902-AD16-480F-A383-018F27ED8FB0}"/>
    <cellStyle name="Normal 2 22 2 2 6" xfId="8304" xr:uid="{385981B3-B745-4DA3-92C9-7DF29B619067}"/>
    <cellStyle name="Normal 2 22 2 2 7" xfId="8305" xr:uid="{1ED7A9E5-D532-41B5-8F6F-3DC8A4B7F8F0}"/>
    <cellStyle name="Normal 2 22 2 2 8" xfId="8306" xr:uid="{38BEE45C-6CC5-415F-86C1-B56721EE2F60}"/>
    <cellStyle name="Normal 2 22 2 2 9" xfId="8307" xr:uid="{AA63A06E-A66E-4747-813F-D8CC037F4DD1}"/>
    <cellStyle name="Normal 2 22 2 20" xfId="8308" xr:uid="{84609BF2-BFBA-4904-8211-FDACCE3F34E3}"/>
    <cellStyle name="Normal 2 22 2 21" xfId="8309" xr:uid="{F32708D6-7A7F-472E-A130-F8151AEA3AB5}"/>
    <cellStyle name="Normal 2 22 2 22" xfId="8310" xr:uid="{713A4CAB-0056-4631-86B7-D7A2B3362215}"/>
    <cellStyle name="Normal 2 22 2 23" xfId="8311" xr:uid="{D9619017-9C0E-4277-A38A-23B2B7B99D35}"/>
    <cellStyle name="Normal 2 22 2 24" xfId="8312" xr:uid="{5BA86111-BEAD-4AC7-9363-06F82A23A6DC}"/>
    <cellStyle name="Normal 2 22 2 25" xfId="8313" xr:uid="{A2591167-AB14-46CC-8C10-04C5A7F0B0D6}"/>
    <cellStyle name="Normal 2 22 2 26" xfId="8314" xr:uid="{33407105-3EBB-415B-97FD-4FF4F94DFB0E}"/>
    <cellStyle name="Normal 2 22 2 27" xfId="8315" xr:uid="{C2D7EE22-E03A-4B3C-A3C0-F93230B7C3A9}"/>
    <cellStyle name="Normal 2 22 2 28" xfId="8316" xr:uid="{A41B3CB3-CB82-4AB7-9069-5C6DA7DFEBA8}"/>
    <cellStyle name="Normal 2 22 2 29" xfId="8317" xr:uid="{707298A2-708E-4F4C-AFCD-D23FEECFD578}"/>
    <cellStyle name="Normal 2 22 2 3" xfId="8318" xr:uid="{5746CBE7-738B-4AF3-81D7-79DCA34A8584}"/>
    <cellStyle name="Normal 2 22 2 30" xfId="8319" xr:uid="{CBBE5564-5A1F-4443-AF72-6D8946D10F67}"/>
    <cellStyle name="Normal 2 22 2 31" xfId="8320" xr:uid="{8E05CF27-F57E-4A3F-94D4-6FC828A7400E}"/>
    <cellStyle name="Normal 2 22 2 32" xfId="8321" xr:uid="{1A736F1A-45CD-4AC9-97C4-9FE0F169B545}"/>
    <cellStyle name="Normal 2 22 2 33" xfId="8322" xr:uid="{80B28F47-C4E3-4C18-9082-9AD9C4B56F11}"/>
    <cellStyle name="Normal 2 22 2 34" xfId="8323" xr:uid="{DE6E127E-5444-4A2D-BFB5-7FE96B77C5B9}"/>
    <cellStyle name="Normal 2 22 2 35" xfId="8324" xr:uid="{1D0336D3-8935-4840-BF58-E0D40B36F013}"/>
    <cellStyle name="Normal 2 22 2 36" xfId="8325" xr:uid="{9C3B10F9-29AB-4F83-82E4-01AAC2DFBE06}"/>
    <cellStyle name="Normal 2 22 2 37" xfId="8326" xr:uid="{58C0BD55-AE03-424A-8108-2260374BE7CC}"/>
    <cellStyle name="Normal 2 22 2 38" xfId="8327" xr:uid="{2C5F69EA-D435-4A12-913A-4AA3A5DA73A7}"/>
    <cellStyle name="Normal 2 22 2 39" xfId="8328" xr:uid="{C0858B35-C0F7-4459-98D4-FCF9283062B6}"/>
    <cellStyle name="Normal 2 22 2 4" xfId="8329" xr:uid="{3466CFEC-31C9-403F-8025-8C123AE13EE0}"/>
    <cellStyle name="Normal 2 22 2 40" xfId="8330" xr:uid="{E91450A0-23A0-451F-9CF2-4B3C4BA5B336}"/>
    <cellStyle name="Normal 2 22 2 5" xfId="8331" xr:uid="{B4924749-A62E-4B46-A5D0-58695AF8C6FE}"/>
    <cellStyle name="Normal 2 22 2 6" xfId="8332" xr:uid="{80CAAEC1-C051-4E6D-A4DF-8C26AB41BA8A}"/>
    <cellStyle name="Normal 2 22 2 7" xfId="8333" xr:uid="{38650181-DECC-472B-9554-33FC7956F3C6}"/>
    <cellStyle name="Normal 2 22 2 8" xfId="8334" xr:uid="{7D320D11-02FD-488C-8AF5-6AB4B54C6A0A}"/>
    <cellStyle name="Normal 2 22 2 9" xfId="8335" xr:uid="{DF30C7D6-EB66-4E52-8BFC-22BFC613645D}"/>
    <cellStyle name="Normal 2 22 20" xfId="8336" xr:uid="{BE0D0E2F-D033-4B28-B3D6-6266BF09E9F3}"/>
    <cellStyle name="Normal 2 22 21" xfId="8337" xr:uid="{17EACEEE-B95F-4036-8102-CC495E65CD84}"/>
    <cellStyle name="Normal 2 22 22" xfId="8338" xr:uid="{EFCA079A-24FD-4DCF-ADFD-324A463ACB27}"/>
    <cellStyle name="Normal 2 22 23" xfId="8339" xr:uid="{C94FDB6A-EF7D-4F74-A69B-3B89997E1A44}"/>
    <cellStyle name="Normal 2 22 24" xfId="8340" xr:uid="{E0A31EE0-D8F3-42DA-8E6B-C962B27F06F7}"/>
    <cellStyle name="Normal 2 22 25" xfId="8341" xr:uid="{D943EB2F-A6DE-4D2E-82C2-6CCF627A21EC}"/>
    <cellStyle name="Normal 2 22 26" xfId="8342" xr:uid="{84993C44-D351-474D-BD9E-A59E9B1A8932}"/>
    <cellStyle name="Normal 2 22 27" xfId="8343" xr:uid="{BA5AE7D1-B11F-42B3-B373-FDDC10FDA889}"/>
    <cellStyle name="Normal 2 22 28" xfId="8344" xr:uid="{4B080078-229F-4A89-ACE5-04F9857B0788}"/>
    <cellStyle name="Normal 2 22 29" xfId="8345" xr:uid="{7F966906-C30F-4649-BA76-78A62AFF3A41}"/>
    <cellStyle name="Normal 2 22 3" xfId="8346" xr:uid="{8593C017-4783-429F-B992-5B5C95F9DE76}"/>
    <cellStyle name="Normal 2 22 3 10" xfId="8347" xr:uid="{9A0F82D4-2A72-43AE-9652-FACA4CC68D0A}"/>
    <cellStyle name="Normal 2 22 3 11" xfId="8348" xr:uid="{6BB71EB0-BE34-49FB-9D0C-62E0A678BEEB}"/>
    <cellStyle name="Normal 2 22 3 12" xfId="8349" xr:uid="{20E63CFA-24E5-4704-99D5-FE669A2331DE}"/>
    <cellStyle name="Normal 2 22 3 13" xfId="8350" xr:uid="{AD55DB27-AC9B-4D4B-82B0-AFFF69B559FD}"/>
    <cellStyle name="Normal 2 22 3 14" xfId="8351" xr:uid="{C9E6913A-B321-43A7-AEBA-987D134D0BA7}"/>
    <cellStyle name="Normal 2 22 3 15" xfId="8352" xr:uid="{A3AC9C9B-682E-4304-8036-0F4B88ADB560}"/>
    <cellStyle name="Normal 2 22 3 16" xfId="8353" xr:uid="{3E7A04FD-4240-4F90-A576-AC5310399C06}"/>
    <cellStyle name="Normal 2 22 3 17" xfId="8354" xr:uid="{7329EDF1-0E2A-4FAB-9180-C1FCBEDF9DE5}"/>
    <cellStyle name="Normal 2 22 3 18" xfId="8355" xr:uid="{61FE84D0-A6CE-4902-9A7F-5CB3047076FE}"/>
    <cellStyle name="Normal 2 22 3 19" xfId="8356" xr:uid="{353CD808-E768-41C2-90F6-10A98736E543}"/>
    <cellStyle name="Normal 2 22 3 2" xfId="8357" xr:uid="{D47120FE-8583-4540-B6F1-11700F73280E}"/>
    <cellStyle name="Normal 2 22 3 2 10" xfId="8358" xr:uid="{599008D4-878E-4EC6-8110-75C4A801E260}"/>
    <cellStyle name="Normal 2 22 3 2 11" xfId="8359" xr:uid="{07303EE2-D785-40BE-A081-FCC68B01E75F}"/>
    <cellStyle name="Normal 2 22 3 2 12" xfId="8360" xr:uid="{B2C1E143-0839-4CCC-BD00-22659D94AD60}"/>
    <cellStyle name="Normal 2 22 3 2 13" xfId="8361" xr:uid="{A7ABABAA-8E17-4542-8BE2-FD4DB4B7AA8E}"/>
    <cellStyle name="Normal 2 22 3 2 14" xfId="8362" xr:uid="{C072319D-8A01-4255-BB8B-9FF2D60F108A}"/>
    <cellStyle name="Normal 2 22 3 2 15" xfId="8363" xr:uid="{09FFE56D-CD60-4996-8157-3768B64FA76A}"/>
    <cellStyle name="Normal 2 22 3 2 16" xfId="8364" xr:uid="{2BF027C8-ACCC-4ADE-8DF2-0FACFE89F825}"/>
    <cellStyle name="Normal 2 22 3 2 17" xfId="8365" xr:uid="{1CAD40E4-1319-48D7-A7A7-D9B078623850}"/>
    <cellStyle name="Normal 2 22 3 2 18" xfId="8366" xr:uid="{03B017EC-5161-43E4-83E0-344A07CA72C0}"/>
    <cellStyle name="Normal 2 22 3 2 19" xfId="8367" xr:uid="{B0B06E32-EC3C-4325-AC83-31E931224A93}"/>
    <cellStyle name="Normal 2 22 3 2 2" xfId="8368" xr:uid="{C16DDDBE-00C2-4C81-A55A-FFCAB5A2B787}"/>
    <cellStyle name="Normal 2 22 3 2 20" xfId="8369" xr:uid="{0A2D73AD-81F5-40EC-AC0F-A9531E902644}"/>
    <cellStyle name="Normal 2 22 3 2 21" xfId="8370" xr:uid="{EACFA4E0-6830-4D55-B391-85F8387F9910}"/>
    <cellStyle name="Normal 2 22 3 2 22" xfId="8371" xr:uid="{A14C2E81-576F-4819-A5AA-72D4371C5389}"/>
    <cellStyle name="Normal 2 22 3 2 23" xfId="8372" xr:uid="{7DC35BD5-A74F-44D6-B010-403A4DDFFAAF}"/>
    <cellStyle name="Normal 2 22 3 2 24" xfId="8373" xr:uid="{49946A86-E104-462B-80D9-860A495F7C54}"/>
    <cellStyle name="Normal 2 22 3 2 25" xfId="8374" xr:uid="{631B3A6F-D7CA-425B-BA47-617D8828CB40}"/>
    <cellStyle name="Normal 2 22 3 2 26" xfId="8375" xr:uid="{D43FBE01-FD3B-48E8-831D-E236530C8821}"/>
    <cellStyle name="Normal 2 22 3 2 27" xfId="8376" xr:uid="{DE0C4720-4A1D-4FA0-B697-837BECEA3FF6}"/>
    <cellStyle name="Normal 2 22 3 2 28" xfId="8377" xr:uid="{1A5A2F0F-D080-419C-9787-A0ABF66462E0}"/>
    <cellStyle name="Normal 2 22 3 2 29" xfId="8378" xr:uid="{459F4A02-E374-4A66-9AFF-90EA9774C242}"/>
    <cellStyle name="Normal 2 22 3 2 3" xfId="8379" xr:uid="{329B7E39-07C9-4EC5-9D78-189EEE57C743}"/>
    <cellStyle name="Normal 2 22 3 2 30" xfId="8380" xr:uid="{004B7AF6-4A24-469B-80EA-D0A353F7E97E}"/>
    <cellStyle name="Normal 2 22 3 2 31" xfId="8381" xr:uid="{5CA27D5C-7D7E-4469-8EE4-DD61FB30DD52}"/>
    <cellStyle name="Normal 2 22 3 2 32" xfId="8382" xr:uid="{35D77B64-1E08-40BF-8B54-0B41C622FE7C}"/>
    <cellStyle name="Normal 2 22 3 2 33" xfId="8383" xr:uid="{5D003167-6028-47FC-B8E2-B56598F9C340}"/>
    <cellStyle name="Normal 2 22 3 2 34" xfId="8384" xr:uid="{FE31C70F-8B7D-48B9-B0D2-B314615C357A}"/>
    <cellStyle name="Normal 2 22 3 2 35" xfId="8385" xr:uid="{75C1691F-4A5E-4031-A7F5-6D8886681860}"/>
    <cellStyle name="Normal 2 22 3 2 36" xfId="8386" xr:uid="{BDC671F8-EDB4-429D-945F-01AEE1FB5B0F}"/>
    <cellStyle name="Normal 2 22 3 2 37" xfId="8387" xr:uid="{A247F327-85A4-4729-820D-B2AC83EE6B43}"/>
    <cellStyle name="Normal 2 22 3 2 38" xfId="8388" xr:uid="{FCF96684-413D-4FEA-839C-AD3D174265A4}"/>
    <cellStyle name="Normal 2 22 3 2 4" xfId="8389" xr:uid="{2A452519-77BF-475F-A45F-05636D407916}"/>
    <cellStyle name="Normal 2 22 3 2 5" xfId="8390" xr:uid="{BB333893-69FD-4146-B529-2783BF06BC5D}"/>
    <cellStyle name="Normal 2 22 3 2 6" xfId="8391" xr:uid="{31855B3A-EF46-4038-B2D7-A4476E620609}"/>
    <cellStyle name="Normal 2 22 3 2 7" xfId="8392" xr:uid="{7D076DE6-D277-4326-B07A-427BF6AC98EB}"/>
    <cellStyle name="Normal 2 22 3 2 8" xfId="8393" xr:uid="{E6D8DC98-0A2E-4A7C-8855-64ECBA2662DC}"/>
    <cellStyle name="Normal 2 22 3 2 9" xfId="8394" xr:uid="{73C29FDE-2AF5-45B2-8164-198134254820}"/>
    <cellStyle name="Normal 2 22 3 20" xfId="8395" xr:uid="{6849CFEA-D08E-4144-A1A7-C4B1E4EAB85E}"/>
    <cellStyle name="Normal 2 22 3 21" xfId="8396" xr:uid="{DDC06E36-4DFC-4455-89A1-DD4E7D379B44}"/>
    <cellStyle name="Normal 2 22 3 22" xfId="8397" xr:uid="{51021755-191E-4042-BD2A-240A67DDA13E}"/>
    <cellStyle name="Normal 2 22 3 23" xfId="8398" xr:uid="{154D5E49-AD26-4011-856C-48FB1497A852}"/>
    <cellStyle name="Normal 2 22 3 24" xfId="8399" xr:uid="{DCBFEA25-9D06-4727-9970-07B8B8C8F59D}"/>
    <cellStyle name="Normal 2 22 3 25" xfId="8400" xr:uid="{3F5DD45D-F580-4F6B-801F-74B05BD9DB04}"/>
    <cellStyle name="Normal 2 22 3 26" xfId="8401" xr:uid="{E5EEBDBA-802A-431C-81E9-202F198CD6A1}"/>
    <cellStyle name="Normal 2 22 3 27" xfId="8402" xr:uid="{E381EB04-3593-4AE0-9AF1-43C3BDCFECA6}"/>
    <cellStyle name="Normal 2 22 3 28" xfId="8403" xr:uid="{230AB0DA-A92A-43F2-A4BA-7349F5649EB5}"/>
    <cellStyle name="Normal 2 22 3 29" xfId="8404" xr:uid="{F760BA04-2D24-4723-8A06-EF8FEA4E7C06}"/>
    <cellStyle name="Normal 2 22 3 3" xfId="8405" xr:uid="{65EE71F5-9E78-4293-B5B6-151BDDED89F1}"/>
    <cellStyle name="Normal 2 22 3 30" xfId="8406" xr:uid="{2CDCD674-5BF4-4DAE-9D1F-C1EF779B1E8A}"/>
    <cellStyle name="Normal 2 22 3 31" xfId="8407" xr:uid="{E281A2EA-D21F-4396-B0E0-0E1D9CC7C593}"/>
    <cellStyle name="Normal 2 22 3 32" xfId="8408" xr:uid="{0F0E2919-0D63-4126-AAF2-AC50FE0089F7}"/>
    <cellStyle name="Normal 2 22 3 33" xfId="8409" xr:uid="{23177B30-3C4A-4451-A9B9-F1FC4FFFE5A4}"/>
    <cellStyle name="Normal 2 22 3 34" xfId="8410" xr:uid="{1481C87F-3B6A-46CE-BE15-075FA72F9A5B}"/>
    <cellStyle name="Normal 2 22 3 35" xfId="8411" xr:uid="{27E184AA-6D9D-4A70-8131-858EE1734288}"/>
    <cellStyle name="Normal 2 22 3 36" xfId="8412" xr:uid="{A319D88F-56E6-47B8-8274-AF7A7DB31E4E}"/>
    <cellStyle name="Normal 2 22 3 37" xfId="8413" xr:uid="{C61E550F-A0B5-444F-86AE-EF6961499372}"/>
    <cellStyle name="Normal 2 22 3 38" xfId="8414" xr:uid="{39ECF0A5-9B43-470C-8550-A44F5CAC75F6}"/>
    <cellStyle name="Normal 2 22 3 4" xfId="8415" xr:uid="{C12DAE12-C72C-429A-BDD8-1F3AD3CBDD68}"/>
    <cellStyle name="Normal 2 22 3 5" xfId="8416" xr:uid="{4F0B0360-A646-4923-BC41-AACE03F3BE09}"/>
    <cellStyle name="Normal 2 22 3 6" xfId="8417" xr:uid="{37B278F5-4039-46ED-AE1B-3AEC2AE703F8}"/>
    <cellStyle name="Normal 2 22 3 7" xfId="8418" xr:uid="{75F6C4F5-6702-4662-B8BE-A0DDB55E7015}"/>
    <cellStyle name="Normal 2 22 3 8" xfId="8419" xr:uid="{E8419ECD-981B-47A8-884C-05CCC740B256}"/>
    <cellStyle name="Normal 2 22 3 9" xfId="8420" xr:uid="{283D0D8C-1EBC-442C-BC2F-B908C446CA30}"/>
    <cellStyle name="Normal 2 22 30" xfId="8421" xr:uid="{A986C33C-06C8-4493-BAF5-65AFA4F92D7B}"/>
    <cellStyle name="Normal 2 22 31" xfId="8422" xr:uid="{56DE36A9-4E16-45F3-9A39-7DC22AFF8D76}"/>
    <cellStyle name="Normal 2 22 32" xfId="8423" xr:uid="{FCCF979D-7CF1-422F-928C-6BECDAD99BD7}"/>
    <cellStyle name="Normal 2 22 33" xfId="8424" xr:uid="{41819225-62A0-4B82-9B5D-B7BC90453460}"/>
    <cellStyle name="Normal 2 22 34" xfId="8425" xr:uid="{3A50BC7B-A3A4-4670-B160-86EFDF422E7B}"/>
    <cellStyle name="Normal 2 22 35" xfId="8426" xr:uid="{7CC83560-448B-4A01-951C-A93227BFA871}"/>
    <cellStyle name="Normal 2 22 36" xfId="8427" xr:uid="{E7F180CF-8F59-46D8-A94F-C50CED61FF8F}"/>
    <cellStyle name="Normal 2 22 37" xfId="8428" xr:uid="{0A76E675-B367-45F7-98B9-9CFC3876B59E}"/>
    <cellStyle name="Normal 2 22 38" xfId="8429" xr:uid="{1990CA6D-2F99-4A68-BF3C-69C9A9E299D9}"/>
    <cellStyle name="Normal 2 22 39" xfId="8430" xr:uid="{7C50BF69-F34B-4D3E-A17D-B4B8B70CCABA}"/>
    <cellStyle name="Normal 2 22 4" xfId="8431" xr:uid="{03550715-A5D0-4CFF-995F-4B4393D6681C}"/>
    <cellStyle name="Normal 2 22 40" xfId="8432" xr:uid="{D6E3A003-8D8C-43F7-A257-5381D5C214C9}"/>
    <cellStyle name="Normal 2 22 5" xfId="8433" xr:uid="{5A1DA5D1-675C-4CB1-A16D-D7A1649D8D72}"/>
    <cellStyle name="Normal 2 22 6" xfId="8434" xr:uid="{2C38BB8D-C5A6-429D-8329-8A580C19ED85}"/>
    <cellStyle name="Normal 2 22 7" xfId="8435" xr:uid="{F13BDE1D-78E9-4E6F-8452-824AD41256FC}"/>
    <cellStyle name="Normal 2 22 8" xfId="8436" xr:uid="{A1BCFE0F-F53D-4E80-A9AA-E3A18963C001}"/>
    <cellStyle name="Normal 2 22 9" xfId="8437" xr:uid="{2267AE41-4BFE-4C9F-9C46-D5087AC4BE5E}"/>
    <cellStyle name="Normal 2 23" xfId="8438" xr:uid="{170BDF87-E02E-452C-BF71-61A4E6E2CF58}"/>
    <cellStyle name="Normal 2 23 10" xfId="8439" xr:uid="{E94983AD-BDE9-4A7F-9C80-35880CBA0A79}"/>
    <cellStyle name="Normal 2 23 11" xfId="8440" xr:uid="{26E551C2-75E5-48C9-B7B2-DCA6E23FBBF0}"/>
    <cellStyle name="Normal 2 23 12" xfId="8441" xr:uid="{890A9019-3474-4174-A5B7-2EE5A1141DF0}"/>
    <cellStyle name="Normal 2 23 13" xfId="8442" xr:uid="{12ED1522-6CEE-47E9-ADF4-5686B5081877}"/>
    <cellStyle name="Normal 2 23 14" xfId="8443" xr:uid="{D951F8AF-57DA-40A1-8110-8C04470C9D56}"/>
    <cellStyle name="Normal 2 23 15" xfId="8444" xr:uid="{21F87196-5D81-497E-BD55-4A5E4DF35EA8}"/>
    <cellStyle name="Normal 2 23 16" xfId="8445" xr:uid="{A37AD5A7-970A-46B4-BA50-5F9ECB422E5F}"/>
    <cellStyle name="Normal 2 23 17" xfId="8446" xr:uid="{EE8D8C29-A9CD-4D07-A0C3-9F5D75BEB051}"/>
    <cellStyle name="Normal 2 23 18" xfId="8447" xr:uid="{35ED4C6F-E972-4BEE-B812-D631D523A36E}"/>
    <cellStyle name="Normal 2 23 19" xfId="8448" xr:uid="{714C4D97-5CE3-4784-9A33-B6055472A291}"/>
    <cellStyle name="Normal 2 23 2" xfId="8449" xr:uid="{B1046D4B-EC86-488C-BDE8-F536DD5ADAC2}"/>
    <cellStyle name="Normal 2 23 2 10" xfId="8450" xr:uid="{0940C626-F31D-42DE-9BCE-C20C8AC5279E}"/>
    <cellStyle name="Normal 2 23 2 11" xfId="8451" xr:uid="{05E9E64F-0FBE-460E-A848-DDED5BD98A1D}"/>
    <cellStyle name="Normal 2 23 2 12" xfId="8452" xr:uid="{F4636033-2C32-4ADA-84F5-8B4605614040}"/>
    <cellStyle name="Normal 2 23 2 13" xfId="8453" xr:uid="{D61F12FB-6B8E-45FD-834A-2C1AFBAA6AA9}"/>
    <cellStyle name="Normal 2 23 2 14" xfId="8454" xr:uid="{DF9A289B-1B22-4752-9797-D1F1075D08AD}"/>
    <cellStyle name="Normal 2 23 2 15" xfId="8455" xr:uid="{856A9E53-A3E7-45A9-8319-5EBAE94969D9}"/>
    <cellStyle name="Normal 2 23 2 16" xfId="8456" xr:uid="{D4ADAA54-E38F-4745-BBCF-637CF0E4D87C}"/>
    <cellStyle name="Normal 2 23 2 17" xfId="8457" xr:uid="{BA95ADD8-F8F3-4CD1-95D7-A211DE26E8BA}"/>
    <cellStyle name="Normal 2 23 2 18" xfId="8458" xr:uid="{E3AD014D-D24A-413F-B54B-81A80051A62B}"/>
    <cellStyle name="Normal 2 23 2 19" xfId="8459" xr:uid="{AD6D700B-1350-4588-9700-5E58A15C0549}"/>
    <cellStyle name="Normal 2 23 2 2" xfId="8460" xr:uid="{DCD0ECD6-7602-4AFE-86F9-F173899A32F7}"/>
    <cellStyle name="Normal 2 23 2 2 10" xfId="8461" xr:uid="{3712336E-C457-46E6-8057-F1B81B69492C}"/>
    <cellStyle name="Normal 2 23 2 2 11" xfId="8462" xr:uid="{02355705-C414-4A38-94CB-9141E54EE42D}"/>
    <cellStyle name="Normal 2 23 2 2 12" xfId="8463" xr:uid="{9B62D939-B2B9-495C-BD48-FEC8B459B32C}"/>
    <cellStyle name="Normal 2 23 2 2 13" xfId="8464" xr:uid="{28608BE2-C61B-49E0-8776-27E2979C3D9A}"/>
    <cellStyle name="Normal 2 23 2 2 14" xfId="8465" xr:uid="{A363AB60-7602-4D56-8E20-BB557B914312}"/>
    <cellStyle name="Normal 2 23 2 2 15" xfId="8466" xr:uid="{7A2E8187-2AC4-4533-B748-33301F718A22}"/>
    <cellStyle name="Normal 2 23 2 2 16" xfId="8467" xr:uid="{93F4A4B5-3485-408C-9AD4-968A0F56F397}"/>
    <cellStyle name="Normal 2 23 2 2 17" xfId="8468" xr:uid="{1DA5D70B-8B1F-46F4-B724-09D4C7C1E935}"/>
    <cellStyle name="Normal 2 23 2 2 18" xfId="8469" xr:uid="{CCAE5582-080E-4D69-B95A-67E8D01A2158}"/>
    <cellStyle name="Normal 2 23 2 2 19" xfId="8470" xr:uid="{D3DB3937-EC87-4D0E-AD21-BB199BAD1B37}"/>
    <cellStyle name="Normal 2 23 2 2 2" xfId="8471" xr:uid="{9D1BF824-C0A2-4FDD-B0A9-D5C878B7B5CA}"/>
    <cellStyle name="Normal 2 23 2 2 2 10" xfId="8472" xr:uid="{5D8164E0-9334-4C2C-B21F-9960BFCF4DC8}"/>
    <cellStyle name="Normal 2 23 2 2 2 11" xfId="8473" xr:uid="{6BC0F9E3-25B3-46AE-9006-E0EFF3CA45EE}"/>
    <cellStyle name="Normal 2 23 2 2 2 12" xfId="8474" xr:uid="{8F8FC791-5E72-4F93-9039-7748527EE61F}"/>
    <cellStyle name="Normal 2 23 2 2 2 13" xfId="8475" xr:uid="{0CE6CD9E-9F19-4437-84E8-A59075A893DA}"/>
    <cellStyle name="Normal 2 23 2 2 2 14" xfId="8476" xr:uid="{D206794C-F7BF-4498-A25B-FE9494CE19EF}"/>
    <cellStyle name="Normal 2 23 2 2 2 15" xfId="8477" xr:uid="{D75E4BEF-4A4E-4B10-8AEA-784B5DF8A584}"/>
    <cellStyle name="Normal 2 23 2 2 2 16" xfId="8478" xr:uid="{A9FDB40C-50CB-4AB3-929B-58A7E5520667}"/>
    <cellStyle name="Normal 2 23 2 2 2 17" xfId="8479" xr:uid="{6614D276-3D8E-4359-9E0D-5AC7E512F729}"/>
    <cellStyle name="Normal 2 23 2 2 2 18" xfId="8480" xr:uid="{FCB50513-198A-4AA4-915F-7CBF320E4CD8}"/>
    <cellStyle name="Normal 2 23 2 2 2 19" xfId="8481" xr:uid="{BAA0B95F-2050-4E8C-823B-67394C29B00E}"/>
    <cellStyle name="Normal 2 23 2 2 2 2" xfId="8482" xr:uid="{1445A577-7852-43B9-8F81-1D00614A3616}"/>
    <cellStyle name="Normal 2 23 2 2 2 20" xfId="8483" xr:uid="{75770FF7-757A-4D3A-ACDD-280873EA58A4}"/>
    <cellStyle name="Normal 2 23 2 2 2 21" xfId="8484" xr:uid="{1931986A-DD76-4DA3-82F8-2951290F26E6}"/>
    <cellStyle name="Normal 2 23 2 2 2 22" xfId="8485" xr:uid="{F6DB4D6C-4F37-46C2-928C-5A078B528CC1}"/>
    <cellStyle name="Normal 2 23 2 2 2 23" xfId="8486" xr:uid="{02FF043A-9562-4EAD-8CB8-0295B5B48220}"/>
    <cellStyle name="Normal 2 23 2 2 2 24" xfId="8487" xr:uid="{083B2C96-49EC-472D-B9DA-D4DAEBCAC2D2}"/>
    <cellStyle name="Normal 2 23 2 2 2 25" xfId="8488" xr:uid="{4360EF5D-D791-4763-A712-BE51E1C8CD39}"/>
    <cellStyle name="Normal 2 23 2 2 2 26" xfId="8489" xr:uid="{F0CF187B-2369-4D30-A60A-BDF8FA571361}"/>
    <cellStyle name="Normal 2 23 2 2 2 27" xfId="8490" xr:uid="{7F0729F7-3E68-424F-8B3E-DB3DFA7790F0}"/>
    <cellStyle name="Normal 2 23 2 2 2 28" xfId="8491" xr:uid="{34F0880D-8CD2-4088-B677-ABD156B0AA26}"/>
    <cellStyle name="Normal 2 23 2 2 2 29" xfId="8492" xr:uid="{3277A12C-4926-4A1E-9D9C-D1CC31CB138E}"/>
    <cellStyle name="Normal 2 23 2 2 2 3" xfId="8493" xr:uid="{B137B9B7-1272-4E51-BD85-AEAA3B950542}"/>
    <cellStyle name="Normal 2 23 2 2 2 30" xfId="8494" xr:uid="{5AB46A51-AFFA-400E-86BF-B31115C0C3F2}"/>
    <cellStyle name="Normal 2 23 2 2 2 31" xfId="8495" xr:uid="{158F3E7B-1B23-4505-A7C1-399FE988DC89}"/>
    <cellStyle name="Normal 2 23 2 2 2 32" xfId="8496" xr:uid="{A5504795-A66C-4DE5-98E7-EE6B59203373}"/>
    <cellStyle name="Normal 2 23 2 2 2 33" xfId="8497" xr:uid="{65C4D6A8-ED84-44FB-A2F4-51AE699C7BBA}"/>
    <cellStyle name="Normal 2 23 2 2 2 34" xfId="8498" xr:uid="{EB64F325-6932-4347-B54A-A1040024FE1B}"/>
    <cellStyle name="Normal 2 23 2 2 2 35" xfId="8499" xr:uid="{E9921CCB-4D54-4988-A23C-2E94379CBFE7}"/>
    <cellStyle name="Normal 2 23 2 2 2 36" xfId="8500" xr:uid="{BFC0B0CA-8E71-4BCA-A306-A1156F578C95}"/>
    <cellStyle name="Normal 2 23 2 2 2 37" xfId="8501" xr:uid="{E9C9A524-41AF-4274-A33D-08B7B4621AC4}"/>
    <cellStyle name="Normal 2 23 2 2 2 38" xfId="8502" xr:uid="{4D1A8CAD-6883-440C-BAA3-8BEAB3F6662A}"/>
    <cellStyle name="Normal 2 23 2 2 2 4" xfId="8503" xr:uid="{CAC458AA-B92C-4F4D-994A-00885031A760}"/>
    <cellStyle name="Normal 2 23 2 2 2 5" xfId="8504" xr:uid="{B1ED979F-324A-4C04-A6CD-EEF5E8C17D08}"/>
    <cellStyle name="Normal 2 23 2 2 2 6" xfId="8505" xr:uid="{AC57E0CA-F4EE-4589-8AFB-0055C41B35F1}"/>
    <cellStyle name="Normal 2 23 2 2 2 7" xfId="8506" xr:uid="{981BA9E0-295B-44AB-B9E3-0BBE6EF38AD2}"/>
    <cellStyle name="Normal 2 23 2 2 2 8" xfId="8507" xr:uid="{C61B0B21-2BA5-4C28-A268-055F069AF83E}"/>
    <cellStyle name="Normal 2 23 2 2 2 9" xfId="8508" xr:uid="{3ADC3915-B2AD-48BB-8DCA-0334E7D2438F}"/>
    <cellStyle name="Normal 2 23 2 2 20" xfId="8509" xr:uid="{2E3A1580-3843-4974-98BF-3D0823235A03}"/>
    <cellStyle name="Normal 2 23 2 2 21" xfId="8510" xr:uid="{A8FAADCB-2882-495D-A0F0-019741CECCAF}"/>
    <cellStyle name="Normal 2 23 2 2 22" xfId="8511" xr:uid="{718153AC-6F22-40E4-959C-3B37FD370324}"/>
    <cellStyle name="Normal 2 23 2 2 23" xfId="8512" xr:uid="{3A500BEB-359A-4673-9CE6-AED5AC4270C2}"/>
    <cellStyle name="Normal 2 23 2 2 24" xfId="8513" xr:uid="{989AB750-5EFE-4828-9E27-923F4F22338D}"/>
    <cellStyle name="Normal 2 23 2 2 25" xfId="8514" xr:uid="{303D8739-A5A1-4D24-AAEA-B95A2352ECA6}"/>
    <cellStyle name="Normal 2 23 2 2 26" xfId="8515" xr:uid="{0542F8A1-C8ED-4083-9526-CAFE35714589}"/>
    <cellStyle name="Normal 2 23 2 2 27" xfId="8516" xr:uid="{B4272BE9-A85D-4E76-A7BF-8B1CAE54A0C4}"/>
    <cellStyle name="Normal 2 23 2 2 28" xfId="8517" xr:uid="{5C7EB0ED-316B-45F0-8BA5-B7AA5FABB7C5}"/>
    <cellStyle name="Normal 2 23 2 2 29" xfId="8518" xr:uid="{200D54E0-B2DA-48D1-9B51-51AECA0AF092}"/>
    <cellStyle name="Normal 2 23 2 2 3" xfId="8519" xr:uid="{1A5BC3EF-3A7F-4A6E-AA92-F1B797E0BF46}"/>
    <cellStyle name="Normal 2 23 2 2 30" xfId="8520" xr:uid="{9AB9E153-4F44-4552-87D3-61CA037382C4}"/>
    <cellStyle name="Normal 2 23 2 2 31" xfId="8521" xr:uid="{0E38A5C2-990B-4FE4-BFD1-07436471AD1F}"/>
    <cellStyle name="Normal 2 23 2 2 32" xfId="8522" xr:uid="{50C9D15C-C80B-482D-8BF6-7897742FA6ED}"/>
    <cellStyle name="Normal 2 23 2 2 33" xfId="8523" xr:uid="{914FF807-F7E3-4A04-8C70-A19CAC1D93B4}"/>
    <cellStyle name="Normal 2 23 2 2 34" xfId="8524" xr:uid="{0D1ECE7B-3384-4FC1-8A6F-A660C282EAD4}"/>
    <cellStyle name="Normal 2 23 2 2 35" xfId="8525" xr:uid="{52FF244B-9FF8-40B7-B934-2030C823FAC4}"/>
    <cellStyle name="Normal 2 23 2 2 36" xfId="8526" xr:uid="{2FB2E690-FBB0-4FC3-8FD9-C38C187624E0}"/>
    <cellStyle name="Normal 2 23 2 2 37" xfId="8527" xr:uid="{E843DB6B-9674-42CD-8E01-F95828BA95AB}"/>
    <cellStyle name="Normal 2 23 2 2 38" xfId="8528" xr:uid="{1586BEF7-5A34-4CEB-A7DC-C8744E2B31CB}"/>
    <cellStyle name="Normal 2 23 2 2 4" xfId="8529" xr:uid="{C2EA7C03-BF32-4BF2-B605-BC65824D7681}"/>
    <cellStyle name="Normal 2 23 2 2 5" xfId="8530" xr:uid="{A0728F93-C398-4467-82BD-1706A522D8A5}"/>
    <cellStyle name="Normal 2 23 2 2 6" xfId="8531" xr:uid="{9A6EAE7C-D777-4839-8553-87A310A0387F}"/>
    <cellStyle name="Normal 2 23 2 2 7" xfId="8532" xr:uid="{55AF014D-1558-4A7A-9954-EE36D9BDFD5F}"/>
    <cellStyle name="Normal 2 23 2 2 8" xfId="8533" xr:uid="{948C9865-5B7E-456C-8B8B-157F58089A1D}"/>
    <cellStyle name="Normal 2 23 2 2 9" xfId="8534" xr:uid="{3DBB5A5E-D154-4D13-B5CB-C65F412D3D17}"/>
    <cellStyle name="Normal 2 23 2 20" xfId="8535" xr:uid="{D11B403C-099E-4634-95D5-D303ECFE0DEF}"/>
    <cellStyle name="Normal 2 23 2 21" xfId="8536" xr:uid="{61B8CF6E-0187-4DD8-806E-871D5BDD2FE0}"/>
    <cellStyle name="Normal 2 23 2 22" xfId="8537" xr:uid="{7909498A-CA43-46D6-9319-69868D705DC6}"/>
    <cellStyle name="Normal 2 23 2 23" xfId="8538" xr:uid="{0BAB3268-22BB-42D1-96B9-560E74D754F4}"/>
    <cellStyle name="Normal 2 23 2 24" xfId="8539" xr:uid="{F934E8F7-06F0-48D2-89CB-D20652325316}"/>
    <cellStyle name="Normal 2 23 2 25" xfId="8540" xr:uid="{5FFC1F00-E923-4670-8764-031C1F300311}"/>
    <cellStyle name="Normal 2 23 2 26" xfId="8541" xr:uid="{E67CFAFF-FBCB-4704-B498-429C98584F21}"/>
    <cellStyle name="Normal 2 23 2 27" xfId="8542" xr:uid="{EE51E626-FD26-4897-B878-C391E7C6D76D}"/>
    <cellStyle name="Normal 2 23 2 28" xfId="8543" xr:uid="{605B3FEB-BB49-4CA0-9746-12A0CA6E6A25}"/>
    <cellStyle name="Normal 2 23 2 29" xfId="8544" xr:uid="{7E823890-F39C-49F2-94E1-6C0602468EB2}"/>
    <cellStyle name="Normal 2 23 2 3" xfId="8545" xr:uid="{FD3CE9DF-EA56-4A64-9329-50D10AA098A5}"/>
    <cellStyle name="Normal 2 23 2 30" xfId="8546" xr:uid="{51083113-B4E1-4F7C-A077-AD1916FEE01C}"/>
    <cellStyle name="Normal 2 23 2 31" xfId="8547" xr:uid="{7ECC53DB-058A-412D-95E3-8BA9B198CA99}"/>
    <cellStyle name="Normal 2 23 2 32" xfId="8548" xr:uid="{1B6D5E40-2299-49B1-9215-1929FA91AE17}"/>
    <cellStyle name="Normal 2 23 2 33" xfId="8549" xr:uid="{F373D6AA-B138-436C-92EB-5522DB0ACC21}"/>
    <cellStyle name="Normal 2 23 2 34" xfId="8550" xr:uid="{1DCCBFE3-FBB2-4CD0-A949-48D00C0ACD9F}"/>
    <cellStyle name="Normal 2 23 2 35" xfId="8551" xr:uid="{96535E12-00D1-47F9-9F6F-C5C870542109}"/>
    <cellStyle name="Normal 2 23 2 36" xfId="8552" xr:uid="{F3446730-90BE-4FB8-8470-F7E7CF66CCE1}"/>
    <cellStyle name="Normal 2 23 2 37" xfId="8553" xr:uid="{E508F6EF-68BE-45AD-8212-A77C522FACBD}"/>
    <cellStyle name="Normal 2 23 2 38" xfId="8554" xr:uid="{F58DEF04-E9B8-4F37-A5A6-C850371A69AD}"/>
    <cellStyle name="Normal 2 23 2 39" xfId="8555" xr:uid="{A42D3EFA-4182-4183-96AC-5C4A2C5CF601}"/>
    <cellStyle name="Normal 2 23 2 4" xfId="8556" xr:uid="{22F55C1C-2BEA-42D1-88BB-20E6E94FFFBB}"/>
    <cellStyle name="Normal 2 23 2 40" xfId="8557" xr:uid="{5590F4F6-C092-4878-B995-E0D4709000E7}"/>
    <cellStyle name="Normal 2 23 2 5" xfId="8558" xr:uid="{A8FDBFAA-CCA5-4586-B8C3-C1A0E9E9B6FA}"/>
    <cellStyle name="Normal 2 23 2 6" xfId="8559" xr:uid="{4A700EC4-800A-4514-8458-3478406C15F5}"/>
    <cellStyle name="Normal 2 23 2 7" xfId="8560" xr:uid="{9D1BC6BB-84C9-4458-81F1-98B209205EE9}"/>
    <cellStyle name="Normal 2 23 2 8" xfId="8561" xr:uid="{89A66D45-1073-4C3D-8D52-FED9D6DCE3B3}"/>
    <cellStyle name="Normal 2 23 2 9" xfId="8562" xr:uid="{CC699EA5-987C-43A1-8D22-BEC81112BEEB}"/>
    <cellStyle name="Normal 2 23 20" xfId="8563" xr:uid="{3BD6222B-4BA1-4E59-914B-1707D5266323}"/>
    <cellStyle name="Normal 2 23 21" xfId="8564" xr:uid="{AE2BB230-805D-4662-A6BE-7E566BAB745F}"/>
    <cellStyle name="Normal 2 23 22" xfId="8565" xr:uid="{76930C8D-9FF1-4879-8293-8506E8815A5B}"/>
    <cellStyle name="Normal 2 23 23" xfId="8566" xr:uid="{89CDE2F5-4A7F-4DCB-BE0E-53DBE4DDBC47}"/>
    <cellStyle name="Normal 2 23 24" xfId="8567" xr:uid="{BE20B49A-EA83-43CE-AA3D-4CD9B5F8A809}"/>
    <cellStyle name="Normal 2 23 25" xfId="8568" xr:uid="{863D4455-FA5B-46EE-A585-4E749DBF48B0}"/>
    <cellStyle name="Normal 2 23 26" xfId="8569" xr:uid="{5C385050-E22B-4CC0-A442-C721CDF6EF7F}"/>
    <cellStyle name="Normal 2 23 27" xfId="8570" xr:uid="{3FB26363-9AEE-4C07-8936-543195E94901}"/>
    <cellStyle name="Normal 2 23 28" xfId="8571" xr:uid="{4931E0C0-8BE7-47EB-81DF-5814C4A5E929}"/>
    <cellStyle name="Normal 2 23 29" xfId="8572" xr:uid="{1606871D-6514-433C-B3CC-D9D051E43A82}"/>
    <cellStyle name="Normal 2 23 3" xfId="8573" xr:uid="{E24AA7B3-F894-42E2-A5B9-A2BD20184ECA}"/>
    <cellStyle name="Normal 2 23 3 10" xfId="8574" xr:uid="{06B3A639-A99A-492D-84ED-03AEA74C64A6}"/>
    <cellStyle name="Normal 2 23 3 11" xfId="8575" xr:uid="{5A55BF8E-B08F-4BD0-A258-16194DFECB5D}"/>
    <cellStyle name="Normal 2 23 3 12" xfId="8576" xr:uid="{B58D8BEE-D9F5-4978-8984-0443DB9A3AAB}"/>
    <cellStyle name="Normal 2 23 3 13" xfId="8577" xr:uid="{AA0C0DB1-9C6C-442F-ABE6-B781AF68582E}"/>
    <cellStyle name="Normal 2 23 3 14" xfId="8578" xr:uid="{9F0BC272-48D3-4818-9297-AEA51949B5C2}"/>
    <cellStyle name="Normal 2 23 3 15" xfId="8579" xr:uid="{6F70E74C-D589-462D-9412-D7DF7E03E0FB}"/>
    <cellStyle name="Normal 2 23 3 16" xfId="8580" xr:uid="{5494FE0F-690B-4007-B99A-A4A571E00325}"/>
    <cellStyle name="Normal 2 23 3 17" xfId="8581" xr:uid="{531AE815-6376-468C-B73C-B7C4BB2C1762}"/>
    <cellStyle name="Normal 2 23 3 18" xfId="8582" xr:uid="{B1D4AAB1-3EE9-4A4A-A2DA-DB4F251628A7}"/>
    <cellStyle name="Normal 2 23 3 19" xfId="8583" xr:uid="{337390AA-6195-4B40-8BB0-1FDA8EBABAC6}"/>
    <cellStyle name="Normal 2 23 3 2" xfId="8584" xr:uid="{C96D5217-F7DA-4DAD-B077-2A3BB316D6B5}"/>
    <cellStyle name="Normal 2 23 3 2 10" xfId="8585" xr:uid="{E05CB1DD-68BD-41C0-A469-BBD8D889A4F9}"/>
    <cellStyle name="Normal 2 23 3 2 11" xfId="8586" xr:uid="{8335E60E-6D4B-4904-91F7-0048E828FBDA}"/>
    <cellStyle name="Normal 2 23 3 2 12" xfId="8587" xr:uid="{7659D5AA-9AF6-4D9C-AB00-93B66BA1FC5D}"/>
    <cellStyle name="Normal 2 23 3 2 13" xfId="8588" xr:uid="{2096F92D-AD42-42A8-8A8B-C2E1F063A641}"/>
    <cellStyle name="Normal 2 23 3 2 14" xfId="8589" xr:uid="{E9EEAF5D-E8E5-4A76-B0B3-39D78CC1059E}"/>
    <cellStyle name="Normal 2 23 3 2 15" xfId="8590" xr:uid="{DAE69C25-D905-4E91-969A-8784D88B052F}"/>
    <cellStyle name="Normal 2 23 3 2 16" xfId="8591" xr:uid="{C5C03C80-D6FA-4948-9113-C2595B2A5C12}"/>
    <cellStyle name="Normal 2 23 3 2 17" xfId="8592" xr:uid="{42E7B6A0-572E-4B58-BBC1-42B1BF6BA80C}"/>
    <cellStyle name="Normal 2 23 3 2 18" xfId="8593" xr:uid="{F8C7AEF1-3CF2-42FB-9D27-60999F575D98}"/>
    <cellStyle name="Normal 2 23 3 2 19" xfId="8594" xr:uid="{9B044312-CB51-4A6B-9CB6-502EFC9E0741}"/>
    <cellStyle name="Normal 2 23 3 2 2" xfId="8595" xr:uid="{7D9E159E-533B-4198-ABA6-30877C9969B2}"/>
    <cellStyle name="Normal 2 23 3 2 20" xfId="8596" xr:uid="{4DBD0EE7-DC86-46F0-9BE7-9850FC6173DB}"/>
    <cellStyle name="Normal 2 23 3 2 21" xfId="8597" xr:uid="{E21CC6E1-323C-4545-8977-8717DC8D4B11}"/>
    <cellStyle name="Normal 2 23 3 2 22" xfId="8598" xr:uid="{3F13C4DF-803F-4324-AC11-D7B4462021BF}"/>
    <cellStyle name="Normal 2 23 3 2 23" xfId="8599" xr:uid="{575C8FC1-1FD5-4FB1-B14C-0EDB2192D8C8}"/>
    <cellStyle name="Normal 2 23 3 2 24" xfId="8600" xr:uid="{B8020235-A277-4372-B4F6-6457F9BB7EE7}"/>
    <cellStyle name="Normal 2 23 3 2 25" xfId="8601" xr:uid="{CD574E1C-78DE-4465-89E8-595F4455A7EA}"/>
    <cellStyle name="Normal 2 23 3 2 26" xfId="8602" xr:uid="{86B2CE04-8D77-406E-8F2A-0971E053A5BB}"/>
    <cellStyle name="Normal 2 23 3 2 27" xfId="8603" xr:uid="{B8594A15-2633-4415-BCEB-DEAA2C586284}"/>
    <cellStyle name="Normal 2 23 3 2 28" xfId="8604" xr:uid="{AACD7DE4-858D-4778-B541-9E4392F543BB}"/>
    <cellStyle name="Normal 2 23 3 2 29" xfId="8605" xr:uid="{29B44FCE-557A-473B-87D1-6B2C1F3FBFD5}"/>
    <cellStyle name="Normal 2 23 3 2 3" xfId="8606" xr:uid="{F86DE633-F523-4839-B595-C3E00684F4D0}"/>
    <cellStyle name="Normal 2 23 3 2 30" xfId="8607" xr:uid="{9C5406A3-6A4A-4612-94E5-CDD68FEA3D4E}"/>
    <cellStyle name="Normal 2 23 3 2 31" xfId="8608" xr:uid="{20FBA44C-721E-41A9-9603-F69C6748126E}"/>
    <cellStyle name="Normal 2 23 3 2 32" xfId="8609" xr:uid="{E6B0107B-BEE3-4F5D-A73F-B43762A4F350}"/>
    <cellStyle name="Normal 2 23 3 2 33" xfId="8610" xr:uid="{153FD0F0-E494-45DA-8B75-3B0B2D11E972}"/>
    <cellStyle name="Normal 2 23 3 2 34" xfId="8611" xr:uid="{75453EDB-1B6F-4E2C-8871-8292BA2148DE}"/>
    <cellStyle name="Normal 2 23 3 2 35" xfId="8612" xr:uid="{463A1D5C-0015-4976-B756-A8C806E5C6A5}"/>
    <cellStyle name="Normal 2 23 3 2 36" xfId="8613" xr:uid="{8BC8208E-3575-4DFC-BE0B-416B607BE08D}"/>
    <cellStyle name="Normal 2 23 3 2 37" xfId="8614" xr:uid="{3E5E1664-5F67-4973-AF0D-83B48970EACF}"/>
    <cellStyle name="Normal 2 23 3 2 38" xfId="8615" xr:uid="{B2559942-189A-45E4-BCAE-7B5F28466AFD}"/>
    <cellStyle name="Normal 2 23 3 2 4" xfId="8616" xr:uid="{A8282163-A764-46E8-B282-8142C6EBC450}"/>
    <cellStyle name="Normal 2 23 3 2 5" xfId="8617" xr:uid="{70712EA8-54AC-4CD8-9176-75C712AB5B3C}"/>
    <cellStyle name="Normal 2 23 3 2 6" xfId="8618" xr:uid="{C24E9F1F-09C1-4709-919C-119FC5870AF4}"/>
    <cellStyle name="Normal 2 23 3 2 7" xfId="8619" xr:uid="{63B49483-246F-4089-A994-7ADC3FC80DB4}"/>
    <cellStyle name="Normal 2 23 3 2 8" xfId="8620" xr:uid="{693FEFE1-A4E5-4075-ACEB-48CF8E47B228}"/>
    <cellStyle name="Normal 2 23 3 2 9" xfId="8621" xr:uid="{E4A2B2A7-908B-4A86-975F-2F6DCF4B605E}"/>
    <cellStyle name="Normal 2 23 3 20" xfId="8622" xr:uid="{496F5F34-45E7-4525-9BAF-D7D80AFD9847}"/>
    <cellStyle name="Normal 2 23 3 21" xfId="8623" xr:uid="{27A04093-B7B3-4F00-8A58-FBEC74C2FCC8}"/>
    <cellStyle name="Normal 2 23 3 22" xfId="8624" xr:uid="{AEF340FF-68DB-420B-AE6D-9D40E2C4EEF9}"/>
    <cellStyle name="Normal 2 23 3 23" xfId="8625" xr:uid="{ED7BDC18-69B5-4DCD-9731-B8E20FB15527}"/>
    <cellStyle name="Normal 2 23 3 24" xfId="8626" xr:uid="{50DF0600-746D-4053-ADC0-2EBC6EE92C27}"/>
    <cellStyle name="Normal 2 23 3 25" xfId="8627" xr:uid="{3B85A1E6-59F2-479B-8A36-5F61E3FC21A8}"/>
    <cellStyle name="Normal 2 23 3 26" xfId="8628" xr:uid="{2CCA5B20-FFBA-4505-9D32-427286EBE7A8}"/>
    <cellStyle name="Normal 2 23 3 27" xfId="8629" xr:uid="{F8A2CEA3-045F-4DB1-899B-184A6FEDAF37}"/>
    <cellStyle name="Normal 2 23 3 28" xfId="8630" xr:uid="{1C9DF5B7-11D2-468E-A056-22BDE020D6BD}"/>
    <cellStyle name="Normal 2 23 3 29" xfId="8631" xr:uid="{63543D75-D301-4AA8-8729-0F94E292C644}"/>
    <cellStyle name="Normal 2 23 3 3" xfId="8632" xr:uid="{03D4CBC5-800D-48D4-9457-A6CE73521C5E}"/>
    <cellStyle name="Normal 2 23 3 30" xfId="8633" xr:uid="{FBDD74DA-195B-4401-AECE-453188406864}"/>
    <cellStyle name="Normal 2 23 3 31" xfId="8634" xr:uid="{3240A3C8-63A6-4966-9CE9-6D1BF6DBC06C}"/>
    <cellStyle name="Normal 2 23 3 32" xfId="8635" xr:uid="{A57081C8-6422-4956-AB3F-B440ED8521FE}"/>
    <cellStyle name="Normal 2 23 3 33" xfId="8636" xr:uid="{3DFC5BBD-76FC-4A71-A947-EB838BC560F0}"/>
    <cellStyle name="Normal 2 23 3 34" xfId="8637" xr:uid="{8491F03B-6C5D-4A3B-B50F-0E0EF16B5E8E}"/>
    <cellStyle name="Normal 2 23 3 35" xfId="8638" xr:uid="{6668101B-DE42-4236-BAF3-FC6B75588133}"/>
    <cellStyle name="Normal 2 23 3 36" xfId="8639" xr:uid="{6E33545E-86C9-4764-AD0F-F8F0287AEF35}"/>
    <cellStyle name="Normal 2 23 3 37" xfId="8640" xr:uid="{BD3BFDB4-CE17-4E2B-84FF-C5EF0CB0DA44}"/>
    <cellStyle name="Normal 2 23 3 38" xfId="8641" xr:uid="{5ADA32FD-D8B9-4E9B-AD75-E45CC932DDB4}"/>
    <cellStyle name="Normal 2 23 3 4" xfId="8642" xr:uid="{E81981E0-9EA4-430A-9B3D-B905AD82C552}"/>
    <cellStyle name="Normal 2 23 3 5" xfId="8643" xr:uid="{911210D1-D46C-4160-842A-DD464F78D96D}"/>
    <cellStyle name="Normal 2 23 3 6" xfId="8644" xr:uid="{CD742DEC-48E6-4AC4-8A44-8067344BFB84}"/>
    <cellStyle name="Normal 2 23 3 7" xfId="8645" xr:uid="{0153F03C-1966-4510-85B2-083BB0C8DC54}"/>
    <cellStyle name="Normal 2 23 3 8" xfId="8646" xr:uid="{8718F7A6-9ECC-4ACB-AB82-B9A79A3165C3}"/>
    <cellStyle name="Normal 2 23 3 9" xfId="8647" xr:uid="{C15A6906-E859-4A22-BF59-539EF8BB76DB}"/>
    <cellStyle name="Normal 2 23 30" xfId="8648" xr:uid="{E6A88020-BDC7-462A-B26B-9FF644EF546C}"/>
    <cellStyle name="Normal 2 23 31" xfId="8649" xr:uid="{DF7518F8-A7D3-4B4D-A696-2BD688FBF373}"/>
    <cellStyle name="Normal 2 23 32" xfId="8650" xr:uid="{5DD720D3-EA3B-496D-8ED1-C6C721DED449}"/>
    <cellStyle name="Normal 2 23 33" xfId="8651" xr:uid="{D7BC4BE3-4208-41B9-93F3-586A2616CDE8}"/>
    <cellStyle name="Normal 2 23 34" xfId="8652" xr:uid="{ADA62542-9707-4E7D-B7BE-E32CFEE434B8}"/>
    <cellStyle name="Normal 2 23 35" xfId="8653" xr:uid="{0DEC61D5-4380-4929-94EB-02CAFB3B1EC1}"/>
    <cellStyle name="Normal 2 23 36" xfId="8654" xr:uid="{ADC6A2A2-59F8-407B-9C9D-E0CB1C4E7363}"/>
    <cellStyle name="Normal 2 23 37" xfId="8655" xr:uid="{1FD78C48-10ED-4ED5-A873-75F044A320E2}"/>
    <cellStyle name="Normal 2 23 38" xfId="8656" xr:uid="{F1A3246E-3891-4820-9AD9-3C1961D47027}"/>
    <cellStyle name="Normal 2 23 39" xfId="8657" xr:uid="{70674C6A-9E44-43DC-9267-67509907BC2D}"/>
    <cellStyle name="Normal 2 23 4" xfId="8658" xr:uid="{472AB502-5023-44ED-A544-DF2C9DEACFD9}"/>
    <cellStyle name="Normal 2 23 40" xfId="8659" xr:uid="{535930C0-3AC2-49BE-B58C-A8938C2CD7EA}"/>
    <cellStyle name="Normal 2 23 5" xfId="8660" xr:uid="{E07FC41A-B315-4E84-A7C1-D145752C3793}"/>
    <cellStyle name="Normal 2 23 6" xfId="8661" xr:uid="{4A1F19E8-6EDA-428A-A389-67911DC27F8F}"/>
    <cellStyle name="Normal 2 23 7" xfId="8662" xr:uid="{060312FB-C1E2-4EFB-8604-41756525A151}"/>
    <cellStyle name="Normal 2 23 8" xfId="8663" xr:uid="{C017CB11-7977-4BDD-BCA2-FCE57AC3FF56}"/>
    <cellStyle name="Normal 2 23 9" xfId="8664" xr:uid="{1BD0772E-223B-4A2B-80E1-9B1B0C69BA62}"/>
    <cellStyle name="Normal 2 24" xfId="8665" xr:uid="{F36A13D1-9AD9-4F2D-8F9C-443074CA9A19}"/>
    <cellStyle name="Normal 2 24 10" xfId="8666" xr:uid="{CB6E524E-A722-4575-80CB-224468A9BB3F}"/>
    <cellStyle name="Normal 2 24 11" xfId="8667" xr:uid="{62D8584B-AD4B-495C-A49E-6D6AF069A4D1}"/>
    <cellStyle name="Normal 2 24 12" xfId="8668" xr:uid="{8E6A0D07-F556-46E4-8B5C-868080975B28}"/>
    <cellStyle name="Normal 2 24 13" xfId="8669" xr:uid="{2918412D-52C4-46F6-8FD5-1BBEFA5F8559}"/>
    <cellStyle name="Normal 2 24 14" xfId="8670" xr:uid="{D7DA0CE4-D6C5-4BB0-82A6-3ACB735B254D}"/>
    <cellStyle name="Normal 2 24 15" xfId="8671" xr:uid="{95FE87AD-4134-4B2F-85D3-8B09EEC748A5}"/>
    <cellStyle name="Normal 2 24 16" xfId="8672" xr:uid="{C99AAE7F-37FE-4DFC-8D9E-9DF802B4960E}"/>
    <cellStyle name="Normal 2 24 17" xfId="8673" xr:uid="{47C71357-7CE2-4EB5-BFA3-94E8DC435B7B}"/>
    <cellStyle name="Normal 2 24 18" xfId="8674" xr:uid="{717A999D-6E4A-46FB-9E7E-D2F08F739331}"/>
    <cellStyle name="Normal 2 24 19" xfId="8675" xr:uid="{6D720EA4-E0DD-4089-9336-FE47766EA3CD}"/>
    <cellStyle name="Normal 2 24 2" xfId="8676" xr:uid="{359A89D4-C613-4272-BA85-49FF1CDE430A}"/>
    <cellStyle name="Normal 2 24 2 10" xfId="8677" xr:uid="{2636AA69-1728-4C75-A422-5E0345E791E4}"/>
    <cellStyle name="Normal 2 24 2 11" xfId="8678" xr:uid="{5D580543-08D7-44A4-9BD6-78B6B119C971}"/>
    <cellStyle name="Normal 2 24 2 12" xfId="8679" xr:uid="{34445BB5-76A2-4FDA-9DB7-8BCCF24C0C39}"/>
    <cellStyle name="Normal 2 24 2 13" xfId="8680" xr:uid="{3CEA8C89-B703-46A5-AA7A-556B96CE6AE4}"/>
    <cellStyle name="Normal 2 24 2 14" xfId="8681" xr:uid="{97DCD1F3-B97D-45F5-A6EF-A6AD7323871E}"/>
    <cellStyle name="Normal 2 24 2 15" xfId="8682" xr:uid="{2C06D3FB-CAE8-4B4D-9634-DBE6E48E8243}"/>
    <cellStyle name="Normal 2 24 2 16" xfId="8683" xr:uid="{EC67F1EA-1B7C-4150-A6C8-2E0DAABF134A}"/>
    <cellStyle name="Normal 2 24 2 17" xfId="8684" xr:uid="{DC7A6213-332E-49D5-938F-1F0F2C4FDFF0}"/>
    <cellStyle name="Normal 2 24 2 18" xfId="8685" xr:uid="{DE687655-2B92-4FAE-B7D3-06F00CD86EBE}"/>
    <cellStyle name="Normal 2 24 2 19" xfId="8686" xr:uid="{64F32F60-D80F-4B05-9B7F-63831B838E40}"/>
    <cellStyle name="Normal 2 24 2 2" xfId="8687" xr:uid="{4E95D84C-B0DD-464F-A480-5FC512C17645}"/>
    <cellStyle name="Normal 2 24 2 2 10" xfId="8688" xr:uid="{92AE1E85-31BF-4BE1-8CC5-CCC9BAD8D7C4}"/>
    <cellStyle name="Normal 2 24 2 2 11" xfId="8689" xr:uid="{89662BC0-AFBB-4DBD-83B3-548F5F2E21BB}"/>
    <cellStyle name="Normal 2 24 2 2 12" xfId="8690" xr:uid="{BF769D20-3621-4715-8012-33CD12D95923}"/>
    <cellStyle name="Normal 2 24 2 2 13" xfId="8691" xr:uid="{791684BD-699D-4F45-9A77-F4F148C6E2D8}"/>
    <cellStyle name="Normal 2 24 2 2 14" xfId="8692" xr:uid="{E304AFA6-D090-4102-9622-0B46B9BDED7C}"/>
    <cellStyle name="Normal 2 24 2 2 15" xfId="8693" xr:uid="{F097B186-56D0-4DA2-82F8-A76EA55373D2}"/>
    <cellStyle name="Normal 2 24 2 2 16" xfId="8694" xr:uid="{771A40CB-26F0-4DE9-AD3E-56198666E75F}"/>
    <cellStyle name="Normal 2 24 2 2 17" xfId="8695" xr:uid="{DDCDC515-24FC-4345-AF2B-04CB9BC9463C}"/>
    <cellStyle name="Normal 2 24 2 2 18" xfId="8696" xr:uid="{6B2ECFAE-2CA1-41C1-B2A2-A09C9D313370}"/>
    <cellStyle name="Normal 2 24 2 2 19" xfId="8697" xr:uid="{B7DB0266-1864-4051-AA76-3706D2B42BB1}"/>
    <cellStyle name="Normal 2 24 2 2 2" xfId="8698" xr:uid="{6BDD6BEA-28DE-490E-B068-EB23778636E0}"/>
    <cellStyle name="Normal 2 24 2 2 2 10" xfId="8699" xr:uid="{B1334891-8EA9-451A-8ADB-E2ACFC05070D}"/>
    <cellStyle name="Normal 2 24 2 2 2 11" xfId="8700" xr:uid="{2BEA2600-56C8-4522-9632-A706E6958EC9}"/>
    <cellStyle name="Normal 2 24 2 2 2 12" xfId="8701" xr:uid="{243461E8-CA7A-45F2-A406-B98ED1667ED2}"/>
    <cellStyle name="Normal 2 24 2 2 2 13" xfId="8702" xr:uid="{CC1528E3-167C-4BFF-BFDB-B4B6DAEFC83A}"/>
    <cellStyle name="Normal 2 24 2 2 2 14" xfId="8703" xr:uid="{B3F69AA0-4666-4E95-A9E2-C32D26A6EC31}"/>
    <cellStyle name="Normal 2 24 2 2 2 15" xfId="8704" xr:uid="{426EDA27-FFC8-423C-AF09-90F3C276101F}"/>
    <cellStyle name="Normal 2 24 2 2 2 16" xfId="8705" xr:uid="{DBE0F8DC-E5EB-4E3F-95F8-109B40F6232A}"/>
    <cellStyle name="Normal 2 24 2 2 2 17" xfId="8706" xr:uid="{CD34D586-D159-488C-968D-2E860FEBB32B}"/>
    <cellStyle name="Normal 2 24 2 2 2 18" xfId="8707" xr:uid="{CD401D90-FAFC-4105-B35F-27262ADE3781}"/>
    <cellStyle name="Normal 2 24 2 2 2 19" xfId="8708" xr:uid="{95F55D0D-9FFA-447C-8982-75021FD681C4}"/>
    <cellStyle name="Normal 2 24 2 2 2 2" xfId="8709" xr:uid="{0DC2F89E-D532-4740-AD97-1E676EB1B97F}"/>
    <cellStyle name="Normal 2 24 2 2 2 20" xfId="8710" xr:uid="{69518309-F494-42E3-B739-66F1557E5FEE}"/>
    <cellStyle name="Normal 2 24 2 2 2 21" xfId="8711" xr:uid="{EE6B35FB-81D8-45AC-9B7E-59B3D0D47BF8}"/>
    <cellStyle name="Normal 2 24 2 2 2 22" xfId="8712" xr:uid="{98982A5D-2941-4483-B9DE-64E668B412B6}"/>
    <cellStyle name="Normal 2 24 2 2 2 23" xfId="8713" xr:uid="{E255A205-48F8-4D42-B108-D6A67C25113B}"/>
    <cellStyle name="Normal 2 24 2 2 2 24" xfId="8714" xr:uid="{7301F784-39EB-47DE-866B-F7831993E324}"/>
    <cellStyle name="Normal 2 24 2 2 2 25" xfId="8715" xr:uid="{6176C28D-F82D-4ED9-8BB6-F91212EF36EC}"/>
    <cellStyle name="Normal 2 24 2 2 2 26" xfId="8716" xr:uid="{1743CE54-7270-4879-8EE4-AA8D1B59429F}"/>
    <cellStyle name="Normal 2 24 2 2 2 27" xfId="8717" xr:uid="{1E72CA11-F9D9-447E-9DBB-3E9E7DAAD62D}"/>
    <cellStyle name="Normal 2 24 2 2 2 28" xfId="8718" xr:uid="{8BA8DC45-61B1-4AE0-98B2-C7B6E892D606}"/>
    <cellStyle name="Normal 2 24 2 2 2 29" xfId="8719" xr:uid="{5BE3B349-B0BB-4F1B-B27F-0304A82C620F}"/>
    <cellStyle name="Normal 2 24 2 2 2 3" xfId="8720" xr:uid="{06919D9D-76CC-4082-93A9-0C6EB8F5CD33}"/>
    <cellStyle name="Normal 2 24 2 2 2 30" xfId="8721" xr:uid="{52610A4D-3C15-4489-80E4-9C353C132193}"/>
    <cellStyle name="Normal 2 24 2 2 2 31" xfId="8722" xr:uid="{8A7E548D-6E64-4102-BA89-FBBF51DC70B6}"/>
    <cellStyle name="Normal 2 24 2 2 2 32" xfId="8723" xr:uid="{ADCF7138-F478-452E-86DB-AAC27C3EA620}"/>
    <cellStyle name="Normal 2 24 2 2 2 33" xfId="8724" xr:uid="{C70FD3D1-3F0C-4363-BCB6-E67F343195DD}"/>
    <cellStyle name="Normal 2 24 2 2 2 34" xfId="8725" xr:uid="{51F8A523-FB88-4DB9-BB7E-17DC4814C892}"/>
    <cellStyle name="Normal 2 24 2 2 2 35" xfId="8726" xr:uid="{A218A390-8242-499C-9467-687FDD105388}"/>
    <cellStyle name="Normal 2 24 2 2 2 36" xfId="8727" xr:uid="{B253A67C-726A-43F6-9DFD-E223890FDC31}"/>
    <cellStyle name="Normal 2 24 2 2 2 37" xfId="8728" xr:uid="{363ECD2F-56CA-4CC4-AE33-C78504A865CB}"/>
    <cellStyle name="Normal 2 24 2 2 2 38" xfId="8729" xr:uid="{A9B1B1EB-AC48-4BF3-987C-858A5860385D}"/>
    <cellStyle name="Normal 2 24 2 2 2 4" xfId="8730" xr:uid="{F1A91ED3-A59D-4390-9D95-6761F041AB6F}"/>
    <cellStyle name="Normal 2 24 2 2 2 5" xfId="8731" xr:uid="{43B5076B-645D-424A-A5C3-66A92102F111}"/>
    <cellStyle name="Normal 2 24 2 2 2 6" xfId="8732" xr:uid="{3AE2B459-9E84-4A06-801F-97E7BFBAC3E8}"/>
    <cellStyle name="Normal 2 24 2 2 2 7" xfId="8733" xr:uid="{BE494726-2582-473C-8D17-CBD693FAB617}"/>
    <cellStyle name="Normal 2 24 2 2 2 8" xfId="8734" xr:uid="{C02CC424-9246-4364-A37D-470E585F5A58}"/>
    <cellStyle name="Normal 2 24 2 2 2 9" xfId="8735" xr:uid="{C7A05BB6-A23C-4891-9A08-CA79C7A7248F}"/>
    <cellStyle name="Normal 2 24 2 2 20" xfId="8736" xr:uid="{D1F82AF1-4DC3-434A-97A3-FBD12B83E248}"/>
    <cellStyle name="Normal 2 24 2 2 21" xfId="8737" xr:uid="{BD4E1791-D92F-4236-9FD2-9C664329EC85}"/>
    <cellStyle name="Normal 2 24 2 2 22" xfId="8738" xr:uid="{5674BC1C-EEF6-4F24-A2AD-69CB575B8567}"/>
    <cellStyle name="Normal 2 24 2 2 23" xfId="8739" xr:uid="{ADDF8B71-AC4E-4585-BF34-9F8DFD0E52C7}"/>
    <cellStyle name="Normal 2 24 2 2 24" xfId="8740" xr:uid="{E4148FFA-19E9-43E6-B095-0282BC4FE80D}"/>
    <cellStyle name="Normal 2 24 2 2 25" xfId="8741" xr:uid="{19223ABC-3A37-46ED-9BED-FF43A7843FE6}"/>
    <cellStyle name="Normal 2 24 2 2 26" xfId="8742" xr:uid="{1975316A-64D9-4671-9E13-00EBF96CC093}"/>
    <cellStyle name="Normal 2 24 2 2 27" xfId="8743" xr:uid="{2D291894-79EE-4DCC-B9E2-D7EE5B29DFB2}"/>
    <cellStyle name="Normal 2 24 2 2 28" xfId="8744" xr:uid="{136E5AD4-32D8-4C2A-A916-52927EFC89E5}"/>
    <cellStyle name="Normal 2 24 2 2 29" xfId="8745" xr:uid="{55E91B85-9F2B-4D56-B969-C44A4316350E}"/>
    <cellStyle name="Normal 2 24 2 2 3" xfId="8746" xr:uid="{D73920AB-4540-4C9C-B627-5CBE369AC69E}"/>
    <cellStyle name="Normal 2 24 2 2 30" xfId="8747" xr:uid="{A55F2862-8CD2-409F-9860-3273A3B622B3}"/>
    <cellStyle name="Normal 2 24 2 2 31" xfId="8748" xr:uid="{50AE779C-7C38-48BE-9444-CDA3753115D2}"/>
    <cellStyle name="Normal 2 24 2 2 32" xfId="8749" xr:uid="{AA21E5B0-DFF4-4ED8-8DED-5CC5BF8C5166}"/>
    <cellStyle name="Normal 2 24 2 2 33" xfId="8750" xr:uid="{60535FDD-F59A-4A2F-8D38-A43B6DEC1629}"/>
    <cellStyle name="Normal 2 24 2 2 34" xfId="8751" xr:uid="{B69DF6A5-BE35-420E-8817-C55961939E19}"/>
    <cellStyle name="Normal 2 24 2 2 35" xfId="8752" xr:uid="{FD6A40BE-24BF-4960-A444-7CE695C66F0B}"/>
    <cellStyle name="Normal 2 24 2 2 36" xfId="8753" xr:uid="{B33B7A6C-B02D-4342-B9DB-30404B4067F5}"/>
    <cellStyle name="Normal 2 24 2 2 37" xfId="8754" xr:uid="{1B734D92-C2B0-4F96-B627-C1180063EC01}"/>
    <cellStyle name="Normal 2 24 2 2 38" xfId="8755" xr:uid="{529A7436-E24D-41FF-9AC2-403A6D35AFDF}"/>
    <cellStyle name="Normal 2 24 2 2 4" xfId="8756" xr:uid="{ADA67E54-1C36-4F57-A6E9-01A40A016639}"/>
    <cellStyle name="Normal 2 24 2 2 5" xfId="8757" xr:uid="{1EE61566-72EE-4AE6-AF3D-55722A62E2CE}"/>
    <cellStyle name="Normal 2 24 2 2 6" xfId="8758" xr:uid="{44181A19-C830-4242-88EA-E19C0ABD2E87}"/>
    <cellStyle name="Normal 2 24 2 2 7" xfId="8759" xr:uid="{DA74A0D0-E45F-458E-9D14-F9FE58ECFA6B}"/>
    <cellStyle name="Normal 2 24 2 2 8" xfId="8760" xr:uid="{969E667D-D140-4C4A-A166-FF10675EFDE5}"/>
    <cellStyle name="Normal 2 24 2 2 9" xfId="8761" xr:uid="{5936C653-81E6-48C3-8C3F-DA70327E16DA}"/>
    <cellStyle name="Normal 2 24 2 20" xfId="8762" xr:uid="{DF3A3834-5435-46F3-B5E6-08B58190F9B7}"/>
    <cellStyle name="Normal 2 24 2 21" xfId="8763" xr:uid="{D71C478A-EF47-4F01-A701-1AC8595B52D9}"/>
    <cellStyle name="Normal 2 24 2 22" xfId="8764" xr:uid="{DCFA5246-794A-46C3-8DE1-4C145A0943A3}"/>
    <cellStyle name="Normal 2 24 2 23" xfId="8765" xr:uid="{64CE2F5C-F556-43A3-9F3C-9327DF3503AD}"/>
    <cellStyle name="Normal 2 24 2 24" xfId="8766" xr:uid="{9F4A60CE-A168-455D-B885-CB4C549DC833}"/>
    <cellStyle name="Normal 2 24 2 25" xfId="8767" xr:uid="{3F62E65D-25D6-4143-9233-5731A32AEFE6}"/>
    <cellStyle name="Normal 2 24 2 26" xfId="8768" xr:uid="{A4088B65-7614-43E6-876B-6CA03F6156AC}"/>
    <cellStyle name="Normal 2 24 2 27" xfId="8769" xr:uid="{A7FDA598-781A-4147-A770-2EB2B9F6B3CE}"/>
    <cellStyle name="Normal 2 24 2 28" xfId="8770" xr:uid="{F650D949-4781-4ABA-A7C5-CFBCC741849A}"/>
    <cellStyle name="Normal 2 24 2 29" xfId="8771" xr:uid="{DF62D124-2EA8-4BD7-80B4-464FC10894D8}"/>
    <cellStyle name="Normal 2 24 2 3" xfId="8772" xr:uid="{9F389198-B427-4605-A595-E6DE389BF063}"/>
    <cellStyle name="Normal 2 24 2 30" xfId="8773" xr:uid="{00DEE3B7-8ABC-4241-9BB2-51D7CC854894}"/>
    <cellStyle name="Normal 2 24 2 31" xfId="8774" xr:uid="{73110215-2967-47C3-A8B0-BF2D743F7C76}"/>
    <cellStyle name="Normal 2 24 2 32" xfId="8775" xr:uid="{824E4B90-A6B1-448D-B69A-37FE18244FEF}"/>
    <cellStyle name="Normal 2 24 2 33" xfId="8776" xr:uid="{25536537-0D39-470A-82A4-2134DD6E7E13}"/>
    <cellStyle name="Normal 2 24 2 34" xfId="8777" xr:uid="{01D6A3D7-6320-4593-AD73-E832579DC351}"/>
    <cellStyle name="Normal 2 24 2 35" xfId="8778" xr:uid="{1A552B7E-0489-41A7-B4EE-FCBC1673BDF3}"/>
    <cellStyle name="Normal 2 24 2 36" xfId="8779" xr:uid="{A99EC1CE-C3E8-4240-91CF-47C4B2CD7B28}"/>
    <cellStyle name="Normal 2 24 2 37" xfId="8780" xr:uid="{8990BD9A-7859-4BB4-A28E-6D22469365CC}"/>
    <cellStyle name="Normal 2 24 2 38" xfId="8781" xr:uid="{B5480606-D246-4C80-B18A-75F1A6583E42}"/>
    <cellStyle name="Normal 2 24 2 39" xfId="8782" xr:uid="{DD2DBA15-A5E0-4661-AE53-373F25E2A6B1}"/>
    <cellStyle name="Normal 2 24 2 4" xfId="8783" xr:uid="{98DD4198-A794-4657-A573-04BD7A807AD0}"/>
    <cellStyle name="Normal 2 24 2 40" xfId="8784" xr:uid="{CB8DF73F-8449-49DD-8E82-DBBBE18B884A}"/>
    <cellStyle name="Normal 2 24 2 5" xfId="8785" xr:uid="{6D06F74E-ABB1-430A-95D5-FF3119D1A44D}"/>
    <cellStyle name="Normal 2 24 2 6" xfId="8786" xr:uid="{8A5A7821-BB83-4246-9755-8A91B9C986DA}"/>
    <cellStyle name="Normal 2 24 2 7" xfId="8787" xr:uid="{EF1FF990-A93F-4274-9448-C1812198CD14}"/>
    <cellStyle name="Normal 2 24 2 8" xfId="8788" xr:uid="{AF833E13-2426-42FD-BF3D-D760ADC05A54}"/>
    <cellStyle name="Normal 2 24 2 9" xfId="8789" xr:uid="{93ED66CC-A770-4BEB-B0D9-A0F0E89E1BEE}"/>
    <cellStyle name="Normal 2 24 20" xfId="8790" xr:uid="{80A14BD9-EAFC-4CB0-8CE2-E2FBA42A972E}"/>
    <cellStyle name="Normal 2 24 21" xfId="8791" xr:uid="{030FCD24-547F-43AF-85DB-F487A2366769}"/>
    <cellStyle name="Normal 2 24 22" xfId="8792" xr:uid="{E7DD0DCC-D2E3-43DB-8585-8F7BFD4905A9}"/>
    <cellStyle name="Normal 2 24 23" xfId="8793" xr:uid="{4C3BF5AA-3802-47B7-B962-B752C5D64BA9}"/>
    <cellStyle name="Normal 2 24 24" xfId="8794" xr:uid="{F78F50E8-5A6A-4CD3-BBCE-4020F83F551C}"/>
    <cellStyle name="Normal 2 24 25" xfId="8795" xr:uid="{7B6FEA73-50A1-4095-8E75-BF53C55B0547}"/>
    <cellStyle name="Normal 2 24 26" xfId="8796" xr:uid="{55B3E255-18E5-4423-A607-0A82A536560A}"/>
    <cellStyle name="Normal 2 24 27" xfId="8797" xr:uid="{B0F6FA2B-EA81-49FF-8134-F5C6D25E5745}"/>
    <cellStyle name="Normal 2 24 28" xfId="8798" xr:uid="{A6F955E6-F93F-424A-9A3C-BD6CB299CF6F}"/>
    <cellStyle name="Normal 2 24 29" xfId="8799" xr:uid="{04A4DAD4-B66D-4588-B3B7-8229F5B6E615}"/>
    <cellStyle name="Normal 2 24 3" xfId="8800" xr:uid="{666F1587-357B-4771-8170-5BF36CAF635A}"/>
    <cellStyle name="Normal 2 24 3 10" xfId="8801" xr:uid="{A1581DB0-2DE2-47CE-9A04-FB67E3D59FCD}"/>
    <cellStyle name="Normal 2 24 3 11" xfId="8802" xr:uid="{AF8558B2-1144-4205-9C27-1556B65F1CEA}"/>
    <cellStyle name="Normal 2 24 3 12" xfId="8803" xr:uid="{609031D9-0427-4C82-9D80-FAE998167855}"/>
    <cellStyle name="Normal 2 24 3 13" xfId="8804" xr:uid="{127D32A9-8722-426B-9B6F-7CCAB8A39C68}"/>
    <cellStyle name="Normal 2 24 3 14" xfId="8805" xr:uid="{AD136FE6-6B70-46FA-B1F7-89588FA82699}"/>
    <cellStyle name="Normal 2 24 3 15" xfId="8806" xr:uid="{F3DE1016-90E7-48C7-A5B6-3C8B33F7192E}"/>
    <cellStyle name="Normal 2 24 3 16" xfId="8807" xr:uid="{FC53FCA0-E139-451B-A51C-4CA8F1BD708D}"/>
    <cellStyle name="Normal 2 24 3 17" xfId="8808" xr:uid="{EF1E2F7C-6AA1-4066-AD4B-3E2CFECBFDA5}"/>
    <cellStyle name="Normal 2 24 3 18" xfId="8809" xr:uid="{11FD6F2F-5090-4AA2-A148-6EE49F7C3807}"/>
    <cellStyle name="Normal 2 24 3 19" xfId="8810" xr:uid="{0650EEF2-0160-41EE-B51A-D576E4005B93}"/>
    <cellStyle name="Normal 2 24 3 2" xfId="8811" xr:uid="{36036695-3BE6-49E4-975E-0FD39362165C}"/>
    <cellStyle name="Normal 2 24 3 2 10" xfId="8812" xr:uid="{A06C444E-20E8-4C17-B02E-BAB05A5D85A5}"/>
    <cellStyle name="Normal 2 24 3 2 11" xfId="8813" xr:uid="{0E65D806-88E3-4912-B2C3-EDA0F8FC3313}"/>
    <cellStyle name="Normal 2 24 3 2 12" xfId="8814" xr:uid="{75972CF9-4F47-4898-8D18-44F447E7D518}"/>
    <cellStyle name="Normal 2 24 3 2 13" xfId="8815" xr:uid="{F41F924F-0AF1-48DE-90F1-4DA7CEAD282E}"/>
    <cellStyle name="Normal 2 24 3 2 14" xfId="8816" xr:uid="{12FD034C-02DA-40F7-9CCF-4C9ADEDC0CBF}"/>
    <cellStyle name="Normal 2 24 3 2 15" xfId="8817" xr:uid="{78236309-F2F1-4F7F-A4DB-B8CEB4A56EFD}"/>
    <cellStyle name="Normal 2 24 3 2 16" xfId="8818" xr:uid="{4AC7C348-9A8E-4236-8444-137A75A97B0C}"/>
    <cellStyle name="Normal 2 24 3 2 17" xfId="8819" xr:uid="{F3970876-6067-4864-AE16-655A2EBE8128}"/>
    <cellStyle name="Normal 2 24 3 2 18" xfId="8820" xr:uid="{0CD09234-F960-4D21-B5F8-DC61C953C97F}"/>
    <cellStyle name="Normal 2 24 3 2 19" xfId="8821" xr:uid="{4764FB32-638E-4D5B-975F-C3DFBC6E3DB9}"/>
    <cellStyle name="Normal 2 24 3 2 2" xfId="8822" xr:uid="{5B0C7B77-9C6C-4A33-8AA3-231898155AA3}"/>
    <cellStyle name="Normal 2 24 3 2 20" xfId="8823" xr:uid="{7AAB5855-EED6-4F1C-A30C-875CA1B377F5}"/>
    <cellStyle name="Normal 2 24 3 2 21" xfId="8824" xr:uid="{978492D6-39C4-4A0F-8B61-EF9D0D94D27A}"/>
    <cellStyle name="Normal 2 24 3 2 22" xfId="8825" xr:uid="{A413D00D-874D-457F-BEFC-18EE6868FBF7}"/>
    <cellStyle name="Normal 2 24 3 2 23" xfId="8826" xr:uid="{9F2288F8-4F2C-438D-A3A2-7F91FCD066EB}"/>
    <cellStyle name="Normal 2 24 3 2 24" xfId="8827" xr:uid="{11390149-D305-443E-AD31-B5F7782F952E}"/>
    <cellStyle name="Normal 2 24 3 2 25" xfId="8828" xr:uid="{04D2879A-A963-4074-9A69-0A8171090236}"/>
    <cellStyle name="Normal 2 24 3 2 26" xfId="8829" xr:uid="{6E8C9CD6-A11C-40D1-96DF-6B29D3E3A480}"/>
    <cellStyle name="Normal 2 24 3 2 27" xfId="8830" xr:uid="{78CEBB41-642C-4530-9259-D8B2C27FEFCF}"/>
    <cellStyle name="Normal 2 24 3 2 28" xfId="8831" xr:uid="{29D03D8F-90BC-457A-ADB5-98B28AE16417}"/>
    <cellStyle name="Normal 2 24 3 2 29" xfId="8832" xr:uid="{ACFE7307-2255-475D-9FFF-07E88C023097}"/>
    <cellStyle name="Normal 2 24 3 2 3" xfId="8833" xr:uid="{959F3E53-757F-42E2-AB51-212F7C30CD40}"/>
    <cellStyle name="Normal 2 24 3 2 30" xfId="8834" xr:uid="{683CE642-2A30-4460-9453-1349C2CCAEB4}"/>
    <cellStyle name="Normal 2 24 3 2 31" xfId="8835" xr:uid="{106A9EC8-C417-459F-ADFA-73C4AA945F05}"/>
    <cellStyle name="Normal 2 24 3 2 32" xfId="8836" xr:uid="{54FE9F51-E37A-4312-80A9-8C564C12134E}"/>
    <cellStyle name="Normal 2 24 3 2 33" xfId="8837" xr:uid="{6B64B363-CFC3-4422-AB91-37BCE6F2D7DC}"/>
    <cellStyle name="Normal 2 24 3 2 34" xfId="8838" xr:uid="{1BF6BFF8-8A58-4CF3-AC00-9BC22AF2E28A}"/>
    <cellStyle name="Normal 2 24 3 2 35" xfId="8839" xr:uid="{1E1E103E-CA62-421C-ADEC-F7A497C7842B}"/>
    <cellStyle name="Normal 2 24 3 2 36" xfId="8840" xr:uid="{D4998ADB-632B-484D-9C82-C6C11BE5290E}"/>
    <cellStyle name="Normal 2 24 3 2 37" xfId="8841" xr:uid="{9BC10EFF-8BFB-4822-B342-5678280D29C4}"/>
    <cellStyle name="Normal 2 24 3 2 38" xfId="8842" xr:uid="{EE511A3E-8CE0-4AB8-9E4E-64F9C27BD6C8}"/>
    <cellStyle name="Normal 2 24 3 2 4" xfId="8843" xr:uid="{77B3DB2B-1559-4E44-AC80-266E2DEF5C6A}"/>
    <cellStyle name="Normal 2 24 3 2 5" xfId="8844" xr:uid="{67E355C4-C641-4E71-A702-0776DBAF7648}"/>
    <cellStyle name="Normal 2 24 3 2 6" xfId="8845" xr:uid="{6972BC24-25F7-49A0-9C90-51FA2275CAA0}"/>
    <cellStyle name="Normal 2 24 3 2 7" xfId="8846" xr:uid="{75B32015-A08B-4834-9245-6A2D89D955D3}"/>
    <cellStyle name="Normal 2 24 3 2 8" xfId="8847" xr:uid="{135CEA5E-47C4-4BA8-9C3C-9AE4C627C117}"/>
    <cellStyle name="Normal 2 24 3 2 9" xfId="8848" xr:uid="{1EF5A61F-F234-441C-9885-1785565EE5E9}"/>
    <cellStyle name="Normal 2 24 3 20" xfId="8849" xr:uid="{6C8F89F9-A4C0-4D7A-8F33-F42A2EFFC536}"/>
    <cellStyle name="Normal 2 24 3 21" xfId="8850" xr:uid="{71296E3E-D09B-4D5D-B211-3984E8A072A1}"/>
    <cellStyle name="Normal 2 24 3 22" xfId="8851" xr:uid="{E0A75B39-706C-4C70-ACED-90B3BCFA5386}"/>
    <cellStyle name="Normal 2 24 3 23" xfId="8852" xr:uid="{3F556C44-0F61-428E-831D-23D982F0BB78}"/>
    <cellStyle name="Normal 2 24 3 24" xfId="8853" xr:uid="{B2D07078-258C-4577-BE30-B4C9142BD44C}"/>
    <cellStyle name="Normal 2 24 3 25" xfId="8854" xr:uid="{15FE278B-E805-4E76-B47A-E049F34804CA}"/>
    <cellStyle name="Normal 2 24 3 26" xfId="8855" xr:uid="{EED75C49-9238-404E-A574-8FBC160644AA}"/>
    <cellStyle name="Normal 2 24 3 27" xfId="8856" xr:uid="{4769F03E-4FDD-4506-9E30-C7B41F3F3923}"/>
    <cellStyle name="Normal 2 24 3 28" xfId="8857" xr:uid="{EC26EB00-E0ED-48B4-8927-CA12996C867D}"/>
    <cellStyle name="Normal 2 24 3 29" xfId="8858" xr:uid="{3BD5B112-4985-4B50-B5DB-91AC7772D13B}"/>
    <cellStyle name="Normal 2 24 3 3" xfId="8859" xr:uid="{4A32DE23-046F-4966-BC62-75995AAE5AB8}"/>
    <cellStyle name="Normal 2 24 3 30" xfId="8860" xr:uid="{C411FCD8-DDCC-4858-924C-B90B904B91D6}"/>
    <cellStyle name="Normal 2 24 3 31" xfId="8861" xr:uid="{BE072C13-D357-4004-964D-FA4EC44AEF83}"/>
    <cellStyle name="Normal 2 24 3 32" xfId="8862" xr:uid="{1D8B176F-1617-4471-9ACF-FAB9D218B601}"/>
    <cellStyle name="Normal 2 24 3 33" xfId="8863" xr:uid="{4C564A85-64AC-45EC-B12B-0CD828BAD1A9}"/>
    <cellStyle name="Normal 2 24 3 34" xfId="8864" xr:uid="{E6A3EB44-AF14-400F-A91F-4BD81726BE43}"/>
    <cellStyle name="Normal 2 24 3 35" xfId="8865" xr:uid="{3F8DC453-413B-4662-BE0A-504F48E8C5F5}"/>
    <cellStyle name="Normal 2 24 3 36" xfId="8866" xr:uid="{65EB850E-7213-4739-B429-5FC332CFD47A}"/>
    <cellStyle name="Normal 2 24 3 37" xfId="8867" xr:uid="{D7C5F363-ECF9-4B0E-8746-9D32DE0F1D65}"/>
    <cellStyle name="Normal 2 24 3 38" xfId="8868" xr:uid="{5A5D2AA5-E080-4BB6-BAC1-7CFDA1907D95}"/>
    <cellStyle name="Normal 2 24 3 4" xfId="8869" xr:uid="{B982E866-81ED-430B-8BD7-635F9D8BFC16}"/>
    <cellStyle name="Normal 2 24 3 5" xfId="8870" xr:uid="{45D344DE-7D9E-4984-860E-01493CEC08D0}"/>
    <cellStyle name="Normal 2 24 3 6" xfId="8871" xr:uid="{9C459828-9E83-4421-A022-9FE809274B92}"/>
    <cellStyle name="Normal 2 24 3 7" xfId="8872" xr:uid="{37044139-D2D7-4122-98F5-D8D120BCFA18}"/>
    <cellStyle name="Normal 2 24 3 8" xfId="8873" xr:uid="{3498B068-D9E2-42A1-A8D3-13BBA8F0CF36}"/>
    <cellStyle name="Normal 2 24 3 9" xfId="8874" xr:uid="{7ADB3B89-780C-4B45-ABE5-F96D86EDD304}"/>
    <cellStyle name="Normal 2 24 30" xfId="8875" xr:uid="{FAE4EA7B-88AB-4B6A-A6F2-1801318032CC}"/>
    <cellStyle name="Normal 2 24 31" xfId="8876" xr:uid="{72910CE9-4563-4B9D-801F-72D3F3808834}"/>
    <cellStyle name="Normal 2 24 32" xfId="8877" xr:uid="{CA23DEBE-D966-454D-B184-327F14068F5F}"/>
    <cellStyle name="Normal 2 24 33" xfId="8878" xr:uid="{09222A0A-5BDF-4309-A277-419057A1A16D}"/>
    <cellStyle name="Normal 2 24 34" xfId="8879" xr:uid="{AF509066-2EC0-459F-8AA3-D1F972820C21}"/>
    <cellStyle name="Normal 2 24 35" xfId="8880" xr:uid="{2E2D1493-4574-4C3C-98D5-F2908C26D08B}"/>
    <cellStyle name="Normal 2 24 36" xfId="8881" xr:uid="{7D93E264-F39D-46D7-8C4E-C8F36F08CAFA}"/>
    <cellStyle name="Normal 2 24 37" xfId="8882" xr:uid="{F778A431-0696-4638-843F-62007865C806}"/>
    <cellStyle name="Normal 2 24 38" xfId="8883" xr:uid="{13D8DC10-C56B-4C5E-A5C4-1DE356B22494}"/>
    <cellStyle name="Normal 2 24 39" xfId="8884" xr:uid="{6E63AE18-B520-4E82-A048-99D1586B5FE0}"/>
    <cellStyle name="Normal 2 24 4" xfId="8885" xr:uid="{809634BF-B71C-43B6-B5C8-7AEED80CF0E9}"/>
    <cellStyle name="Normal 2 24 40" xfId="8886" xr:uid="{56DA4274-0197-4E2C-9E43-59B8C95AFDCA}"/>
    <cellStyle name="Normal 2 24 5" xfId="8887" xr:uid="{34BFE244-71C3-471C-8F8B-BD2DE73D5EF5}"/>
    <cellStyle name="Normal 2 24 6" xfId="8888" xr:uid="{ED4799F4-38E3-4075-BF4E-5FDFF414EDC2}"/>
    <cellStyle name="Normal 2 24 7" xfId="8889" xr:uid="{310AFA31-6406-494D-B24C-2AC1CD8EA745}"/>
    <cellStyle name="Normal 2 24 8" xfId="8890" xr:uid="{6FB4D0AE-79DE-4D76-9CC9-75CD993E0028}"/>
    <cellStyle name="Normal 2 24 9" xfId="8891" xr:uid="{7386423C-6548-4F96-BC59-38FEBE441236}"/>
    <cellStyle name="Normal 2 25" xfId="8892" xr:uid="{2F89168E-9B67-46B6-8191-7E04CA135B63}"/>
    <cellStyle name="Normal 2 26" xfId="8893" xr:uid="{399C2DBE-F33C-4987-B197-17271C9FC042}"/>
    <cellStyle name="Normal 2 27" xfId="8894" xr:uid="{E0AAD596-6B57-4919-8E9F-C51EC1CC41C6}"/>
    <cellStyle name="Normal 2 28" xfId="8895" xr:uid="{6EF91C11-6A0D-49DB-A215-6BBBD10FBA4C}"/>
    <cellStyle name="Normal 2 29" xfId="8896" xr:uid="{7B81AF35-FEB2-494E-A3DD-9064F1DA8C6D}"/>
    <cellStyle name="Normal 2 3" xfId="8897" xr:uid="{B8C6992C-7917-4C07-A502-24D94B8D5D0B}"/>
    <cellStyle name="Normal 2 3 10" xfId="8898" xr:uid="{0B883B89-36C1-4E7B-8DF5-723ECB431191}"/>
    <cellStyle name="Normal 2 3 10 2" xfId="8899" xr:uid="{CB23A5FA-0F67-4B3D-8198-A3D182DF6C4E}"/>
    <cellStyle name="Normal 2 3 10 3" xfId="8900" xr:uid="{56AF38F7-7855-4FB7-A39F-29BEE377571D}"/>
    <cellStyle name="Normal 2 3 10 4" xfId="8901" xr:uid="{F7CD4E87-018E-40B5-8480-736C96E4261A}"/>
    <cellStyle name="Normal 2 3 10 5" xfId="8902" xr:uid="{08843ADA-1D25-432B-9A4C-F3C7AAC2B122}"/>
    <cellStyle name="Normal 2 3 10 6" xfId="8903" xr:uid="{57BAAD6E-732E-4EA6-A5E9-46DEFE801450}"/>
    <cellStyle name="Normal 2 3 100" xfId="8904" xr:uid="{3ABA059C-7697-4344-A208-CEA62CB51AE8}"/>
    <cellStyle name="Normal 2 3 101" xfId="8905" xr:uid="{0E96522D-23A4-4206-A600-7232B786D4FF}"/>
    <cellStyle name="Normal 2 3 102" xfId="8906" xr:uid="{9389C129-4C18-4556-932C-8E41F372D81F}"/>
    <cellStyle name="Normal 2 3 103" xfId="8907" xr:uid="{04CA5C5D-55B7-4248-9C51-BFDD58D59BAE}"/>
    <cellStyle name="Normal 2 3 104" xfId="8908" xr:uid="{F9D46722-EC18-4FD0-8781-CF258E116B10}"/>
    <cellStyle name="Normal 2 3 105" xfId="8909" xr:uid="{BF6743DD-CEB3-4B8F-B442-7B98244BEC8B}"/>
    <cellStyle name="Normal 2 3 106" xfId="8910" xr:uid="{2C6AF7B0-9C17-4D77-A170-4A5D183A4B1E}"/>
    <cellStyle name="Normal 2 3 107" xfId="8911" xr:uid="{BE08EABB-7AB9-4063-9FA0-BFF0DBD4CDDA}"/>
    <cellStyle name="Normal 2 3 108" xfId="8912" xr:uid="{B2B927C9-7D81-4DDD-A7AA-D7C5ACAA1947}"/>
    <cellStyle name="Normal 2 3 109" xfId="8913" xr:uid="{40168E0F-F1BD-453D-9B62-B66A5224F3E6}"/>
    <cellStyle name="Normal 2 3 11" xfId="8914" xr:uid="{6F616745-471A-4D7C-BE84-BC39321A850D}"/>
    <cellStyle name="Normal 2 3 11 2" xfId="8915" xr:uid="{C62DF68E-21A8-49A4-97E7-8EE87046B201}"/>
    <cellStyle name="Normal 2 3 11 3" xfId="8916" xr:uid="{C7212FF3-FCAB-4AB8-A88C-FB4386DB764F}"/>
    <cellStyle name="Normal 2 3 11 4" xfId="8917" xr:uid="{4D9DC2E0-530B-469A-B07A-F3F84CCB77BE}"/>
    <cellStyle name="Normal 2 3 11 5" xfId="8918" xr:uid="{87314E0A-934A-4594-9E5F-144690058A4F}"/>
    <cellStyle name="Normal 2 3 11 6" xfId="8919" xr:uid="{40A550DB-24F0-4D32-9714-D0C6C7745C1D}"/>
    <cellStyle name="Normal 2 3 110" xfId="8920" xr:uid="{6F44F7D8-8C4F-4C15-8C2D-E384458A53F1}"/>
    <cellStyle name="Normal 2 3 111" xfId="8921" xr:uid="{2BBC532E-7C08-434B-A9BC-F42E653A3EAD}"/>
    <cellStyle name="Normal 2 3 112" xfId="8922" xr:uid="{B43FA0AC-CAC3-4581-A446-54F4A7AAC235}"/>
    <cellStyle name="Normal 2 3 113" xfId="8923" xr:uid="{B66E16E5-74B1-4A2D-9CBF-1730698E0172}"/>
    <cellStyle name="Normal 2 3 114" xfId="8924" xr:uid="{A97DDDA1-2373-4CF1-A70B-5151CF2B4D60}"/>
    <cellStyle name="Normal 2 3 115" xfId="8925" xr:uid="{0F41047C-BC6C-4C2B-9AE4-EBE344980FB2}"/>
    <cellStyle name="Normal 2 3 116" xfId="8926" xr:uid="{AB4F5FEC-EBB3-41CB-A63B-DDC3B3E6A3FE}"/>
    <cellStyle name="Normal 2 3 117" xfId="8927" xr:uid="{5CAEA339-42D9-4A5B-94CE-13EAB0C80D2D}"/>
    <cellStyle name="Normal 2 3 118" xfId="8928" xr:uid="{EE050000-FAAF-492D-BF33-90EEF158C691}"/>
    <cellStyle name="Normal 2 3 119" xfId="8929" xr:uid="{AE260281-92D0-4033-8DAF-20F69F5ECFE3}"/>
    <cellStyle name="Normal 2 3 12" xfId="8930" xr:uid="{3FD3331D-C3DB-49AB-831E-A921FD8E996E}"/>
    <cellStyle name="Normal 2 3 12 2" xfId="8931" xr:uid="{F6A3F7D2-8CA5-49B2-A08E-80CB89C868A2}"/>
    <cellStyle name="Normal 2 3 12 3" xfId="8932" xr:uid="{DDB5D072-CCA9-48EB-B243-A8EC9EB7596C}"/>
    <cellStyle name="Normal 2 3 12 4" xfId="8933" xr:uid="{ACE63FC9-CF1A-45BC-A36D-A36D06E1008F}"/>
    <cellStyle name="Normal 2 3 12 5" xfId="8934" xr:uid="{67C10BBD-B353-4D00-8768-467CD7B74CEC}"/>
    <cellStyle name="Normal 2 3 12 6" xfId="8935" xr:uid="{500F694F-F6AB-4B22-A58D-8CEBB1D4E6F4}"/>
    <cellStyle name="Normal 2 3 120" xfId="8936" xr:uid="{41970123-B8F7-4808-ADB6-EEFC917B289B}"/>
    <cellStyle name="Normal 2 3 121" xfId="8937" xr:uid="{571EC0B7-FDD6-4E10-99E1-3DC99F4FA038}"/>
    <cellStyle name="Normal 2 3 122" xfId="8938" xr:uid="{86DAF708-88A2-4D6E-9D56-F17B64CC2921}"/>
    <cellStyle name="Normal 2 3 123" xfId="8939" xr:uid="{5F31E488-9DDB-4137-8AFC-CE053909C07D}"/>
    <cellStyle name="Normal 2 3 124" xfId="8940" xr:uid="{84B0CF7B-560C-41E4-815E-7F48CD2B146F}"/>
    <cellStyle name="Normal 2 3 125" xfId="8941" xr:uid="{18DFBAD2-184A-4A09-9B57-D2DBFEBAA51E}"/>
    <cellStyle name="Normal 2 3 126" xfId="8942" xr:uid="{B7002FF8-7BE7-4172-9D1F-20428992F700}"/>
    <cellStyle name="Normal 2 3 13" xfId="8943" xr:uid="{EA7F64F6-D2B6-4CCD-BE41-2752E0CFD18F}"/>
    <cellStyle name="Normal 2 3 13 2" xfId="8944" xr:uid="{2C1D5A9F-367A-4009-951D-AF068FC4B4CC}"/>
    <cellStyle name="Normal 2 3 13 3" xfId="8945" xr:uid="{B07611BA-7B60-49E6-BD6D-70F31CCBC80F}"/>
    <cellStyle name="Normal 2 3 13 4" xfId="8946" xr:uid="{0B56700C-D361-4F1D-9B75-D5530ABE20BE}"/>
    <cellStyle name="Normal 2 3 13 5" xfId="8947" xr:uid="{168FBAE5-8018-42C9-9383-2B047793C745}"/>
    <cellStyle name="Normal 2 3 13 6" xfId="8948" xr:uid="{1730245B-D214-483E-89F1-D798987CC30E}"/>
    <cellStyle name="Normal 2 3 14" xfId="8949" xr:uid="{A45F8737-F233-4DE7-93D1-10EC9EFFC124}"/>
    <cellStyle name="Normal 2 3 14 2" xfId="8950" xr:uid="{5A7456B6-2C19-4C23-A0E6-67FE5539CF56}"/>
    <cellStyle name="Normal 2 3 14 3" xfId="8951" xr:uid="{97BB8D4D-B46A-49ED-9CAA-3E85F1DABE72}"/>
    <cellStyle name="Normal 2 3 14 4" xfId="8952" xr:uid="{DB48DD40-830D-4862-A2CC-01E284C6D8E8}"/>
    <cellStyle name="Normal 2 3 14 5" xfId="8953" xr:uid="{FE4677B0-1E84-4989-B265-45A32F6AA589}"/>
    <cellStyle name="Normal 2 3 14 6" xfId="8954" xr:uid="{214038FD-E666-4F3A-BB4A-357730B85A92}"/>
    <cellStyle name="Normal 2 3 15" xfId="8955" xr:uid="{2481C592-70D9-46C7-8A52-12C746C61A00}"/>
    <cellStyle name="Normal 2 3 15 2" xfId="8956" xr:uid="{24D1408C-ACEF-4852-8F94-0217A0A907C9}"/>
    <cellStyle name="Normal 2 3 15 3" xfId="8957" xr:uid="{1C94A6F9-7D30-489A-8ADE-072AD377B8DD}"/>
    <cellStyle name="Normal 2 3 15 4" xfId="8958" xr:uid="{AC04ABBF-75C2-4846-8767-E4E8DBCD3A44}"/>
    <cellStyle name="Normal 2 3 15 5" xfId="8959" xr:uid="{8E772C0A-2897-43F2-B436-99B43E451B09}"/>
    <cellStyle name="Normal 2 3 15 6" xfId="8960" xr:uid="{BE2238FA-C50E-48CB-870B-73D231D149C8}"/>
    <cellStyle name="Normal 2 3 16" xfId="8961" xr:uid="{C787064C-7652-43F9-900F-3A98D68C8137}"/>
    <cellStyle name="Normal 2 3 16 2" xfId="8962" xr:uid="{35C10075-4A6B-447C-AE42-0520D7278A40}"/>
    <cellStyle name="Normal 2 3 16 3" xfId="8963" xr:uid="{E63A913F-27A4-4985-8859-3C64A145F415}"/>
    <cellStyle name="Normal 2 3 16 4" xfId="8964" xr:uid="{06F9CC42-11EF-4B87-8108-F819492C5C37}"/>
    <cellStyle name="Normal 2 3 16 5" xfId="8965" xr:uid="{91A62772-BF63-4A79-B34B-640DE687D775}"/>
    <cellStyle name="Normal 2 3 16 6" xfId="8966" xr:uid="{C61F1013-DFA1-44DD-A8F3-525BADE71335}"/>
    <cellStyle name="Normal 2 3 17" xfId="8967" xr:uid="{3297DA94-A8B0-4758-BC3E-54AD15247F2E}"/>
    <cellStyle name="Normal 2 3 17 2" xfId="8968" xr:uid="{54C060A6-6682-4BAD-A26B-DE354217920B}"/>
    <cellStyle name="Normal 2 3 17 3" xfId="8969" xr:uid="{2F652502-5819-49F6-AB05-3D075FBB4481}"/>
    <cellStyle name="Normal 2 3 17 4" xfId="8970" xr:uid="{5C80F3E3-7E9C-474E-81FE-F83D29F98BD3}"/>
    <cellStyle name="Normal 2 3 17 5" xfId="8971" xr:uid="{5358C38E-4004-4C05-B6F5-C800DE4F4132}"/>
    <cellStyle name="Normal 2 3 17 6" xfId="8972" xr:uid="{5080048A-9B85-4A17-BE93-7FB04E1B7D90}"/>
    <cellStyle name="Normal 2 3 18" xfId="8973" xr:uid="{418778F2-559A-4C7C-B1F0-29F7A485CAA2}"/>
    <cellStyle name="Normal 2 3 18 2" xfId="8974" xr:uid="{1A8A550D-CCE4-48AE-87D8-E95C515DA485}"/>
    <cellStyle name="Normal 2 3 18 3" xfId="8975" xr:uid="{00B27C2C-31EC-405C-96A6-EBE40B42917F}"/>
    <cellStyle name="Normal 2 3 18 4" xfId="8976" xr:uid="{EB633720-808B-4B0A-82D1-1C5E4FEC5534}"/>
    <cellStyle name="Normal 2 3 18 5" xfId="8977" xr:uid="{F7ED42C4-E292-4CB5-BC52-340DC102B11B}"/>
    <cellStyle name="Normal 2 3 18 6" xfId="8978" xr:uid="{375F2868-16BD-441A-9543-7A6463094E5C}"/>
    <cellStyle name="Normal 2 3 19" xfId="8979" xr:uid="{98C7A5C0-034F-4B14-A3EF-62BD7012A3D4}"/>
    <cellStyle name="Normal 2 3 19 2" xfId="8980" xr:uid="{9AAF0E7E-992F-4B9A-84D0-58A29E85A16C}"/>
    <cellStyle name="Normal 2 3 19 3" xfId="8981" xr:uid="{92648BA3-55C6-4A8E-B833-3F705D1C8442}"/>
    <cellStyle name="Normal 2 3 19 4" xfId="8982" xr:uid="{4E875C04-F1B1-4A9E-BFBE-316B740C77DF}"/>
    <cellStyle name="Normal 2 3 19 5" xfId="8983" xr:uid="{AD68A041-4D3C-496C-9280-F112C69296C5}"/>
    <cellStyle name="Normal 2 3 19 6" xfId="8984" xr:uid="{12267BDE-E461-464D-A412-243335E8365F}"/>
    <cellStyle name="Normal 2 3 2" xfId="8985" xr:uid="{07719CB1-6261-4E1C-9D27-40A4543D8D34}"/>
    <cellStyle name="Normal 2 3 2 10" xfId="8986" xr:uid="{5E3C4742-AD67-4EFD-9F9E-8031B11A0E27}"/>
    <cellStyle name="Normal 2 3 2 10 2" xfId="8987" xr:uid="{1B6C7AD0-2F00-4699-A184-D8A2C799A10F}"/>
    <cellStyle name="Normal 2 3 2 10 3" xfId="8988" xr:uid="{ECAF4318-E08F-4D87-AB44-FB44084DB680}"/>
    <cellStyle name="Normal 2 3 2 10 4" xfId="8989" xr:uid="{4E4DD8B2-7C5E-4CFD-AF26-875C1AE39511}"/>
    <cellStyle name="Normal 2 3 2 10 5" xfId="8990" xr:uid="{CF0A5320-B3B8-4A05-B82C-5B6BBD78BD3E}"/>
    <cellStyle name="Normal 2 3 2 10 6" xfId="8991" xr:uid="{6C80D89F-AA41-4855-A304-C2C98DE78D3C}"/>
    <cellStyle name="Normal 2 3 2 100" xfId="8992" xr:uid="{8FFB668B-85F6-4BEC-8B04-26BE1597697E}"/>
    <cellStyle name="Normal 2 3 2 101" xfId="8993" xr:uid="{372F62C5-09B2-47A9-9104-55315ADA8050}"/>
    <cellStyle name="Normal 2 3 2 102" xfId="8994" xr:uid="{4219D58F-0B0E-4013-BF05-7297E440890F}"/>
    <cellStyle name="Normal 2 3 2 103" xfId="8995" xr:uid="{DDAEC539-BDE2-4FD0-8343-6A1B3A381324}"/>
    <cellStyle name="Normal 2 3 2 104" xfId="8996" xr:uid="{1D5FDC92-EE52-4F25-A574-877B1AA9D453}"/>
    <cellStyle name="Normal 2 3 2 105" xfId="8997" xr:uid="{2D5166AF-B371-4A65-9070-705E50BB5743}"/>
    <cellStyle name="Normal 2 3 2 106" xfId="8998" xr:uid="{B11447F3-5E37-4287-B5FB-FC4BC247F301}"/>
    <cellStyle name="Normal 2 3 2 107" xfId="8999" xr:uid="{5FD683FC-9931-42D4-A396-3DC2DCC01A36}"/>
    <cellStyle name="Normal 2 3 2 108" xfId="9000" xr:uid="{769C904E-0128-4697-8BDC-5F22AFB5FF40}"/>
    <cellStyle name="Normal 2 3 2 109" xfId="9001" xr:uid="{C6B96528-C17E-430C-B3B2-6C034C1FED32}"/>
    <cellStyle name="Normal 2 3 2 11" xfId="9002" xr:uid="{CE4F3A1D-1FAC-47F5-9A1B-2D64AC9DA41C}"/>
    <cellStyle name="Normal 2 3 2 11 2" xfId="9003" xr:uid="{81F52516-49FD-4338-8A5F-FE7BF5BD51CE}"/>
    <cellStyle name="Normal 2 3 2 11 3" xfId="9004" xr:uid="{B52B42B2-5835-44DF-B735-A0F6B12B326E}"/>
    <cellStyle name="Normal 2 3 2 11 4" xfId="9005" xr:uid="{392C1C16-C5FF-467E-9CD3-22BDCB89874A}"/>
    <cellStyle name="Normal 2 3 2 11 5" xfId="9006" xr:uid="{41985A9A-CCFD-4F0D-8040-ED29573C990B}"/>
    <cellStyle name="Normal 2 3 2 11 6" xfId="9007" xr:uid="{2D02926E-C7CE-4B90-A21F-EAE81316A6CE}"/>
    <cellStyle name="Normal 2 3 2 110" xfId="9008" xr:uid="{5124BB87-EA30-4C0D-9C3E-91EA96F60F78}"/>
    <cellStyle name="Normal 2 3 2 111" xfId="9009" xr:uid="{A79855F3-EBC2-4D55-9F69-B11677EE4562}"/>
    <cellStyle name="Normal 2 3 2 12" xfId="9010" xr:uid="{0FB7A876-E4E4-47A6-AD6C-2206DF3721DB}"/>
    <cellStyle name="Normal 2 3 2 12 2" xfId="9011" xr:uid="{4186FA62-8F69-4F85-926F-E0E1AE409535}"/>
    <cellStyle name="Normal 2 3 2 12 3" xfId="9012" xr:uid="{7AA8467D-19C2-4816-A752-1D3A9F2277B7}"/>
    <cellStyle name="Normal 2 3 2 12 4" xfId="9013" xr:uid="{AAEAA81B-AE70-4FDE-9682-64F92DAE49B1}"/>
    <cellStyle name="Normal 2 3 2 12 5" xfId="9014" xr:uid="{6D94643F-5204-44A5-BD45-D779197D512E}"/>
    <cellStyle name="Normal 2 3 2 12 6" xfId="9015" xr:uid="{B215FEBA-B0DB-4C4A-A3CB-F5BCB7386C23}"/>
    <cellStyle name="Normal 2 3 2 13" xfId="9016" xr:uid="{DAB2DF7F-5664-44E0-B531-7B41BF75A873}"/>
    <cellStyle name="Normal 2 3 2 13 2" xfId="9017" xr:uid="{CD133233-1DB1-4205-80E1-50866AC8A560}"/>
    <cellStyle name="Normal 2 3 2 13 3" xfId="9018" xr:uid="{1B5C2476-46E2-4ABC-88A7-7126A51E2368}"/>
    <cellStyle name="Normal 2 3 2 13 4" xfId="9019" xr:uid="{7CAE6B19-4BB6-4D71-8F6F-2E19150E78B0}"/>
    <cellStyle name="Normal 2 3 2 13 5" xfId="9020" xr:uid="{D221B7CE-047E-4882-9147-18D2680642BD}"/>
    <cellStyle name="Normal 2 3 2 13 6" xfId="9021" xr:uid="{3844E04A-1931-4E6C-A27B-C80418CF34B9}"/>
    <cellStyle name="Normal 2 3 2 14" xfId="9022" xr:uid="{A9C7AA91-F54C-4743-84F0-19F03EE68963}"/>
    <cellStyle name="Normal 2 3 2 14 2" xfId="9023" xr:uid="{FFEC4F93-3EE3-4926-A529-389BEA093412}"/>
    <cellStyle name="Normal 2 3 2 14 3" xfId="9024" xr:uid="{9FD5B580-7166-4492-AFD8-C4F7B10B7757}"/>
    <cellStyle name="Normal 2 3 2 14 4" xfId="9025" xr:uid="{A569DDBD-3AFE-41FB-BA4E-EF621B164849}"/>
    <cellStyle name="Normal 2 3 2 14 5" xfId="9026" xr:uid="{B313E41A-AA69-42EE-AE81-7DDE979E79EF}"/>
    <cellStyle name="Normal 2 3 2 14 6" xfId="9027" xr:uid="{6F81EEB1-CDF4-435A-B7A0-7E4DC454306A}"/>
    <cellStyle name="Normal 2 3 2 15" xfId="9028" xr:uid="{AD94C808-83BC-412B-867D-BD05B869514A}"/>
    <cellStyle name="Normal 2 3 2 15 2" xfId="9029" xr:uid="{A1668C12-09EC-4927-AE02-7C9D20931194}"/>
    <cellStyle name="Normal 2 3 2 15 3" xfId="9030" xr:uid="{629C483F-D64A-4A7C-82FF-AE05E9DF9ED6}"/>
    <cellStyle name="Normal 2 3 2 15 4" xfId="9031" xr:uid="{8347FFA3-D5EF-4B39-9132-4E3A899905B3}"/>
    <cellStyle name="Normal 2 3 2 15 5" xfId="9032" xr:uid="{208A0F66-948B-42EA-B5AB-9EB6E0AEC03D}"/>
    <cellStyle name="Normal 2 3 2 15 6" xfId="9033" xr:uid="{860B1886-300F-470B-AEE2-2E6659F50FE1}"/>
    <cellStyle name="Normal 2 3 2 16" xfId="9034" xr:uid="{58C4C1FE-C4B3-43DA-B5B6-C5F639D5AF4C}"/>
    <cellStyle name="Normal 2 3 2 16 2" xfId="9035" xr:uid="{D0B5AD5E-96E8-48F7-8E05-750B92A2E13B}"/>
    <cellStyle name="Normal 2 3 2 16 3" xfId="9036" xr:uid="{A19FCABB-9E8F-4F1B-A710-DAC42A545B17}"/>
    <cellStyle name="Normal 2 3 2 16 4" xfId="9037" xr:uid="{D752FBEC-502E-43DF-B354-8005DC7B1642}"/>
    <cellStyle name="Normal 2 3 2 16 5" xfId="9038" xr:uid="{B762F95D-C7DA-4D4A-BE9F-3863A98543FC}"/>
    <cellStyle name="Normal 2 3 2 16 6" xfId="9039" xr:uid="{E1BDAE22-B999-4940-AC29-A3C94CB60BCE}"/>
    <cellStyle name="Normal 2 3 2 17" xfId="9040" xr:uid="{C712310D-064F-492A-B4D9-D0D85DAAA32D}"/>
    <cellStyle name="Normal 2 3 2 17 2" xfId="9041" xr:uid="{CFEED3FA-4861-4FD3-BCE7-166999A2FCC0}"/>
    <cellStyle name="Normal 2 3 2 17 3" xfId="9042" xr:uid="{C59EEF20-B71F-48A1-98C6-5FA15B1F5704}"/>
    <cellStyle name="Normal 2 3 2 17 4" xfId="9043" xr:uid="{CA84E2AC-43DE-476A-B8D1-A89279ADB074}"/>
    <cellStyle name="Normal 2 3 2 17 5" xfId="9044" xr:uid="{EB5126C0-7B63-4B6F-9E6F-A65296845E7C}"/>
    <cellStyle name="Normal 2 3 2 17 6" xfId="9045" xr:uid="{B3C8210E-B711-4681-B73A-A0DB1C6B56E7}"/>
    <cellStyle name="Normal 2 3 2 18" xfId="9046" xr:uid="{10D1A921-689F-4FD2-8E06-60E87A49DD2C}"/>
    <cellStyle name="Normal 2 3 2 18 2" xfId="9047" xr:uid="{46AC4FD3-EA84-4664-9B0D-7010D49B2A93}"/>
    <cellStyle name="Normal 2 3 2 18 3" xfId="9048" xr:uid="{F7D91A83-2BDC-4D8B-B370-8F64A8F4BB6C}"/>
    <cellStyle name="Normal 2 3 2 18 4" xfId="9049" xr:uid="{33B7E266-EBC8-4315-9C92-B33B38DC584A}"/>
    <cellStyle name="Normal 2 3 2 18 5" xfId="9050" xr:uid="{87D7EA02-045B-43F2-B11E-FD4E8D9FC273}"/>
    <cellStyle name="Normal 2 3 2 18 6" xfId="9051" xr:uid="{111C240B-2FFF-42E4-856D-009A2DB7F7F2}"/>
    <cellStyle name="Normal 2 3 2 19" xfId="9052" xr:uid="{CC750956-3E20-48A1-9BA7-DF71C4457792}"/>
    <cellStyle name="Normal 2 3 2 19 2" xfId="9053" xr:uid="{A9B59FA7-ECD7-4648-B155-000CBBEFAD00}"/>
    <cellStyle name="Normal 2 3 2 19 3" xfId="9054" xr:uid="{751D2F71-434D-43E3-9722-4C14DC724B73}"/>
    <cellStyle name="Normal 2 3 2 19 4" xfId="9055" xr:uid="{9050AC77-9200-47EA-A33D-A3DB0E1E4CEC}"/>
    <cellStyle name="Normal 2 3 2 19 5" xfId="9056" xr:uid="{A34F69B4-7376-4282-BC18-315525BA8B3C}"/>
    <cellStyle name="Normal 2 3 2 19 6" xfId="9057" xr:uid="{0E07F83A-865B-4EEF-A28F-97B09107CCF8}"/>
    <cellStyle name="Normal 2 3 2 2" xfId="9058" xr:uid="{020E0E09-4E73-4B31-8FB3-025A47E6FB13}"/>
    <cellStyle name="Normal 2 3 2 2 10" xfId="9059" xr:uid="{947A5DFF-E13B-4C64-BF93-1B7F672E3C1F}"/>
    <cellStyle name="Normal 2 3 2 2 11" xfId="9060" xr:uid="{3536174E-1B1B-4A41-8272-EF22A501AA77}"/>
    <cellStyle name="Normal 2 3 2 2 12" xfId="9061" xr:uid="{3E26BBC5-062A-47BF-BE66-D88C4B260A97}"/>
    <cellStyle name="Normal 2 3 2 2 13" xfId="9062" xr:uid="{535397B6-5522-454B-841B-A7334669D6D7}"/>
    <cellStyle name="Normal 2 3 2 2 14" xfId="9063" xr:uid="{AB5AAEEC-A58D-4FD6-898D-5F3BFFE5CFF8}"/>
    <cellStyle name="Normal 2 3 2 2 15" xfId="9064" xr:uid="{C5661504-2D11-4B31-8372-227321E81004}"/>
    <cellStyle name="Normal 2 3 2 2 16" xfId="9065" xr:uid="{ECA091C5-0574-4B76-9B90-89D851903503}"/>
    <cellStyle name="Normal 2 3 2 2 17" xfId="9066" xr:uid="{246914CF-0D36-4C9D-942B-D04F057441BB}"/>
    <cellStyle name="Normal 2 3 2 2 18" xfId="9067" xr:uid="{FFA4785A-7645-4E4F-A55C-6ADBF5BF16A3}"/>
    <cellStyle name="Normal 2 3 2 2 19" xfId="9068" xr:uid="{1EECA455-7730-4D4B-AFD0-B14CFE836B83}"/>
    <cellStyle name="Normal 2 3 2 2 2" xfId="9069" xr:uid="{EABE27BA-8C48-4778-BB4A-72ACB1CD0FC9}"/>
    <cellStyle name="Normal 2 3 2 2 2 10" xfId="9070" xr:uid="{A4CEA8C6-6996-4B53-9E0F-168A78CF2D7A}"/>
    <cellStyle name="Normal 2 3 2 2 2 11" xfId="9071" xr:uid="{6EE0E1B2-805E-492B-B67B-FD64011FB992}"/>
    <cellStyle name="Normal 2 3 2 2 2 12" xfId="9072" xr:uid="{18B77C2D-028A-4181-AF5C-54331F8188B6}"/>
    <cellStyle name="Normal 2 3 2 2 2 13" xfId="9073" xr:uid="{0C742FBD-CDF6-4AD9-AF4D-82A6D689C00C}"/>
    <cellStyle name="Normal 2 3 2 2 2 14" xfId="9074" xr:uid="{2A26D2F2-23C7-4E78-B694-9A3DC6161607}"/>
    <cellStyle name="Normal 2 3 2 2 2 15" xfId="9075" xr:uid="{A4B1443B-A0C1-45C8-A6BA-70897ED6BFC6}"/>
    <cellStyle name="Normal 2 3 2 2 2 16" xfId="9076" xr:uid="{0510B6EE-4138-42DE-86FB-EBBD4A5F3601}"/>
    <cellStyle name="Normal 2 3 2 2 2 17" xfId="9077" xr:uid="{46A2E1D3-B70C-4268-917C-86EA0787086E}"/>
    <cellStyle name="Normal 2 3 2 2 2 18" xfId="9078" xr:uid="{292707F0-B2C9-42CF-BD97-EBA203D21626}"/>
    <cellStyle name="Normal 2 3 2 2 2 19" xfId="9079" xr:uid="{8B83D5C0-F87E-44F8-A5F6-27B4CA40A501}"/>
    <cellStyle name="Normal 2 3 2 2 2 2" xfId="9080" xr:uid="{08FA13B4-C1C2-4897-BCE3-755F716332B8}"/>
    <cellStyle name="Normal 2 3 2 2 2 2 10" xfId="9081" xr:uid="{3011D385-883E-4C62-ADD9-5C53127488B9}"/>
    <cellStyle name="Normal 2 3 2 2 2 2 11" xfId="9082" xr:uid="{875599EA-9937-4180-B9A0-B01C1F6D7651}"/>
    <cellStyle name="Normal 2 3 2 2 2 2 12" xfId="9083" xr:uid="{50254BE4-BDAE-4A32-AD63-303DB89A8F1C}"/>
    <cellStyle name="Normal 2 3 2 2 2 2 13" xfId="9084" xr:uid="{47B6B065-CB9F-42C1-B407-B1F8E049459D}"/>
    <cellStyle name="Normal 2 3 2 2 2 2 14" xfId="9085" xr:uid="{03F2F650-FC61-4B89-9BE2-2306423B3401}"/>
    <cellStyle name="Normal 2 3 2 2 2 2 15" xfId="9086" xr:uid="{5D35CC96-BBC2-4E92-871A-1B782F487A69}"/>
    <cellStyle name="Normal 2 3 2 2 2 2 16" xfId="9087" xr:uid="{1A8C6FDA-020D-40C0-8BB1-399C52F16462}"/>
    <cellStyle name="Normal 2 3 2 2 2 2 17" xfId="9088" xr:uid="{88D3E28A-0367-4426-A3EF-48535DBDA21F}"/>
    <cellStyle name="Normal 2 3 2 2 2 2 18" xfId="9089" xr:uid="{C99EBBE9-4EB7-4722-95A4-E7ED7C07A2C2}"/>
    <cellStyle name="Normal 2 3 2 2 2 2 19" xfId="9090" xr:uid="{537D482F-4068-404C-A64C-F2595903AC7B}"/>
    <cellStyle name="Normal 2 3 2 2 2 2 2" xfId="9091" xr:uid="{21D701E8-7B26-4760-AFAA-742B1EDF5CE0}"/>
    <cellStyle name="Normal 2 3 2 2 2 2 2 10" xfId="9092" xr:uid="{88B6D551-0339-4849-90DA-D89D18E7C4F8}"/>
    <cellStyle name="Normal 2 3 2 2 2 2 2 11" xfId="9093" xr:uid="{FE477B6B-3063-4524-AE4F-011BFA99FC5A}"/>
    <cellStyle name="Normal 2 3 2 2 2 2 2 12" xfId="9094" xr:uid="{18AFAC95-7A32-4503-93C6-66D772BC528D}"/>
    <cellStyle name="Normal 2 3 2 2 2 2 2 13" xfId="9095" xr:uid="{7E88BD16-869E-49D4-9EB1-C403B7C35AB0}"/>
    <cellStyle name="Normal 2 3 2 2 2 2 2 14" xfId="9096" xr:uid="{F8247E72-250B-41D1-956B-02A1DD4D4198}"/>
    <cellStyle name="Normal 2 3 2 2 2 2 2 15" xfId="9097" xr:uid="{A6F60733-F69D-44CB-A13A-B8C2903EF0FB}"/>
    <cellStyle name="Normal 2 3 2 2 2 2 2 16" xfId="9098" xr:uid="{F877F5B1-56D1-4000-8F64-51731D5F0EC7}"/>
    <cellStyle name="Normal 2 3 2 2 2 2 2 17" xfId="9099" xr:uid="{E98169B8-4014-4C95-BA7D-E0D449432807}"/>
    <cellStyle name="Normal 2 3 2 2 2 2 2 18" xfId="9100" xr:uid="{93AE23F9-E93B-4D63-926D-B69D9A56F493}"/>
    <cellStyle name="Normal 2 3 2 2 2 2 2 19" xfId="9101" xr:uid="{9CC3A276-D02C-4946-8C9F-278524B0B084}"/>
    <cellStyle name="Normal 2 3 2 2 2 2 2 2" xfId="9102" xr:uid="{4FCED841-19A0-400D-88E6-738FE5CED595}"/>
    <cellStyle name="Normal 2 3 2 2 2 2 2 20" xfId="9103" xr:uid="{09B95424-17BD-4B07-AC81-C88D2FFEE6C8}"/>
    <cellStyle name="Normal 2 3 2 2 2 2 2 21" xfId="9104" xr:uid="{5C70036D-F691-4E0B-8B18-651414E164E3}"/>
    <cellStyle name="Normal 2 3 2 2 2 2 2 22" xfId="9105" xr:uid="{EBA23634-10C3-4A47-93AC-C3F0DF48E9F6}"/>
    <cellStyle name="Normal 2 3 2 2 2 2 2 23" xfId="9106" xr:uid="{E65E79BE-5DF8-4C7C-9243-89EE8ED0D808}"/>
    <cellStyle name="Normal 2 3 2 2 2 2 2 24" xfId="9107" xr:uid="{292CB66B-E118-4286-9044-4171528F59AE}"/>
    <cellStyle name="Normal 2 3 2 2 2 2 2 25" xfId="9108" xr:uid="{239A4753-6B80-4B41-934D-3E26F1DC70D7}"/>
    <cellStyle name="Normal 2 3 2 2 2 2 2 26" xfId="9109" xr:uid="{F8E9D10B-5375-462C-A777-C5338F60DBB7}"/>
    <cellStyle name="Normal 2 3 2 2 2 2 2 27" xfId="9110" xr:uid="{83A39480-8E4C-4F77-872B-F8E2EDAAFC34}"/>
    <cellStyle name="Normal 2 3 2 2 2 2 2 28" xfId="9111" xr:uid="{798BF35A-8750-4B45-A164-F2F1151CAD78}"/>
    <cellStyle name="Normal 2 3 2 2 2 2 2 29" xfId="9112" xr:uid="{39B67FBC-D26F-46D0-905E-EE099E81894A}"/>
    <cellStyle name="Normal 2 3 2 2 2 2 2 3" xfId="9113" xr:uid="{B401729E-E703-46D0-95B1-2254A99D1062}"/>
    <cellStyle name="Normal 2 3 2 2 2 2 2 30" xfId="9114" xr:uid="{05C348A5-699D-405C-850E-90B666B2352A}"/>
    <cellStyle name="Normal 2 3 2 2 2 2 2 31" xfId="9115" xr:uid="{1668693E-D991-4DF1-B188-A7A5E735AF16}"/>
    <cellStyle name="Normal 2 3 2 2 2 2 2 32" xfId="9116" xr:uid="{E5044A75-B7DE-4DD6-908C-E3774F8E98C2}"/>
    <cellStyle name="Normal 2 3 2 2 2 2 2 33" xfId="9117" xr:uid="{3793AA4F-2CB9-457F-A3E2-D0D4BF91D51E}"/>
    <cellStyle name="Normal 2 3 2 2 2 2 2 34" xfId="9118" xr:uid="{B365E476-A7DF-43A2-86D7-09541D2EE041}"/>
    <cellStyle name="Normal 2 3 2 2 2 2 2 35" xfId="9119" xr:uid="{C0E21EAD-2376-4F15-91C3-EA6F871EBDC2}"/>
    <cellStyle name="Normal 2 3 2 2 2 2 2 36" xfId="9120" xr:uid="{0ACFB31E-C906-4FA7-A6B7-356D03A54044}"/>
    <cellStyle name="Normal 2 3 2 2 2 2 2 37" xfId="9121" xr:uid="{ED110FE1-F8EF-4CE0-84BC-C1FA5B53C735}"/>
    <cellStyle name="Normal 2 3 2 2 2 2 2 38" xfId="9122" xr:uid="{6957CA38-4D47-40A6-8E96-903E236DC8DB}"/>
    <cellStyle name="Normal 2 3 2 2 2 2 2 4" xfId="9123" xr:uid="{F591BD33-B6A5-42C9-9C80-1AF01B924B43}"/>
    <cellStyle name="Normal 2 3 2 2 2 2 2 5" xfId="9124" xr:uid="{55BD32EF-2F3B-414B-8120-55E7B332F652}"/>
    <cellStyle name="Normal 2 3 2 2 2 2 2 6" xfId="9125" xr:uid="{8A35DE31-6842-4721-A066-6271B33D27E7}"/>
    <cellStyle name="Normal 2 3 2 2 2 2 2 7" xfId="9126" xr:uid="{54A29A77-20FF-46B1-8B79-A418C25FDB7A}"/>
    <cellStyle name="Normal 2 3 2 2 2 2 2 8" xfId="9127" xr:uid="{EB84BBD0-9C00-4167-BF30-8E5DE8895AF1}"/>
    <cellStyle name="Normal 2 3 2 2 2 2 2 9" xfId="9128" xr:uid="{67BF73F9-67F8-42D5-A41D-85221525536E}"/>
    <cellStyle name="Normal 2 3 2 2 2 2 20" xfId="9129" xr:uid="{A3E38C42-E86E-4C0E-B319-A76698A236D0}"/>
    <cellStyle name="Normal 2 3 2 2 2 2 21" xfId="9130" xr:uid="{10247EA0-2C4C-46B1-84D8-E4BC7FC9DDE3}"/>
    <cellStyle name="Normal 2 3 2 2 2 2 22" xfId="9131" xr:uid="{9361F2C9-5784-4B94-BD79-39CCD1AEBE98}"/>
    <cellStyle name="Normal 2 3 2 2 2 2 23" xfId="9132" xr:uid="{03721577-4423-48C6-A096-D838F8FCD798}"/>
    <cellStyle name="Normal 2 3 2 2 2 2 24" xfId="9133" xr:uid="{64E7438D-BACD-4133-BF6E-06347F4D215F}"/>
    <cellStyle name="Normal 2 3 2 2 2 2 25" xfId="9134" xr:uid="{EBB7B10F-E490-43CA-AC82-A3DD17E6BC9B}"/>
    <cellStyle name="Normal 2 3 2 2 2 2 26" xfId="9135" xr:uid="{072341E7-AB31-4AAA-A3C5-9DF359F5DF21}"/>
    <cellStyle name="Normal 2 3 2 2 2 2 27" xfId="9136" xr:uid="{705FD21C-9258-4047-BE08-4D9C14CAD903}"/>
    <cellStyle name="Normal 2 3 2 2 2 2 28" xfId="9137" xr:uid="{3207D6A8-B257-4DB1-89AC-04ED9D99CDCE}"/>
    <cellStyle name="Normal 2 3 2 2 2 2 29" xfId="9138" xr:uid="{DEF533DB-9247-4D90-B424-99C1767C3DD9}"/>
    <cellStyle name="Normal 2 3 2 2 2 2 3" xfId="9139" xr:uid="{D574293A-A079-4316-9567-0CF4BB27CF4E}"/>
    <cellStyle name="Normal 2 3 2 2 2 2 30" xfId="9140" xr:uid="{B6FAA68E-34ED-4865-A5EE-A4C88E326886}"/>
    <cellStyle name="Normal 2 3 2 2 2 2 31" xfId="9141" xr:uid="{1C779230-5543-44FF-B467-8F158171F092}"/>
    <cellStyle name="Normal 2 3 2 2 2 2 32" xfId="9142" xr:uid="{F63F8C26-37F0-43AC-BC04-A0826F4EDCF6}"/>
    <cellStyle name="Normal 2 3 2 2 2 2 33" xfId="9143" xr:uid="{59516E0E-4575-43AC-9D67-26643C9B3125}"/>
    <cellStyle name="Normal 2 3 2 2 2 2 34" xfId="9144" xr:uid="{2F7E2C27-ECF3-4175-A3E3-347A7D068D1A}"/>
    <cellStyle name="Normal 2 3 2 2 2 2 35" xfId="9145" xr:uid="{33B34B23-E4A9-41F5-B480-C7B28CE3644E}"/>
    <cellStyle name="Normal 2 3 2 2 2 2 36" xfId="9146" xr:uid="{DC54C686-8D45-4E75-AA34-858848BCFEB2}"/>
    <cellStyle name="Normal 2 3 2 2 2 2 37" xfId="9147" xr:uid="{9BC13E73-FCA3-4D21-B53F-444B14674C7B}"/>
    <cellStyle name="Normal 2 3 2 2 2 2 38" xfId="9148" xr:uid="{7F47E78B-C22D-4064-A972-C7B2C37D617A}"/>
    <cellStyle name="Normal 2 3 2 2 2 2 39" xfId="9149" xr:uid="{08787412-D539-4985-A611-4C43F06364D3}"/>
    <cellStyle name="Normal 2 3 2 2 2 2 4" xfId="9150" xr:uid="{3484223A-E9B9-4AF7-A9CC-5A75659C4D94}"/>
    <cellStyle name="Normal 2 3 2 2 2 2 40" xfId="9151" xr:uid="{44DEC469-47CB-47C8-9234-2A4DF6918058}"/>
    <cellStyle name="Normal 2 3 2 2 2 2 41" xfId="9152" xr:uid="{C2A74215-A0BA-42DB-8003-7A13E8BD546A}"/>
    <cellStyle name="Normal 2 3 2 2 2 2 42" xfId="9153" xr:uid="{6477DAB5-8E5C-438C-95EB-09D375E12134}"/>
    <cellStyle name="Normal 2 3 2 2 2 2 43" xfId="9154" xr:uid="{0404D012-5201-45B6-95BB-D8463B2CA95C}"/>
    <cellStyle name="Normal 2 3 2 2 2 2 44" xfId="9155" xr:uid="{DE4C4A9D-47A9-47D9-BE79-5BF68829A5CA}"/>
    <cellStyle name="Normal 2 3 2 2 2 2 45" xfId="9156" xr:uid="{A6EEC73E-A009-473E-9103-0DCBB2763BC1}"/>
    <cellStyle name="Normal 2 3 2 2 2 2 46" xfId="9157" xr:uid="{273B53B2-E35E-4682-8CEE-9DCB8BC69534}"/>
    <cellStyle name="Normal 2 3 2 2 2 2 47" xfId="9158" xr:uid="{17368908-8631-436B-BF70-C4CB124515C9}"/>
    <cellStyle name="Normal 2 3 2 2 2 2 5" xfId="9159" xr:uid="{98BD92C1-3CB8-4DA9-B8B7-0EE4FCDF8982}"/>
    <cellStyle name="Normal 2 3 2 2 2 2 6" xfId="9160" xr:uid="{D64B33CA-D38C-4A5D-BD2F-669362EB02CC}"/>
    <cellStyle name="Normal 2 3 2 2 2 2 7" xfId="9161" xr:uid="{A006AE4A-F6D9-4CB2-8E82-D776B8B3A3AB}"/>
    <cellStyle name="Normal 2 3 2 2 2 2 8" xfId="9162" xr:uid="{75CEF93C-5F4B-4FD6-8F67-E26B841E1249}"/>
    <cellStyle name="Normal 2 3 2 2 2 2 9" xfId="9163" xr:uid="{42C2AF80-4148-427D-804A-2742E338483E}"/>
    <cellStyle name="Normal 2 3 2 2 2 20" xfId="9164" xr:uid="{FF13EA01-AC3C-4845-9B2C-201D58BC2EDE}"/>
    <cellStyle name="Normal 2 3 2 2 2 21" xfId="9165" xr:uid="{BEAB7500-4C09-43AD-AE91-0D83EC63D545}"/>
    <cellStyle name="Normal 2 3 2 2 2 22" xfId="9166" xr:uid="{C125AD96-3E1F-4AEB-88D5-B6C9175EDA56}"/>
    <cellStyle name="Normal 2 3 2 2 2 23" xfId="9167" xr:uid="{BAD0F24A-EBBC-4F30-A055-705E7C6F4BCB}"/>
    <cellStyle name="Normal 2 3 2 2 2 24" xfId="9168" xr:uid="{570049D3-CAF3-47A2-832F-1BC8501A3068}"/>
    <cellStyle name="Normal 2 3 2 2 2 25" xfId="9169" xr:uid="{D1E0BD64-DEB9-4D9B-BE51-B88182458EC0}"/>
    <cellStyle name="Normal 2 3 2 2 2 26" xfId="9170" xr:uid="{0EAC7FA6-24C1-4E45-BDAF-C0C29FBD8549}"/>
    <cellStyle name="Normal 2 3 2 2 2 27" xfId="9171" xr:uid="{FA85661A-3A42-4657-9E6D-F20D2C38E1FF}"/>
    <cellStyle name="Normal 2 3 2 2 2 28" xfId="9172" xr:uid="{7FADFCA9-B6CD-469F-8B31-8EB25704B4A7}"/>
    <cellStyle name="Normal 2 3 2 2 2 29" xfId="9173" xr:uid="{A8430C01-898E-47D3-A16B-D5ABB2DCBE76}"/>
    <cellStyle name="Normal 2 3 2 2 2 3" xfId="9174" xr:uid="{F3B69CF6-248A-4B63-B9BF-133039751AF7}"/>
    <cellStyle name="Normal 2 3 2 2 2 30" xfId="9175" xr:uid="{D5FAAF44-2269-4A0D-B9BE-78159EE16E1E}"/>
    <cellStyle name="Normal 2 3 2 2 2 31" xfId="9176" xr:uid="{951CF4B1-3FA4-404F-821E-19BABC55B80A}"/>
    <cellStyle name="Normal 2 3 2 2 2 32" xfId="9177" xr:uid="{6C3DE04B-2ACD-4A98-98CE-2DA7F91650DB}"/>
    <cellStyle name="Normal 2 3 2 2 2 33" xfId="9178" xr:uid="{35EE66D0-C35E-4393-AA22-4D1486CC5912}"/>
    <cellStyle name="Normal 2 3 2 2 2 34" xfId="9179" xr:uid="{8293184E-CE49-4906-AB4C-A6BBBB19672B}"/>
    <cellStyle name="Normal 2 3 2 2 2 35" xfId="9180" xr:uid="{C8202424-97A6-4856-8AFE-212B87538BBD}"/>
    <cellStyle name="Normal 2 3 2 2 2 36" xfId="9181" xr:uid="{03CCEC29-4813-4BD0-A220-D81B037EDEB3}"/>
    <cellStyle name="Normal 2 3 2 2 2 37" xfId="9182" xr:uid="{E5B7C30C-12C5-4170-B363-C0B37FA097E6}"/>
    <cellStyle name="Normal 2 3 2 2 2 38" xfId="9183" xr:uid="{161C9836-7E7B-45DF-9357-D541CFBCC269}"/>
    <cellStyle name="Normal 2 3 2 2 2 39" xfId="9184" xr:uid="{97AA0CE1-5561-4C9C-912A-D7A74CCCED49}"/>
    <cellStyle name="Normal 2 3 2 2 2 4" xfId="9185" xr:uid="{7C2B0E88-8758-451F-8C46-3031D4F6F970}"/>
    <cellStyle name="Normal 2 3 2 2 2 40" xfId="9186" xr:uid="{C8B64A31-73F9-4884-892B-F8692E919244}"/>
    <cellStyle name="Normal 2 3 2 2 2 41" xfId="9187" xr:uid="{204404E5-86BA-4117-91D6-7F6208D73D7E}"/>
    <cellStyle name="Normal 2 3 2 2 2 42" xfId="9188" xr:uid="{AAC57E2D-E1EE-449F-BF8A-0B877504A522}"/>
    <cellStyle name="Normal 2 3 2 2 2 43" xfId="9189" xr:uid="{C832602D-4816-4DC3-AEB8-0B33B23C5C4B}"/>
    <cellStyle name="Normal 2 3 2 2 2 44" xfId="9190" xr:uid="{8DE1783B-2D3A-4E09-B280-B131CA3D242C}"/>
    <cellStyle name="Normal 2 3 2 2 2 45" xfId="9191" xr:uid="{E92137E1-66A0-4234-9380-211365F04681}"/>
    <cellStyle name="Normal 2 3 2 2 2 46" xfId="9192" xr:uid="{7B9274B6-3F07-4C09-BC41-7D804971B6E3}"/>
    <cellStyle name="Normal 2 3 2 2 2 47" xfId="9193" xr:uid="{61873B25-6013-4E21-A47A-E9051B85CA6C}"/>
    <cellStyle name="Normal 2 3 2 2 2 48" xfId="9194" xr:uid="{B734DA4C-5C00-4E08-8D0B-C29293A59053}"/>
    <cellStyle name="Normal 2 3 2 2 2 49" xfId="9195" xr:uid="{BE26039C-1033-470E-89D2-99131E4A6994}"/>
    <cellStyle name="Normal 2 3 2 2 2 5" xfId="9196" xr:uid="{A175B1D5-71F6-4EF8-BC62-A6697E10BF3F}"/>
    <cellStyle name="Normal 2 3 2 2 2 50" xfId="9197" xr:uid="{BA67C416-6DF4-44E8-94C8-F4CF25CF57C5}"/>
    <cellStyle name="Normal 2 3 2 2 2 51" xfId="9198" xr:uid="{73DD831F-E5A9-47E2-832F-7B1E1D255A79}"/>
    <cellStyle name="Normal 2 3 2 2 2 52" xfId="9199" xr:uid="{F2E91F69-3D8F-405B-BC5D-BBDB9C281A76}"/>
    <cellStyle name="Normal 2 3 2 2 2 6" xfId="9200" xr:uid="{1BD7C72A-DC3E-45F2-9310-41F92EB7286C}"/>
    <cellStyle name="Normal 2 3 2 2 2 7" xfId="9201" xr:uid="{32191611-E8A2-4EBE-84E1-6F093BC07401}"/>
    <cellStyle name="Normal 2 3 2 2 2 8" xfId="9202" xr:uid="{588A915D-37BF-486F-B8EB-465411F9C3AB}"/>
    <cellStyle name="Normal 2 3 2 2 2 9" xfId="9203" xr:uid="{545D3BE4-8787-485D-B2CD-D438FE1D6B68}"/>
    <cellStyle name="Normal 2 3 2 2 20" xfId="9204" xr:uid="{5FB14046-EF4D-4B36-A846-3B42645386FE}"/>
    <cellStyle name="Normal 2 3 2 2 21" xfId="9205" xr:uid="{8113A6C0-A683-4874-9E33-AB71CEE8E537}"/>
    <cellStyle name="Normal 2 3 2 2 22" xfId="9206" xr:uid="{B62BA76A-7656-450D-ADA2-516B598550D7}"/>
    <cellStyle name="Normal 2 3 2 2 23" xfId="9207" xr:uid="{5EBAE9F7-50EA-438D-8C99-03ABD31C6682}"/>
    <cellStyle name="Normal 2 3 2 2 24" xfId="9208" xr:uid="{F8668E89-5131-4E33-9C22-DD97F5797DEE}"/>
    <cellStyle name="Normal 2 3 2 2 25" xfId="9209" xr:uid="{CFCCEBEB-2E42-4C6D-8BF7-2F9FEB69B435}"/>
    <cellStyle name="Normal 2 3 2 2 26" xfId="9210" xr:uid="{9D585868-D714-4714-9DFC-8B29CC450CB0}"/>
    <cellStyle name="Normal 2 3 2 2 27" xfId="9211" xr:uid="{EFB83615-FEE8-41DC-AF04-9D93C601087E}"/>
    <cellStyle name="Normal 2 3 2 2 28" xfId="9212" xr:uid="{5F707D88-066E-47F8-B4CD-8DC16CB842BC}"/>
    <cellStyle name="Normal 2 3 2 2 29" xfId="9213" xr:uid="{665D38D3-C41D-4D23-B43A-934FE1955345}"/>
    <cellStyle name="Normal 2 3 2 2 3" xfId="9214" xr:uid="{8F98F4BE-2BC5-4DB1-AD54-25AD7D1AE962}"/>
    <cellStyle name="Normal 2 3 2 2 3 2" xfId="9215" xr:uid="{6B3D6BB4-0D6F-418F-A2B4-481E9363A0E3}"/>
    <cellStyle name="Normal 2 3 2 2 3 3" xfId="9216" xr:uid="{8DFF639F-D8B5-41FB-A6D7-C1CA5B933E8C}"/>
    <cellStyle name="Normal 2 3 2 2 3 4" xfId="9217" xr:uid="{10A09D08-5DC9-40AB-B8DF-2B6C2BD4DD49}"/>
    <cellStyle name="Normal 2 3 2 2 3 5" xfId="9218" xr:uid="{B4E41BD2-6176-403D-B447-06A30385D1F5}"/>
    <cellStyle name="Normal 2 3 2 2 3 6" xfId="9219" xr:uid="{D9650A18-B29A-4BC5-ABEA-8349B894F04B}"/>
    <cellStyle name="Normal 2 3 2 2 30" xfId="9220" xr:uid="{90237999-517B-4E78-9BFB-6DBD2319D1C8}"/>
    <cellStyle name="Normal 2 3 2 2 31" xfId="9221" xr:uid="{49E9C7CA-882F-421D-839E-9531A1E64405}"/>
    <cellStyle name="Normal 2 3 2 2 32" xfId="9222" xr:uid="{527CF123-1166-4BC1-9D19-57F5AF464956}"/>
    <cellStyle name="Normal 2 3 2 2 33" xfId="9223" xr:uid="{1FA34A0A-FB8F-4804-A148-2CC5CE93DCA2}"/>
    <cellStyle name="Normal 2 3 2 2 34" xfId="9224" xr:uid="{5E5288FB-5495-4660-8A48-755C30DB16B7}"/>
    <cellStyle name="Normal 2 3 2 2 35" xfId="9225" xr:uid="{04F81EC4-448F-43AC-9F8B-96BFDB34AC3F}"/>
    <cellStyle name="Normal 2 3 2 2 36" xfId="9226" xr:uid="{A4328190-9E4B-4228-B2A6-572494AF63B0}"/>
    <cellStyle name="Normal 2 3 2 2 37" xfId="9227" xr:uid="{E774A577-B6CE-4DB0-AAB3-5F9E07F4970A}"/>
    <cellStyle name="Normal 2 3 2 2 38" xfId="9228" xr:uid="{C9ECEF30-3C80-41A2-BAEA-34978A6084FA}"/>
    <cellStyle name="Normal 2 3 2 2 39" xfId="9229" xr:uid="{C8FED341-9D00-4BF8-AE03-C4C19DA86081}"/>
    <cellStyle name="Normal 2 3 2 2 4" xfId="9230" xr:uid="{36D7DC5F-3FE0-448F-9F2E-E8272F6B9884}"/>
    <cellStyle name="Normal 2 3 2 2 4 2" xfId="9231" xr:uid="{8B05A8B7-5D1F-41D2-9A15-1D55EFAEC340}"/>
    <cellStyle name="Normal 2 3 2 2 4 3" xfId="9232" xr:uid="{87BB289F-4513-4A0D-AAF7-16EA3818B187}"/>
    <cellStyle name="Normal 2 3 2 2 4 4" xfId="9233" xr:uid="{9DB59683-79A2-4852-ADBE-F7500086F830}"/>
    <cellStyle name="Normal 2 3 2 2 4 5" xfId="9234" xr:uid="{88359BAD-9516-48D7-98E3-F4B793A25C1F}"/>
    <cellStyle name="Normal 2 3 2 2 4 6" xfId="9235" xr:uid="{E338FBED-2732-43F4-99DA-ABDBC74FC6B4}"/>
    <cellStyle name="Normal 2 3 2 2 40" xfId="9236" xr:uid="{054FCCEA-D2A5-4F22-A6D5-EC0AB34FCBEE}"/>
    <cellStyle name="Normal 2 3 2 2 41" xfId="9237" xr:uid="{48F0C2FC-7307-4EF5-A9EC-16CE16942C38}"/>
    <cellStyle name="Normal 2 3 2 2 42" xfId="9238" xr:uid="{53988692-CA25-45D9-BA50-C37F6200EAE3}"/>
    <cellStyle name="Normal 2 3 2 2 43" xfId="9239" xr:uid="{BF619E3E-C9BA-42A9-B8CF-B61A0EEE11BD}"/>
    <cellStyle name="Normal 2 3 2 2 44" xfId="9240" xr:uid="{E1F2A521-10EA-4CC7-A8F3-974A4249359E}"/>
    <cellStyle name="Normal 2 3 2 2 45" xfId="9241" xr:uid="{674645E2-4525-497D-9B59-68F01CE11FB7}"/>
    <cellStyle name="Normal 2 3 2 2 46" xfId="9242" xr:uid="{AFC2DCD6-181A-4B47-867B-C67551FBE2A6}"/>
    <cellStyle name="Normal 2 3 2 2 47" xfId="9243" xr:uid="{2703A2DA-4D71-4EBD-8836-8FE93CEC53E6}"/>
    <cellStyle name="Normal 2 3 2 2 48" xfId="9244" xr:uid="{19903FFA-9963-4C4C-A8CE-1124892AAFC2}"/>
    <cellStyle name="Normal 2 3 2 2 5" xfId="9245" xr:uid="{68F8AB4F-CBD2-47FD-AD3F-157454CA16C5}"/>
    <cellStyle name="Normal 2 3 2 2 5 2" xfId="9246" xr:uid="{6CFA1512-4FC5-4CD7-BA9A-50DF312BF256}"/>
    <cellStyle name="Normal 2 3 2 2 5 3" xfId="9247" xr:uid="{14E92482-3EBC-4097-BD2C-62395769BE25}"/>
    <cellStyle name="Normal 2 3 2 2 5 4" xfId="9248" xr:uid="{2A9519F4-70C6-4821-86B4-773B83805B37}"/>
    <cellStyle name="Normal 2 3 2 2 5 5" xfId="9249" xr:uid="{86AE3FE6-C33C-41F0-8ABF-2BB836291F1A}"/>
    <cellStyle name="Normal 2 3 2 2 5 6" xfId="9250" xr:uid="{C99A7F82-7449-456B-9A7E-C639B0E98A0F}"/>
    <cellStyle name="Normal 2 3 2 2 6" xfId="9251" xr:uid="{C9F9FEF3-AEF1-4D77-9CDB-76277CA20FBB}"/>
    <cellStyle name="Normal 2 3 2 2 6 2" xfId="9252" xr:uid="{8A80F635-D237-42C2-83DA-D826F0399AE2}"/>
    <cellStyle name="Normal 2 3 2 2 6 3" xfId="9253" xr:uid="{4E786959-9E36-4EA4-8C7E-12D0EF5B7816}"/>
    <cellStyle name="Normal 2 3 2 2 6 4" xfId="9254" xr:uid="{DBA52D3A-83DE-4FAD-BF11-8CB6C2616055}"/>
    <cellStyle name="Normal 2 3 2 2 6 5" xfId="9255" xr:uid="{13FB314F-7E86-4598-8196-758C47F9A5A2}"/>
    <cellStyle name="Normal 2 3 2 2 6 6" xfId="9256" xr:uid="{FDF5A085-5CBF-4825-924A-A4971DC1DD46}"/>
    <cellStyle name="Normal 2 3 2 2 7" xfId="9257" xr:uid="{C5BB0D73-F8FD-45D7-8E2F-3B2FA6DA6D26}"/>
    <cellStyle name="Normal 2 3 2 2 7 10" xfId="9258" xr:uid="{BD0E02E9-ACAD-4BD6-A2DA-E9FCDAC35DF3}"/>
    <cellStyle name="Normal 2 3 2 2 7 11" xfId="9259" xr:uid="{A3E442B7-3087-4772-AA74-126F2C6BBAD0}"/>
    <cellStyle name="Normal 2 3 2 2 7 12" xfId="9260" xr:uid="{18036D01-C12E-4DEE-A542-01996BD326A0}"/>
    <cellStyle name="Normal 2 3 2 2 7 13" xfId="9261" xr:uid="{6AC5DB34-F3C3-4CA2-905A-6F0F2DE26301}"/>
    <cellStyle name="Normal 2 3 2 2 7 14" xfId="9262" xr:uid="{A3426722-DDE6-4F72-B836-5323A7A91EA1}"/>
    <cellStyle name="Normal 2 3 2 2 7 15" xfId="9263" xr:uid="{58C15BC4-706A-47F7-A4A9-3B82914FBF30}"/>
    <cellStyle name="Normal 2 3 2 2 7 16" xfId="9264" xr:uid="{99DA31CB-FBD4-4170-A49A-79A9782F8536}"/>
    <cellStyle name="Normal 2 3 2 2 7 17" xfId="9265" xr:uid="{202545D3-6538-4532-907A-99E5DA6F5B20}"/>
    <cellStyle name="Normal 2 3 2 2 7 18" xfId="9266" xr:uid="{9E2A6930-7356-4C9B-8896-831C0E7E20A6}"/>
    <cellStyle name="Normal 2 3 2 2 7 19" xfId="9267" xr:uid="{517376A5-63ED-41F6-BB9A-67CE690260BD}"/>
    <cellStyle name="Normal 2 3 2 2 7 2" xfId="9268" xr:uid="{0337F17F-1329-4B32-BBFA-01571104C1AA}"/>
    <cellStyle name="Normal 2 3 2 2 7 2 10" xfId="9269" xr:uid="{22DFBAB5-1DEA-422C-9EB8-3650C1FC4064}"/>
    <cellStyle name="Normal 2 3 2 2 7 2 11" xfId="9270" xr:uid="{AE3CF2C8-0E71-4AB4-8CD8-1D567B635BB9}"/>
    <cellStyle name="Normal 2 3 2 2 7 2 12" xfId="9271" xr:uid="{F64B7D64-D59C-41D3-A28D-CDADA518737A}"/>
    <cellStyle name="Normal 2 3 2 2 7 2 13" xfId="9272" xr:uid="{6D1581D6-9741-4AF1-96E7-F61C4A37452F}"/>
    <cellStyle name="Normal 2 3 2 2 7 2 14" xfId="9273" xr:uid="{66C06007-8EDE-414E-957F-355B7F4B6819}"/>
    <cellStyle name="Normal 2 3 2 2 7 2 15" xfId="9274" xr:uid="{EE9F3BA7-FF2B-4A73-A6AC-FF2AF5ACAF91}"/>
    <cellStyle name="Normal 2 3 2 2 7 2 16" xfId="9275" xr:uid="{74525C64-4BAF-4BBF-AB7E-39FBDE380C88}"/>
    <cellStyle name="Normal 2 3 2 2 7 2 17" xfId="9276" xr:uid="{39290173-9511-4839-A0D7-38F0396F79D9}"/>
    <cellStyle name="Normal 2 3 2 2 7 2 18" xfId="9277" xr:uid="{5E40C8B5-11B5-4D70-8936-1F2BBE1240A9}"/>
    <cellStyle name="Normal 2 3 2 2 7 2 19" xfId="9278" xr:uid="{1B76EA51-98FA-4BD8-80EF-7D3B559A3EF2}"/>
    <cellStyle name="Normal 2 3 2 2 7 2 2" xfId="9279" xr:uid="{FA3832C5-4929-498C-B39B-8DB3B490BF00}"/>
    <cellStyle name="Normal 2 3 2 2 7 2 20" xfId="9280" xr:uid="{C9667401-E39F-4354-9BF9-D1FDDC55FE24}"/>
    <cellStyle name="Normal 2 3 2 2 7 2 21" xfId="9281" xr:uid="{CBEA2887-FE74-4535-BF61-E9EA10FD2190}"/>
    <cellStyle name="Normal 2 3 2 2 7 2 22" xfId="9282" xr:uid="{38397706-D0D4-409C-80BD-D672942E4894}"/>
    <cellStyle name="Normal 2 3 2 2 7 2 23" xfId="9283" xr:uid="{33DBC28E-9F8B-4E64-985B-05EC3EE5E200}"/>
    <cellStyle name="Normal 2 3 2 2 7 2 24" xfId="9284" xr:uid="{E49318B4-86D5-4B9A-B047-9D4BACE9AFF0}"/>
    <cellStyle name="Normal 2 3 2 2 7 2 25" xfId="9285" xr:uid="{68993D8E-F00D-45AD-8E6D-0D04B5A5D028}"/>
    <cellStyle name="Normal 2 3 2 2 7 2 26" xfId="9286" xr:uid="{2BA09413-A459-4CA3-AE7E-580CF53121A2}"/>
    <cellStyle name="Normal 2 3 2 2 7 2 27" xfId="9287" xr:uid="{055CE2C5-B32B-4BBF-A5DD-7F62875CA242}"/>
    <cellStyle name="Normal 2 3 2 2 7 2 28" xfId="9288" xr:uid="{FB61D7AB-5579-4876-922F-CA30A1133DD6}"/>
    <cellStyle name="Normal 2 3 2 2 7 2 29" xfId="9289" xr:uid="{F4036930-9093-4540-81B7-6AB51724B027}"/>
    <cellStyle name="Normal 2 3 2 2 7 2 3" xfId="9290" xr:uid="{65B1B732-C5A9-4B5B-8B9E-A580D42FDF20}"/>
    <cellStyle name="Normal 2 3 2 2 7 2 30" xfId="9291" xr:uid="{414C539D-E8C8-4073-8D20-B97A0BEE7D7C}"/>
    <cellStyle name="Normal 2 3 2 2 7 2 31" xfId="9292" xr:uid="{6D99C1B7-E491-4F12-8965-C19E095C969F}"/>
    <cellStyle name="Normal 2 3 2 2 7 2 32" xfId="9293" xr:uid="{77D5CB59-A56F-4059-882F-011B7D636A1F}"/>
    <cellStyle name="Normal 2 3 2 2 7 2 33" xfId="9294" xr:uid="{04396B2B-40BB-451F-A2FD-9E2ECEA2C63E}"/>
    <cellStyle name="Normal 2 3 2 2 7 2 34" xfId="9295" xr:uid="{9662B15F-43B0-47D0-B2FB-9AF0BE7BA61E}"/>
    <cellStyle name="Normal 2 3 2 2 7 2 35" xfId="9296" xr:uid="{DA379896-01BE-44CA-9362-F8587A813B3D}"/>
    <cellStyle name="Normal 2 3 2 2 7 2 36" xfId="9297" xr:uid="{84BE8702-7065-47C6-A686-BC05AA8B6B51}"/>
    <cellStyle name="Normal 2 3 2 2 7 2 37" xfId="9298" xr:uid="{74933D4D-432C-47B1-A3FE-1234FFAFAA59}"/>
    <cellStyle name="Normal 2 3 2 2 7 2 38" xfId="9299" xr:uid="{ADFDF10A-ED57-498C-93FF-E6024E558D39}"/>
    <cellStyle name="Normal 2 3 2 2 7 2 4" xfId="9300" xr:uid="{C8F938BA-6D97-405D-A29C-0A75942AFD92}"/>
    <cellStyle name="Normal 2 3 2 2 7 2 5" xfId="9301" xr:uid="{D86C82E3-B4EA-429D-9A31-6A059743070C}"/>
    <cellStyle name="Normal 2 3 2 2 7 2 6" xfId="9302" xr:uid="{E44104A7-1651-4344-B9E6-3C0D4F744BDC}"/>
    <cellStyle name="Normal 2 3 2 2 7 2 7" xfId="9303" xr:uid="{C6A01A13-1C2E-4DB9-AD2C-4514D002117D}"/>
    <cellStyle name="Normal 2 3 2 2 7 2 8" xfId="9304" xr:uid="{BB134809-EBDD-42BA-A067-144014BD12EA}"/>
    <cellStyle name="Normal 2 3 2 2 7 2 9" xfId="9305" xr:uid="{F6899997-F930-417E-BF79-6E88E297480D}"/>
    <cellStyle name="Normal 2 3 2 2 7 20" xfId="9306" xr:uid="{57FE3B12-9F66-40B7-841F-F3DD2696F58F}"/>
    <cellStyle name="Normal 2 3 2 2 7 21" xfId="9307" xr:uid="{20FA98E9-3948-4B45-A289-B0D7308122EB}"/>
    <cellStyle name="Normal 2 3 2 2 7 22" xfId="9308" xr:uid="{68503CDB-D203-4DC4-BDDB-3FEC8E6DCACB}"/>
    <cellStyle name="Normal 2 3 2 2 7 23" xfId="9309" xr:uid="{982F52CF-E4F0-4465-B553-AB4E98120DFE}"/>
    <cellStyle name="Normal 2 3 2 2 7 24" xfId="9310" xr:uid="{4FF74B59-16B0-4B53-886C-6536FCAE0D98}"/>
    <cellStyle name="Normal 2 3 2 2 7 25" xfId="9311" xr:uid="{3AB4E5D5-9621-44EE-9C99-351FEA46F204}"/>
    <cellStyle name="Normal 2 3 2 2 7 26" xfId="9312" xr:uid="{FC9EA8A5-E492-4B3E-A87D-AEB348785A53}"/>
    <cellStyle name="Normal 2 3 2 2 7 27" xfId="9313" xr:uid="{39F9B295-C80E-43A3-8C61-4C823B526CDF}"/>
    <cellStyle name="Normal 2 3 2 2 7 28" xfId="9314" xr:uid="{2A2C915A-2A6C-4B5F-BBA4-A4E6DC9C70BD}"/>
    <cellStyle name="Normal 2 3 2 2 7 29" xfId="9315" xr:uid="{A13860D3-FEE2-4215-89C6-F0B7DA0D8C78}"/>
    <cellStyle name="Normal 2 3 2 2 7 3" xfId="9316" xr:uid="{59608870-21AE-4B49-ACE5-2F697B719712}"/>
    <cellStyle name="Normal 2 3 2 2 7 30" xfId="9317" xr:uid="{A23E323A-FCE5-4B69-894D-24D0156C7AC9}"/>
    <cellStyle name="Normal 2 3 2 2 7 31" xfId="9318" xr:uid="{BC627970-7705-48D9-9A52-43E8F4598147}"/>
    <cellStyle name="Normal 2 3 2 2 7 32" xfId="9319" xr:uid="{C1DEFDB5-9196-4598-BF3C-1A2C1EE3DFB8}"/>
    <cellStyle name="Normal 2 3 2 2 7 33" xfId="9320" xr:uid="{AEB16AE2-34B6-400D-8DB6-A04E9014FF8A}"/>
    <cellStyle name="Normal 2 3 2 2 7 34" xfId="9321" xr:uid="{C8B0648B-AAC8-4CE4-8D0F-A3AEF147EB6C}"/>
    <cellStyle name="Normal 2 3 2 2 7 35" xfId="9322" xr:uid="{475D2843-DB25-4BE9-95F5-FA740CF30210}"/>
    <cellStyle name="Normal 2 3 2 2 7 36" xfId="9323" xr:uid="{D825FE0F-3857-4EAA-9C87-959D57D7F155}"/>
    <cellStyle name="Normal 2 3 2 2 7 37" xfId="9324" xr:uid="{E7A74CE8-E686-4ADC-B7F1-D2FE138E3FD9}"/>
    <cellStyle name="Normal 2 3 2 2 7 38" xfId="9325" xr:uid="{911E45C4-A259-496C-93F5-F3FD4435AD85}"/>
    <cellStyle name="Normal 2 3 2 2 7 4" xfId="9326" xr:uid="{A3B5574D-1CA0-4269-A9AD-A53EA8247C83}"/>
    <cellStyle name="Normal 2 3 2 2 7 5" xfId="9327" xr:uid="{CF588BDE-18D7-4C5C-A95E-8F04D6807CBB}"/>
    <cellStyle name="Normal 2 3 2 2 7 6" xfId="9328" xr:uid="{F1E5704A-EBED-48A7-AEC4-F967746EB69D}"/>
    <cellStyle name="Normal 2 3 2 2 7 7" xfId="9329" xr:uid="{F4365638-FE60-4950-B510-D36134973861}"/>
    <cellStyle name="Normal 2 3 2 2 7 8" xfId="9330" xr:uid="{FF35E8C3-EE7D-4AFA-9BA3-67FB94874216}"/>
    <cellStyle name="Normal 2 3 2 2 7 9" xfId="9331" xr:uid="{E911D42D-5A80-473E-B1F5-5A94FEB6B087}"/>
    <cellStyle name="Normal 2 3 2 2 8" xfId="9332" xr:uid="{2CFB1BD7-5B59-45D9-AFF4-BA357B7E1ADB}"/>
    <cellStyle name="Normal 2 3 2 2 9" xfId="9333" xr:uid="{CDB5B269-5FFB-4E2C-B2CE-270D5273E029}"/>
    <cellStyle name="Normal 2 3 2 20" xfId="9334" xr:uid="{66468F91-F093-4694-A36B-C6818A17E005}"/>
    <cellStyle name="Normal 2 3 2 20 2" xfId="9335" xr:uid="{740349F7-FB67-4743-96AE-BF6CF7C6BAA5}"/>
    <cellStyle name="Normal 2 3 2 20 3" xfId="9336" xr:uid="{1150522B-CDF3-4187-9162-F89EB6D19AE3}"/>
    <cellStyle name="Normal 2 3 2 20 4" xfId="9337" xr:uid="{3CFDD2A8-9E59-4CAF-8FE2-FFFD1D6FD1DB}"/>
    <cellStyle name="Normal 2 3 2 20 5" xfId="9338" xr:uid="{6EC0A099-43C8-40B1-AAB5-43353AB63D8F}"/>
    <cellStyle name="Normal 2 3 2 20 6" xfId="9339" xr:uid="{B49D07FE-F637-4E59-B232-C24DC4772F00}"/>
    <cellStyle name="Normal 2 3 2 21" xfId="9340" xr:uid="{FA48315D-3562-4982-B26E-8829DA329FCB}"/>
    <cellStyle name="Normal 2 3 2 21 2" xfId="9341" xr:uid="{DCCF6140-4DA2-4573-A59F-681319B11B4C}"/>
    <cellStyle name="Normal 2 3 2 21 3" xfId="9342" xr:uid="{46E2868C-F609-4618-B713-24A4636E238E}"/>
    <cellStyle name="Normal 2 3 2 21 4" xfId="9343" xr:uid="{B8D24983-0C37-4BCC-A28F-EFDFDCBB0FB5}"/>
    <cellStyle name="Normal 2 3 2 21 5" xfId="9344" xr:uid="{32890161-AE54-47E5-AF6B-CBD82E53ABE5}"/>
    <cellStyle name="Normal 2 3 2 21 6" xfId="9345" xr:uid="{AC341754-5070-41E2-BBDB-56A928993C60}"/>
    <cellStyle name="Normal 2 3 2 22" xfId="9346" xr:uid="{E446057E-0E99-4560-B930-A34B0403EF8F}"/>
    <cellStyle name="Normal 2 3 2 22 2" xfId="9347" xr:uid="{A43D1628-0112-4DB3-B836-086E541A78E0}"/>
    <cellStyle name="Normal 2 3 2 22 3" xfId="9348" xr:uid="{5C0AC8D2-CB7D-4A41-B603-EFB66F9A6062}"/>
    <cellStyle name="Normal 2 3 2 22 4" xfId="9349" xr:uid="{F1DA65BB-0563-4C28-8FD3-AAF4B878E73A}"/>
    <cellStyle name="Normal 2 3 2 22 5" xfId="9350" xr:uid="{BC12F806-BC9C-4817-9119-71827289F2B7}"/>
    <cellStyle name="Normal 2 3 2 22 6" xfId="9351" xr:uid="{46242996-BF6D-4DD1-AF61-7E30CB8EE5D0}"/>
    <cellStyle name="Normal 2 3 2 23" xfId="9352" xr:uid="{7BFB3770-715D-43E8-9629-7C1587BF59DA}"/>
    <cellStyle name="Normal 2 3 2 23 2" xfId="9353" xr:uid="{C40823C0-38CE-4ABA-8E9C-67D9AAF590ED}"/>
    <cellStyle name="Normal 2 3 2 23 3" xfId="9354" xr:uid="{85C4B42A-7E66-4791-B53E-EED0B3AEC7C5}"/>
    <cellStyle name="Normal 2 3 2 23 4" xfId="9355" xr:uid="{ABCDF988-4AB2-4F3B-9FED-6A15236EB369}"/>
    <cellStyle name="Normal 2 3 2 23 5" xfId="9356" xr:uid="{34F4FBFB-844B-4060-A02C-0A49842C9ED7}"/>
    <cellStyle name="Normal 2 3 2 23 6" xfId="9357" xr:uid="{820FB008-D842-4015-9C7F-A23F7706C3CC}"/>
    <cellStyle name="Normal 2 3 2 24" xfId="9358" xr:uid="{D9B305AD-55F1-4D48-977B-1031020C1550}"/>
    <cellStyle name="Normal 2 3 2 24 2" xfId="9359" xr:uid="{23BAB89F-1376-462B-99ED-4AF213A1E886}"/>
    <cellStyle name="Normal 2 3 2 24 3" xfId="9360" xr:uid="{1B037D50-9AB2-4B7A-96DB-C9D840A76F55}"/>
    <cellStyle name="Normal 2 3 2 24 4" xfId="9361" xr:uid="{2329AAAA-87E3-43B4-8034-32D89A2FEA38}"/>
    <cellStyle name="Normal 2 3 2 24 5" xfId="9362" xr:uid="{87D425EF-A6A2-47D2-9223-B4870A1352AF}"/>
    <cellStyle name="Normal 2 3 2 24 6" xfId="9363" xr:uid="{F713A2B6-AE89-4B98-AAAF-4D3CFB3DF8E6}"/>
    <cellStyle name="Normal 2 3 2 25" xfId="9364" xr:uid="{2C8F5B87-A648-4AFA-B42E-4E06F347F0A4}"/>
    <cellStyle name="Normal 2 3 2 25 2" xfId="9365" xr:uid="{1F345615-8851-4EC1-9CFB-3A8D250A0DFA}"/>
    <cellStyle name="Normal 2 3 2 25 3" xfId="9366" xr:uid="{E19A1FD0-694E-4ED7-9D37-0DCD193A92DE}"/>
    <cellStyle name="Normal 2 3 2 25 4" xfId="9367" xr:uid="{4BE33857-66C9-4DE5-A2CE-17DBCE100EAD}"/>
    <cellStyle name="Normal 2 3 2 25 5" xfId="9368" xr:uid="{4E5A50BB-2F51-43F1-93A4-EB3BED9239AE}"/>
    <cellStyle name="Normal 2 3 2 25 6" xfId="9369" xr:uid="{8EF5AFEB-951E-40D9-8226-A78C08461DDD}"/>
    <cellStyle name="Normal 2 3 2 26" xfId="9370" xr:uid="{4638874E-CE1E-4DBD-930B-A74367AD846A}"/>
    <cellStyle name="Normal 2 3 2 26 2" xfId="9371" xr:uid="{2E2C8947-4351-4EFC-BE58-D6D1A61140E5}"/>
    <cellStyle name="Normal 2 3 2 26 3" xfId="9372" xr:uid="{C8924494-1163-467E-BA7A-F770D603FE7C}"/>
    <cellStyle name="Normal 2 3 2 26 4" xfId="9373" xr:uid="{3CB1E55F-9FEB-4F6B-8AF3-8B0C7AC4A016}"/>
    <cellStyle name="Normal 2 3 2 26 5" xfId="9374" xr:uid="{C1CF5A07-86BF-449F-93EB-506D8528E5AD}"/>
    <cellStyle name="Normal 2 3 2 26 6" xfId="9375" xr:uid="{82A73631-2E8D-448E-88E6-CCCAF8BCBE5D}"/>
    <cellStyle name="Normal 2 3 2 27" xfId="9376" xr:uid="{C6E646EF-02AE-47AE-9F59-C4530D6407EC}"/>
    <cellStyle name="Normal 2 3 2 27 2" xfId="9377" xr:uid="{F4A5DBB5-8960-46A2-B15F-0E351A8E23F2}"/>
    <cellStyle name="Normal 2 3 2 27 3" xfId="9378" xr:uid="{983F616F-1A6A-4728-972A-AE636670800D}"/>
    <cellStyle name="Normal 2 3 2 27 4" xfId="9379" xr:uid="{85DCCBC0-B4E4-48E7-9C17-BC75C0C9B3C1}"/>
    <cellStyle name="Normal 2 3 2 27 5" xfId="9380" xr:uid="{32E99A2F-25E3-47AF-B687-3DEA577707FB}"/>
    <cellStyle name="Normal 2 3 2 27 6" xfId="9381" xr:uid="{4276F664-1C47-4ED8-BC66-255CF94ACD36}"/>
    <cellStyle name="Normal 2 3 2 28" xfId="9382" xr:uid="{A05DBE8C-67CA-4861-B740-98F2F264F037}"/>
    <cellStyle name="Normal 2 3 2 28 2" xfId="9383" xr:uid="{4109D250-03AF-431C-8E1B-4EDCB03E4CAA}"/>
    <cellStyle name="Normal 2 3 2 28 3" xfId="9384" xr:uid="{082332E6-7B99-4D81-AA8A-BB7EF3358F2D}"/>
    <cellStyle name="Normal 2 3 2 28 4" xfId="9385" xr:uid="{C7350114-FB17-46CE-A536-B9D7B1A33507}"/>
    <cellStyle name="Normal 2 3 2 28 5" xfId="9386" xr:uid="{97B172DC-DD7F-45E1-9F45-58699CE2646F}"/>
    <cellStyle name="Normal 2 3 2 28 6" xfId="9387" xr:uid="{7F1C2E2E-F215-4742-9536-411ED3BCCD41}"/>
    <cellStyle name="Normal 2 3 2 29" xfId="9388" xr:uid="{28D92092-8E7D-450E-A726-16EAB44090BE}"/>
    <cellStyle name="Normal 2 3 2 29 2" xfId="9389" xr:uid="{536D9FB1-5E61-43BE-9DF2-9117EFBEF988}"/>
    <cellStyle name="Normal 2 3 2 29 3" xfId="9390" xr:uid="{745C71D4-EA39-42F3-BF33-DB72D5BE21C3}"/>
    <cellStyle name="Normal 2 3 2 29 4" xfId="9391" xr:uid="{AFD59E39-D1AB-4307-A650-1FF83F18F89B}"/>
    <cellStyle name="Normal 2 3 2 29 5" xfId="9392" xr:uid="{A25654F4-7A87-475A-99C0-8F56BDBA6FAD}"/>
    <cellStyle name="Normal 2 3 2 29 6" xfId="9393" xr:uid="{ADD8096F-52C5-4280-82AF-CC833767DB0E}"/>
    <cellStyle name="Normal 2 3 2 3" xfId="9394" xr:uid="{194D48B5-B592-4177-B2B2-F4E3E07B75C8}"/>
    <cellStyle name="Normal 2 3 2 3 10" xfId="9395" xr:uid="{1D6B1C02-2606-4F8C-84DE-2D1993C57994}"/>
    <cellStyle name="Normal 2 3 2 3 11" xfId="9396" xr:uid="{1A1B48D7-7976-49B7-8318-9821DE540FD6}"/>
    <cellStyle name="Normal 2 3 2 3 12" xfId="9397" xr:uid="{45433989-C1A2-4787-970C-DFD7513ED4A6}"/>
    <cellStyle name="Normal 2 3 2 3 13" xfId="9398" xr:uid="{E78FF38E-CB82-47ED-8FD2-A097F1278247}"/>
    <cellStyle name="Normal 2 3 2 3 14" xfId="9399" xr:uid="{D1B74B17-521B-4F65-B284-D529D5DDA5A5}"/>
    <cellStyle name="Normal 2 3 2 3 15" xfId="9400" xr:uid="{CA16BBC7-1844-4794-894A-82E18DF5ABBD}"/>
    <cellStyle name="Normal 2 3 2 3 16" xfId="9401" xr:uid="{AE9819D9-81F3-4E50-BF1A-D1F4A42C5883}"/>
    <cellStyle name="Normal 2 3 2 3 17" xfId="9402" xr:uid="{5951C9F4-23F5-448B-9680-184DC28F862E}"/>
    <cellStyle name="Normal 2 3 2 3 18" xfId="9403" xr:uid="{02CA5B2A-159A-405E-A133-942DA36ECED9}"/>
    <cellStyle name="Normal 2 3 2 3 19" xfId="9404" xr:uid="{6E9FF3A4-9E96-4A08-973F-17FC7CD739C9}"/>
    <cellStyle name="Normal 2 3 2 3 2" xfId="9405" xr:uid="{3816A790-8808-4525-87FB-A42D6BC8A185}"/>
    <cellStyle name="Normal 2 3 2 3 20" xfId="9406" xr:uid="{5BA48BFA-D7DD-419C-BA7E-89B964AF8DE1}"/>
    <cellStyle name="Normal 2 3 2 3 21" xfId="9407" xr:uid="{4E1DE781-4635-455E-8F2A-A3821BBFBF41}"/>
    <cellStyle name="Normal 2 3 2 3 22" xfId="9408" xr:uid="{70005C90-5346-44CE-8340-3B517C0AEC6C}"/>
    <cellStyle name="Normal 2 3 2 3 23" xfId="9409" xr:uid="{A81C6B87-25A3-44B9-9E9F-07016B944CF4}"/>
    <cellStyle name="Normal 2 3 2 3 24" xfId="9410" xr:uid="{2F784C31-9FF1-402A-9D99-DB34C282014F}"/>
    <cellStyle name="Normal 2 3 2 3 25" xfId="9411" xr:uid="{CE22B51B-34F0-4FC9-A84C-D966DC20B8EE}"/>
    <cellStyle name="Normal 2 3 2 3 26" xfId="9412" xr:uid="{84E976FD-51FF-4436-889F-0E87A74EAC3D}"/>
    <cellStyle name="Normal 2 3 2 3 27" xfId="9413" xr:uid="{FE04DFB7-B566-4618-81E6-F97B946ED60D}"/>
    <cellStyle name="Normal 2 3 2 3 28" xfId="9414" xr:uid="{80CBE7C1-552E-471D-8FA5-B309F775F282}"/>
    <cellStyle name="Normal 2 3 2 3 29" xfId="9415" xr:uid="{F00E1CB1-9450-4F4D-A79C-FB93D6C86CB5}"/>
    <cellStyle name="Normal 2 3 2 3 3" xfId="9416" xr:uid="{085391DB-6D85-481F-8736-D7AE865F1338}"/>
    <cellStyle name="Normal 2 3 2 3 30" xfId="9417" xr:uid="{00CE7E31-8C25-4B8E-81AF-8BD46C524A18}"/>
    <cellStyle name="Normal 2 3 2 3 31" xfId="9418" xr:uid="{E28FDA0C-490D-48A3-AA4E-AD7909F25910}"/>
    <cellStyle name="Normal 2 3 2 3 32" xfId="9419" xr:uid="{A3DCB73C-DF02-4103-8FE8-91F0910746B1}"/>
    <cellStyle name="Normal 2 3 2 3 33" xfId="9420" xr:uid="{9CF63012-5D30-4E7F-ACDF-24A2D509570A}"/>
    <cellStyle name="Normal 2 3 2 3 34" xfId="9421" xr:uid="{0AC56771-0485-41B8-9751-2AC946A3B5BB}"/>
    <cellStyle name="Normal 2 3 2 3 35" xfId="9422" xr:uid="{85A72D4D-1D35-475C-BA9C-116EB0CBF3E4}"/>
    <cellStyle name="Normal 2 3 2 3 36" xfId="9423" xr:uid="{7A0AA382-EBBB-4BD6-A028-C74419E882FF}"/>
    <cellStyle name="Normal 2 3 2 3 37" xfId="9424" xr:uid="{2A3797E5-D166-49DF-99E0-2B1E507B274B}"/>
    <cellStyle name="Normal 2 3 2 3 38" xfId="9425" xr:uid="{BC7D0EA4-77BC-4F53-B2BC-A1D861A25F3F}"/>
    <cellStyle name="Normal 2 3 2 3 39" xfId="9426" xr:uid="{8182E577-4138-4749-810B-A57C3FBC45B5}"/>
    <cellStyle name="Normal 2 3 2 3 4" xfId="9427" xr:uid="{345116AA-BEBD-4D96-ACF9-F039ADA12848}"/>
    <cellStyle name="Normal 2 3 2 3 40" xfId="9428" xr:uid="{418146E9-32F7-48FC-A503-DEEA2D18D2E0}"/>
    <cellStyle name="Normal 2 3 2 3 41" xfId="9429" xr:uid="{248D3FFC-10D7-4E91-9484-CE92DC9AE44F}"/>
    <cellStyle name="Normal 2 3 2 3 42" xfId="9430" xr:uid="{04A93D2F-3FFD-4928-B183-062FFDE3D08F}"/>
    <cellStyle name="Normal 2 3 2 3 43" xfId="9431" xr:uid="{91ABD931-09B0-42D5-83F8-F56EF99F8A53}"/>
    <cellStyle name="Normal 2 3 2 3 44" xfId="9432" xr:uid="{4343D361-1315-4928-9DD0-B43187649AD6}"/>
    <cellStyle name="Normal 2 3 2 3 45" xfId="9433" xr:uid="{81C5AA60-4437-4176-93EE-C8AFA403E9F8}"/>
    <cellStyle name="Normal 2 3 2 3 46" xfId="9434" xr:uid="{4303B115-34E8-4C97-871D-DE6D993D0877}"/>
    <cellStyle name="Normal 2 3 2 3 47" xfId="9435" xr:uid="{3AD3DC40-D099-45BC-AEF4-30EED38656AB}"/>
    <cellStyle name="Normal 2 3 2 3 48" xfId="9436" xr:uid="{118E6588-DCF3-4EFE-AC13-C8717FDDD4B1}"/>
    <cellStyle name="Normal 2 3 2 3 49" xfId="9437" xr:uid="{D1D3BAFA-E623-4F6D-9492-F235F1BF9930}"/>
    <cellStyle name="Normal 2 3 2 3 5" xfId="9438" xr:uid="{C0D72E84-AFD4-4F55-A201-0F19E0F22088}"/>
    <cellStyle name="Normal 2 3 2 3 50" xfId="9439" xr:uid="{3E4A1EC3-52D2-4358-A393-B0B5CAF417AF}"/>
    <cellStyle name="Normal 2 3 2 3 51" xfId="9440" xr:uid="{63D70B9F-34A2-40FF-ACE5-2DA70F3F09CB}"/>
    <cellStyle name="Normal 2 3 2 3 52" xfId="9441" xr:uid="{43C71101-5D5F-446E-8566-249BB503D64F}"/>
    <cellStyle name="Normal 2 3 2 3 6" xfId="9442" xr:uid="{5FDE5D22-13A2-40E9-B4CD-AC75DC071272}"/>
    <cellStyle name="Normal 2 3 2 3 7" xfId="9443" xr:uid="{5ACEF1A8-ABC4-4C79-8899-63B5DB5CB252}"/>
    <cellStyle name="Normal 2 3 2 3 8" xfId="9444" xr:uid="{687A02B9-8237-4537-9730-1613699C7161}"/>
    <cellStyle name="Normal 2 3 2 3 9" xfId="9445" xr:uid="{4FBADB7C-4216-437D-992C-2F5E748BE1EE}"/>
    <cellStyle name="Normal 2 3 2 30" xfId="9446" xr:uid="{C87DA023-9F09-4676-82C6-24DF1E607B9A}"/>
    <cellStyle name="Normal 2 3 2 30 2" xfId="9447" xr:uid="{E743FE56-A634-4C5B-93D9-E8DD4AB2E9DB}"/>
    <cellStyle name="Normal 2 3 2 30 3" xfId="9448" xr:uid="{A85C18C6-D453-4B5B-A896-52F9EF4766E3}"/>
    <cellStyle name="Normal 2 3 2 30 4" xfId="9449" xr:uid="{F721FC9E-E253-4D15-A767-8FEB762C897F}"/>
    <cellStyle name="Normal 2 3 2 30 5" xfId="9450" xr:uid="{3A6DED68-004A-4011-9FEB-585170993766}"/>
    <cellStyle name="Normal 2 3 2 30 6" xfId="9451" xr:uid="{4F3078C5-3B8B-470B-B139-E184B4636ED6}"/>
    <cellStyle name="Normal 2 3 2 31" xfId="9452" xr:uid="{8C65B838-43A2-4B2E-AD93-38CF844A3794}"/>
    <cellStyle name="Normal 2 3 2 31 2" xfId="9453" xr:uid="{E490B88E-BF96-4375-81C7-6700D989374F}"/>
    <cellStyle name="Normal 2 3 2 31 3" xfId="9454" xr:uid="{C312C51D-3E3B-4F16-90C5-00EE7021716B}"/>
    <cellStyle name="Normal 2 3 2 31 4" xfId="9455" xr:uid="{2D9C9340-F79A-48D0-92A4-8D0415A6C2D7}"/>
    <cellStyle name="Normal 2 3 2 31 5" xfId="9456" xr:uid="{5DB16BFB-61F1-4E90-B490-4A3B4EB2D8F8}"/>
    <cellStyle name="Normal 2 3 2 31 6" xfId="9457" xr:uid="{AE3C50F4-8379-45B4-AB65-23AC0BA350F3}"/>
    <cellStyle name="Normal 2 3 2 32" xfId="9458" xr:uid="{96E6C0FA-77CE-409A-97A5-E3BF7C191AF5}"/>
    <cellStyle name="Normal 2 3 2 32 2" xfId="9459" xr:uid="{F9FD0944-8AF5-46A3-B26E-0D8C5ADB71A5}"/>
    <cellStyle name="Normal 2 3 2 32 3" xfId="9460" xr:uid="{808C1B49-8F38-402D-98A0-878237B5F5A4}"/>
    <cellStyle name="Normal 2 3 2 32 4" xfId="9461" xr:uid="{4E8380FF-F808-4B5F-8BF2-2175EAC3C9AD}"/>
    <cellStyle name="Normal 2 3 2 32 5" xfId="9462" xr:uid="{788FD309-00B7-458E-812B-F7945F5B90F6}"/>
    <cellStyle name="Normal 2 3 2 32 6" xfId="9463" xr:uid="{F46E668C-B745-449E-8B89-E22374AE5BE0}"/>
    <cellStyle name="Normal 2 3 2 33" xfId="9464" xr:uid="{B56508EB-CB0F-46DE-9458-91505C10F822}"/>
    <cellStyle name="Normal 2 3 2 33 2" xfId="9465" xr:uid="{E59C091F-7997-4105-9E12-21079DCBA19A}"/>
    <cellStyle name="Normal 2 3 2 33 3" xfId="9466" xr:uid="{71089CC3-0E9A-423A-B17B-81E082913E8B}"/>
    <cellStyle name="Normal 2 3 2 33 4" xfId="9467" xr:uid="{B8966237-677E-411A-A16F-1858961C1C1B}"/>
    <cellStyle name="Normal 2 3 2 33 5" xfId="9468" xr:uid="{99684081-2AC2-47B1-91A2-9DE8684D0367}"/>
    <cellStyle name="Normal 2 3 2 33 6" xfId="9469" xr:uid="{DE05B439-9813-4202-9ADC-069598935DF4}"/>
    <cellStyle name="Normal 2 3 2 34" xfId="9470" xr:uid="{7BA0FA1B-3A3D-41CD-BB05-EF63B40439C8}"/>
    <cellStyle name="Normal 2 3 2 34 2" xfId="9471" xr:uid="{EE38C296-4FF8-437C-B8D4-3AA7A791F65F}"/>
    <cellStyle name="Normal 2 3 2 34 3" xfId="9472" xr:uid="{183DF1B4-2B54-4A90-BC2E-ABC20464BD7B}"/>
    <cellStyle name="Normal 2 3 2 34 4" xfId="9473" xr:uid="{2B37D0A9-3757-4598-B84E-FB19544D8F89}"/>
    <cellStyle name="Normal 2 3 2 34 5" xfId="9474" xr:uid="{ADEFA1B1-4A48-4FEE-9204-B1CBDC5ABEC1}"/>
    <cellStyle name="Normal 2 3 2 34 6" xfId="9475" xr:uid="{33E3C4C9-8146-49B4-87B0-ED1DEAA80366}"/>
    <cellStyle name="Normal 2 3 2 35" xfId="9476" xr:uid="{C646D77E-E23E-40D5-86A8-D12F0C3070DE}"/>
    <cellStyle name="Normal 2 3 2 35 2" xfId="9477" xr:uid="{CEE6AE61-609E-449A-AEB7-C9BC3A70025C}"/>
    <cellStyle name="Normal 2 3 2 35 3" xfId="9478" xr:uid="{A38F55A9-4A0E-4B4D-94F0-5D7297CE1264}"/>
    <cellStyle name="Normal 2 3 2 35 4" xfId="9479" xr:uid="{267D3D5F-E650-446D-9E59-0D5E40C3D324}"/>
    <cellStyle name="Normal 2 3 2 35 5" xfId="9480" xr:uid="{C4026A92-B4E7-4F32-806A-B2D2ADB4A85E}"/>
    <cellStyle name="Normal 2 3 2 35 6" xfId="9481" xr:uid="{B6A0F721-232A-4013-BDDC-6E235987850D}"/>
    <cellStyle name="Normal 2 3 2 36" xfId="9482" xr:uid="{4946E4D2-7C8E-4B56-A09D-7E5E14FCEEC3}"/>
    <cellStyle name="Normal 2 3 2 36 2" xfId="9483" xr:uid="{7D393517-4A32-43C9-AFE5-5A101A2D25DB}"/>
    <cellStyle name="Normal 2 3 2 36 3" xfId="9484" xr:uid="{7932B727-0FF2-4E05-918B-BF4AC0C5D64B}"/>
    <cellStyle name="Normal 2 3 2 36 4" xfId="9485" xr:uid="{42DBA648-3F08-40D9-B0B9-9DF965792917}"/>
    <cellStyle name="Normal 2 3 2 36 5" xfId="9486" xr:uid="{4CEE570F-CC6E-454B-9E42-63D08E8EDF94}"/>
    <cellStyle name="Normal 2 3 2 36 6" xfId="9487" xr:uid="{B24AAADD-5A7B-414C-BE6F-E9290A6942CC}"/>
    <cellStyle name="Normal 2 3 2 37" xfId="9488" xr:uid="{89B8DF6D-021E-4818-9BCB-A3126CA9F064}"/>
    <cellStyle name="Normal 2 3 2 37 2" xfId="9489" xr:uid="{1C7B1F83-44D1-4FF9-B210-3D6958EF8337}"/>
    <cellStyle name="Normal 2 3 2 37 3" xfId="9490" xr:uid="{CD6D330E-045A-4D81-8892-0AEF444D9C8F}"/>
    <cellStyle name="Normal 2 3 2 37 4" xfId="9491" xr:uid="{D1B7A069-714C-41AE-80F6-C1ABFCE295F1}"/>
    <cellStyle name="Normal 2 3 2 37 5" xfId="9492" xr:uid="{4AAE2F81-D93F-4B63-959D-DFC35B672AA2}"/>
    <cellStyle name="Normal 2 3 2 37 6" xfId="9493" xr:uid="{F8EB7029-8FEB-448A-93B3-E18B62E8BE90}"/>
    <cellStyle name="Normal 2 3 2 38" xfId="9494" xr:uid="{2BCCA930-C9FB-4EB1-A6D6-5DBB33917E27}"/>
    <cellStyle name="Normal 2 3 2 38 2" xfId="9495" xr:uid="{94B38052-0F4E-4A56-8884-40F82353B27F}"/>
    <cellStyle name="Normal 2 3 2 38 3" xfId="9496" xr:uid="{B1BC6807-3A62-40C5-8FA6-E2D53E77B414}"/>
    <cellStyle name="Normal 2 3 2 38 4" xfId="9497" xr:uid="{C4158FFE-5AC2-4774-8E89-7ECC6839F080}"/>
    <cellStyle name="Normal 2 3 2 38 5" xfId="9498" xr:uid="{686192ED-F7D3-40EE-A59D-C91F031F98E3}"/>
    <cellStyle name="Normal 2 3 2 38 6" xfId="9499" xr:uid="{B2100DDC-9467-4AE6-BE4D-9A89B88EB51C}"/>
    <cellStyle name="Normal 2 3 2 39" xfId="9500" xr:uid="{CE34D657-829C-4220-8C09-887A7628B567}"/>
    <cellStyle name="Normal 2 3 2 39 2" xfId="9501" xr:uid="{3FC83828-81DD-4249-A4B2-ED7CA68A47B1}"/>
    <cellStyle name="Normal 2 3 2 39 3" xfId="9502" xr:uid="{DC682F0E-901F-4CE3-947E-BF91EE776699}"/>
    <cellStyle name="Normal 2 3 2 39 4" xfId="9503" xr:uid="{144514AA-CB51-4A6F-AE7C-70A86CF81434}"/>
    <cellStyle name="Normal 2 3 2 39 5" xfId="9504" xr:uid="{A3E685DB-9500-4B42-8067-C7F24ACDF0D0}"/>
    <cellStyle name="Normal 2 3 2 39 6" xfId="9505" xr:uid="{6623844B-B829-436F-B7A7-A5A16C5BAB54}"/>
    <cellStyle name="Normal 2 3 2 4" xfId="9506" xr:uid="{11B858EA-F4B2-42B0-83AD-58631F9E5671}"/>
    <cellStyle name="Normal 2 3 2 4 2" xfId="9507" xr:uid="{68240EF9-931E-46E9-9106-BE3ED6CAFA3A}"/>
    <cellStyle name="Normal 2 3 2 4 3" xfId="9508" xr:uid="{1D6E214D-FB39-42E5-B567-F2DC62EB54E1}"/>
    <cellStyle name="Normal 2 3 2 4 4" xfId="9509" xr:uid="{592ABFF9-8D49-4B35-B4B6-584057D3BC2C}"/>
    <cellStyle name="Normal 2 3 2 4 5" xfId="9510" xr:uid="{50E56900-8EA3-4194-9755-17406AA33D50}"/>
    <cellStyle name="Normal 2 3 2 4 6" xfId="9511" xr:uid="{C70625CD-8AA9-437F-996A-BF4C69A84619}"/>
    <cellStyle name="Normal 2 3 2 40" xfId="9512" xr:uid="{83E32750-97C7-496B-AACB-68C479853FAE}"/>
    <cellStyle name="Normal 2 3 2 40 2" xfId="9513" xr:uid="{90C05FC1-ECA6-43AE-8765-B8E9D0708B8B}"/>
    <cellStyle name="Normal 2 3 2 40 3" xfId="9514" xr:uid="{EC0BE1DD-05AB-4EC0-AF51-2A8C8404AA29}"/>
    <cellStyle name="Normal 2 3 2 40 4" xfId="9515" xr:uid="{C2A319C8-EB71-43C4-A9C3-EEF38B914A4A}"/>
    <cellStyle name="Normal 2 3 2 40 5" xfId="9516" xr:uid="{E9703E49-BEA0-4204-8FB4-5859752CC543}"/>
    <cellStyle name="Normal 2 3 2 40 6" xfId="9517" xr:uid="{A9EC9CE7-29FD-4C68-AE44-9FADDD656297}"/>
    <cellStyle name="Normal 2 3 2 41" xfId="9518" xr:uid="{40E99D78-2741-4168-857B-6899ECD29022}"/>
    <cellStyle name="Normal 2 3 2 41 2" xfId="9519" xr:uid="{312B1ACA-2780-48D0-BB2C-A037ED739131}"/>
    <cellStyle name="Normal 2 3 2 41 3" xfId="9520" xr:uid="{8927AAF7-D21F-4B0F-83C5-F425BDBE357D}"/>
    <cellStyle name="Normal 2 3 2 41 4" xfId="9521" xr:uid="{120D0F82-68C3-4C04-B944-2CADE3C093C9}"/>
    <cellStyle name="Normal 2 3 2 41 5" xfId="9522" xr:uid="{50A7007E-7339-4ED9-9B2C-29081EB68F13}"/>
    <cellStyle name="Normal 2 3 2 41 6" xfId="9523" xr:uid="{108918AA-DFDF-45D3-835F-761A5FE1A353}"/>
    <cellStyle name="Normal 2 3 2 42" xfId="9524" xr:uid="{228C4D19-43A2-4326-A167-709D7F6218EB}"/>
    <cellStyle name="Normal 2 3 2 42 2" xfId="9525" xr:uid="{19E11D7E-4A9E-4F8C-B105-3286F2734885}"/>
    <cellStyle name="Normal 2 3 2 42 3" xfId="9526" xr:uid="{C74779E1-E352-4741-B3E8-B4EC00361B5D}"/>
    <cellStyle name="Normal 2 3 2 42 4" xfId="9527" xr:uid="{E0D2F5D8-8F95-460F-A15A-D562D8D47DB4}"/>
    <cellStyle name="Normal 2 3 2 42 5" xfId="9528" xr:uid="{83F3A5D4-DBA6-40B7-8693-464DA2F5FB37}"/>
    <cellStyle name="Normal 2 3 2 42 6" xfId="9529" xr:uid="{7119F1F9-DC55-4AF2-8142-A6BFD6E11CF1}"/>
    <cellStyle name="Normal 2 3 2 43" xfId="9530" xr:uid="{56A7DA3D-106B-4319-8D52-F4351A01E42A}"/>
    <cellStyle name="Normal 2 3 2 43 2" xfId="9531" xr:uid="{1BE743F8-6184-4647-871C-30C1ECAA17A9}"/>
    <cellStyle name="Normal 2 3 2 43 3" xfId="9532" xr:uid="{7CD312C9-2C8C-4363-B48D-884E372B9F99}"/>
    <cellStyle name="Normal 2 3 2 43 4" xfId="9533" xr:uid="{444B339D-ADA8-4892-B400-FF403F72A36E}"/>
    <cellStyle name="Normal 2 3 2 43 5" xfId="9534" xr:uid="{499EBDEE-6E6B-4F32-8494-CCE736C2A6AF}"/>
    <cellStyle name="Normal 2 3 2 43 6" xfId="9535" xr:uid="{35607420-7483-4915-AD7A-6DAE5234D27A}"/>
    <cellStyle name="Normal 2 3 2 44" xfId="9536" xr:uid="{AA4F4A94-2D6E-4901-AD34-E3115D904B30}"/>
    <cellStyle name="Normal 2 3 2 44 2" xfId="9537" xr:uid="{B3E3F037-FA11-4210-9C05-8CF8E661B838}"/>
    <cellStyle name="Normal 2 3 2 44 3" xfId="9538" xr:uid="{3B26A6AD-9AE7-41D9-B388-88E9E8AA8452}"/>
    <cellStyle name="Normal 2 3 2 44 4" xfId="9539" xr:uid="{7262E145-77F3-41BE-BD88-0C4ED3619AD6}"/>
    <cellStyle name="Normal 2 3 2 44 5" xfId="9540" xr:uid="{36E24B9E-4C7A-4678-94A7-7E244D241E8B}"/>
    <cellStyle name="Normal 2 3 2 44 6" xfId="9541" xr:uid="{201D0C70-BE0E-4077-9F69-EB95FC4D9C7A}"/>
    <cellStyle name="Normal 2 3 2 45" xfId="9542" xr:uid="{15461972-F7AC-4A5B-910F-041CE046E10C}"/>
    <cellStyle name="Normal 2 3 2 45 2" xfId="9543" xr:uid="{EF00778A-BE6F-417E-A09A-8F2FD9071DB7}"/>
    <cellStyle name="Normal 2 3 2 45 3" xfId="9544" xr:uid="{3AD27B9B-F54D-47A1-88EE-3E1CDA5CD3CB}"/>
    <cellStyle name="Normal 2 3 2 45 4" xfId="9545" xr:uid="{B35D756C-F8F2-4C15-A5B5-B28174CA254F}"/>
    <cellStyle name="Normal 2 3 2 45 5" xfId="9546" xr:uid="{AEEE1063-C40E-4E80-BBFB-972669507034}"/>
    <cellStyle name="Normal 2 3 2 45 6" xfId="9547" xr:uid="{A45575E2-4A12-46D1-95D8-70A394B5772C}"/>
    <cellStyle name="Normal 2 3 2 46" xfId="9548" xr:uid="{9988716F-879A-45A9-A3E3-85E129C77B6B}"/>
    <cellStyle name="Normal 2 3 2 46 2" xfId="9549" xr:uid="{6FAFB938-465F-4595-AB37-F0DF76BF5F57}"/>
    <cellStyle name="Normal 2 3 2 46 3" xfId="9550" xr:uid="{C7A652A7-94C1-4338-883C-F31E5583ACD1}"/>
    <cellStyle name="Normal 2 3 2 46 4" xfId="9551" xr:uid="{3CEDF579-59B1-49A8-A686-CFCA84EC5A11}"/>
    <cellStyle name="Normal 2 3 2 46 5" xfId="9552" xr:uid="{06725523-10A7-495E-936A-D68EF8E11FBD}"/>
    <cellStyle name="Normal 2 3 2 46 6" xfId="9553" xr:uid="{75D878C9-6EFB-4898-8783-BD7E454DC293}"/>
    <cellStyle name="Normal 2 3 2 47" xfId="9554" xr:uid="{BD933049-5423-43E1-A538-97DA6FF0A142}"/>
    <cellStyle name="Normal 2 3 2 47 2" xfId="9555" xr:uid="{61735A20-FC32-4E1A-82EF-D23FDA976E20}"/>
    <cellStyle name="Normal 2 3 2 47 3" xfId="9556" xr:uid="{24C143CD-4BB9-4721-A9FC-E930C6941DC6}"/>
    <cellStyle name="Normal 2 3 2 47 4" xfId="9557" xr:uid="{EFE0AABE-3360-4EDD-AED6-11A89A44EA20}"/>
    <cellStyle name="Normal 2 3 2 47 5" xfId="9558" xr:uid="{E4AFEF15-F78E-46AB-BBC1-2B02841DCD7D}"/>
    <cellStyle name="Normal 2 3 2 47 6" xfId="9559" xr:uid="{1D3DCF26-643F-40CF-B715-54A70EBCDDED}"/>
    <cellStyle name="Normal 2 3 2 48" xfId="9560" xr:uid="{A065FAC1-9164-49D2-AC8F-52A53A1F5E6D}"/>
    <cellStyle name="Normal 2 3 2 48 2" xfId="9561" xr:uid="{8F2929F6-2596-47C8-B4D6-2B5CE488B1A6}"/>
    <cellStyle name="Normal 2 3 2 48 3" xfId="9562" xr:uid="{4EC6D4EE-F5A2-46A4-A406-5C0D5D715E4A}"/>
    <cellStyle name="Normal 2 3 2 48 4" xfId="9563" xr:uid="{F06CCD5B-CB2B-4182-9D93-4EDADDCA0F3F}"/>
    <cellStyle name="Normal 2 3 2 48 5" xfId="9564" xr:uid="{3135DADA-2FED-479A-9F15-B57C2CBD07EF}"/>
    <cellStyle name="Normal 2 3 2 48 6" xfId="9565" xr:uid="{45B02731-7488-4FDC-A64F-69AD82C6EB39}"/>
    <cellStyle name="Normal 2 3 2 49" xfId="9566" xr:uid="{D46F73F2-635D-459A-93BD-C62443C745E6}"/>
    <cellStyle name="Normal 2 3 2 5" xfId="9567" xr:uid="{6EFBD32E-C155-47F7-BBB8-5F8233683449}"/>
    <cellStyle name="Normal 2 3 2 5 2" xfId="9568" xr:uid="{CBBB35E9-C568-437F-8045-933B2D907AA1}"/>
    <cellStyle name="Normal 2 3 2 5 3" xfId="9569" xr:uid="{9F033117-80C1-4AC7-BC7B-B1F90CFE5CE8}"/>
    <cellStyle name="Normal 2 3 2 5 4" xfId="9570" xr:uid="{273B49E4-F1D4-465A-9248-932FCDE4E9E2}"/>
    <cellStyle name="Normal 2 3 2 5 5" xfId="9571" xr:uid="{B3F64B86-6E13-4ACB-8C67-D1C24B8F6ED5}"/>
    <cellStyle name="Normal 2 3 2 5 6" xfId="9572" xr:uid="{7E5B6911-70F1-4F82-884F-835CD983C460}"/>
    <cellStyle name="Normal 2 3 2 50" xfId="9573" xr:uid="{2B8C7EB4-ADBB-4B98-A5AC-A7D21D1A5186}"/>
    <cellStyle name="Normal 2 3 2 51" xfId="9574" xr:uid="{E2C93B5B-B1D5-4958-B44F-0A66B50B0FBB}"/>
    <cellStyle name="Normal 2 3 2 52" xfId="9575" xr:uid="{44C48DEF-0AEE-4F83-9D7B-ADD265F43FD2}"/>
    <cellStyle name="Normal 2 3 2 53" xfId="9576" xr:uid="{856F8AEB-031D-455E-9E44-03BACCA01CBB}"/>
    <cellStyle name="Normal 2 3 2 54" xfId="9577" xr:uid="{58A838D1-1940-419A-89E5-CF709F3E90BD}"/>
    <cellStyle name="Normal 2 3 2 55" xfId="9578" xr:uid="{08CCAA48-F2F5-41A3-A3A4-2723934EEBB9}"/>
    <cellStyle name="Normal 2 3 2 56" xfId="9579" xr:uid="{3C413744-C3E5-4E40-AD81-DBE5C49CE7A3}"/>
    <cellStyle name="Normal 2 3 2 57" xfId="9580" xr:uid="{2645640D-FD75-49CD-9EF6-8C90BE0B34B9}"/>
    <cellStyle name="Normal 2 3 2 58" xfId="9581" xr:uid="{0B403BED-FACD-489D-9499-D96A26E6716F}"/>
    <cellStyle name="Normal 2 3 2 59" xfId="9582" xr:uid="{7465039E-8DD6-48A6-9E09-BBFC18D02F36}"/>
    <cellStyle name="Normal 2 3 2 6" xfId="9583" xr:uid="{7CD9FDB7-9124-4847-AFF6-45ABA9EAB29C}"/>
    <cellStyle name="Normal 2 3 2 6 2" xfId="9584" xr:uid="{67C44511-933C-4EE2-A7CF-77A4D5628019}"/>
    <cellStyle name="Normal 2 3 2 6 3" xfId="9585" xr:uid="{6A57649A-EE94-446E-AF36-90626794E73D}"/>
    <cellStyle name="Normal 2 3 2 6 4" xfId="9586" xr:uid="{AC9AA6D8-7C73-423C-9EBA-9583AC99621D}"/>
    <cellStyle name="Normal 2 3 2 6 5" xfId="9587" xr:uid="{DE94A2F5-A8B0-4522-B271-08D61BCDB368}"/>
    <cellStyle name="Normal 2 3 2 6 6" xfId="9588" xr:uid="{7175B80E-456E-484C-8220-CA587712B4ED}"/>
    <cellStyle name="Normal 2 3 2 60" xfId="9589" xr:uid="{59128348-2D68-47E8-9C3A-A9667D2D940C}"/>
    <cellStyle name="Normal 2 3 2 61" xfId="9590" xr:uid="{F5A0A38D-C3ED-4ABD-962F-744565F312F3}"/>
    <cellStyle name="Normal 2 3 2 62" xfId="9591" xr:uid="{B027761D-DBBF-498B-835A-DEB0967E58D5}"/>
    <cellStyle name="Normal 2 3 2 63" xfId="9592" xr:uid="{1602AC83-E89C-4A50-BEFB-B4BB563F10A3}"/>
    <cellStyle name="Normal 2 3 2 64" xfId="9593" xr:uid="{6EB6E4F9-1381-4795-ADB5-C91BA184A0C7}"/>
    <cellStyle name="Normal 2 3 2 65" xfId="9594" xr:uid="{6999954E-A4C3-4A0D-9C61-74D63E6B28B5}"/>
    <cellStyle name="Normal 2 3 2 66" xfId="9595" xr:uid="{F50341E0-C892-4011-BCFB-DDFFA386BBE4}"/>
    <cellStyle name="Normal 2 3 2 67" xfId="9596" xr:uid="{EA033658-6C87-4158-9F4B-6E179C56163B}"/>
    <cellStyle name="Normal 2 3 2 68" xfId="9597" xr:uid="{A1984948-4895-4A08-A8F6-D35CA5758BE5}"/>
    <cellStyle name="Normal 2 3 2 69" xfId="9598" xr:uid="{57735534-7F0A-4ADA-B131-6CE16763E40E}"/>
    <cellStyle name="Normal 2 3 2 7" xfId="9599" xr:uid="{A306D270-96FC-4E13-9C16-2CCEA531E8CE}"/>
    <cellStyle name="Normal 2 3 2 7 2" xfId="9600" xr:uid="{85A9E415-EEFC-42FE-909C-3C577CB23DB5}"/>
    <cellStyle name="Normal 2 3 2 7 3" xfId="9601" xr:uid="{C3D9E527-10CF-4DA2-B214-04F2299774D1}"/>
    <cellStyle name="Normal 2 3 2 7 4" xfId="9602" xr:uid="{2B76D8FD-7289-4C2B-96A6-284BCC9AECEE}"/>
    <cellStyle name="Normal 2 3 2 7 5" xfId="9603" xr:uid="{3E9CF4E9-6D93-42A8-B598-16384EB8C15F}"/>
    <cellStyle name="Normal 2 3 2 7 6" xfId="9604" xr:uid="{3519F619-5AFE-4B57-83C5-3E6F682D69E4}"/>
    <cellStyle name="Normal 2 3 2 70" xfId="9605" xr:uid="{E409839E-E11B-4AE2-8B27-EA327CC42BE9}"/>
    <cellStyle name="Normal 2 3 2 71" xfId="9606" xr:uid="{AE8EFD91-36D8-464F-8035-853BBF1B35B3}"/>
    <cellStyle name="Normal 2 3 2 72" xfId="9607" xr:uid="{B5B27B48-1058-4735-ADF7-4931BCF5EF55}"/>
    <cellStyle name="Normal 2 3 2 73" xfId="9608" xr:uid="{67CCE05A-30B5-4C31-A5FB-45CF76DB3F66}"/>
    <cellStyle name="Normal 2 3 2 74" xfId="9609" xr:uid="{ADD81D26-0A56-4593-9D4C-6E985237E5EF}"/>
    <cellStyle name="Normal 2 3 2 74 10" xfId="9610" xr:uid="{94CD387E-FB78-4CB4-ADD8-8CA39044E9F9}"/>
    <cellStyle name="Normal 2 3 2 74 11" xfId="9611" xr:uid="{109251C9-FC87-45D3-A867-684FE0EDEF3D}"/>
    <cellStyle name="Normal 2 3 2 74 12" xfId="9612" xr:uid="{C4C42AC7-7352-42A7-BEA8-6B2AE254DB38}"/>
    <cellStyle name="Normal 2 3 2 74 13" xfId="9613" xr:uid="{2802179C-9728-44F9-9E8B-B9FD3D604204}"/>
    <cellStyle name="Normal 2 3 2 74 14" xfId="9614" xr:uid="{7A079E61-728F-4BB9-BC23-6D3CEB94DD7F}"/>
    <cellStyle name="Normal 2 3 2 74 15" xfId="9615" xr:uid="{51B13CD9-EEFE-4F63-9F46-95CE7A73BCE3}"/>
    <cellStyle name="Normal 2 3 2 74 16" xfId="9616" xr:uid="{D22D1A25-10F3-4773-BB19-B8D05AAC579F}"/>
    <cellStyle name="Normal 2 3 2 74 17" xfId="9617" xr:uid="{E9B05F0A-31FD-4A71-9CF3-211806B060AC}"/>
    <cellStyle name="Normal 2 3 2 74 18" xfId="9618" xr:uid="{7F9D5A26-2E57-43C7-854B-1AF3B91C4F7E}"/>
    <cellStyle name="Normal 2 3 2 74 19" xfId="9619" xr:uid="{3F321344-20B0-42A7-BF0B-DFA85B0D8EF5}"/>
    <cellStyle name="Normal 2 3 2 74 2" xfId="9620" xr:uid="{40695D91-2BC8-4733-A343-1502E25262F5}"/>
    <cellStyle name="Normal 2 3 2 74 2 10" xfId="9621" xr:uid="{40B08467-F592-4FBD-9D71-7C60CE1D5B16}"/>
    <cellStyle name="Normal 2 3 2 74 2 11" xfId="9622" xr:uid="{2BB00616-7A65-400B-950D-96C8CCAA0662}"/>
    <cellStyle name="Normal 2 3 2 74 2 12" xfId="9623" xr:uid="{61473682-E45E-474D-B5B9-6FB0D0C17EF5}"/>
    <cellStyle name="Normal 2 3 2 74 2 13" xfId="9624" xr:uid="{274D8447-718B-487C-8247-C5D5238123B9}"/>
    <cellStyle name="Normal 2 3 2 74 2 14" xfId="9625" xr:uid="{4AD62E26-F8E4-4D0F-A497-5B065819890C}"/>
    <cellStyle name="Normal 2 3 2 74 2 15" xfId="9626" xr:uid="{7A9596AB-7B52-4843-9456-D7823A4E098F}"/>
    <cellStyle name="Normal 2 3 2 74 2 16" xfId="9627" xr:uid="{DCDD0A13-4007-4D7B-99D1-F5FFAA2713EC}"/>
    <cellStyle name="Normal 2 3 2 74 2 17" xfId="9628" xr:uid="{625CFFE3-8304-4412-B942-38F70FE5B276}"/>
    <cellStyle name="Normal 2 3 2 74 2 18" xfId="9629" xr:uid="{C88E6316-FCBB-4242-9AFC-A7ECA3E8CD43}"/>
    <cellStyle name="Normal 2 3 2 74 2 19" xfId="9630" xr:uid="{EC75F261-2DE3-4996-B66C-9F31384B3AEB}"/>
    <cellStyle name="Normal 2 3 2 74 2 2" xfId="9631" xr:uid="{43FC03A0-6328-4726-A0BF-009DF633CE76}"/>
    <cellStyle name="Normal 2 3 2 74 2 20" xfId="9632" xr:uid="{E4D8CB2C-862C-4B3A-8E2C-DFB2372E7E36}"/>
    <cellStyle name="Normal 2 3 2 74 2 21" xfId="9633" xr:uid="{8F80690A-843D-4D19-9419-A459DEB0A963}"/>
    <cellStyle name="Normal 2 3 2 74 2 22" xfId="9634" xr:uid="{D365C410-62E7-47FE-9E00-DC60EA286660}"/>
    <cellStyle name="Normal 2 3 2 74 2 23" xfId="9635" xr:uid="{13F3EB01-7F74-446D-9D38-397D85EE9E7F}"/>
    <cellStyle name="Normal 2 3 2 74 2 24" xfId="9636" xr:uid="{BF58F428-7F9B-4165-B5E1-D72DB667EB7A}"/>
    <cellStyle name="Normal 2 3 2 74 2 25" xfId="9637" xr:uid="{3E8D0E46-21EB-477F-8412-85BCB552D302}"/>
    <cellStyle name="Normal 2 3 2 74 2 26" xfId="9638" xr:uid="{41E208E2-36D1-455B-8FA6-6665F58E9A75}"/>
    <cellStyle name="Normal 2 3 2 74 2 27" xfId="9639" xr:uid="{F3E05CFA-DF01-4159-B611-471714870234}"/>
    <cellStyle name="Normal 2 3 2 74 2 28" xfId="9640" xr:uid="{B7400260-7ABD-461E-B771-A892FFB37570}"/>
    <cellStyle name="Normal 2 3 2 74 2 29" xfId="9641" xr:uid="{7A7C87A0-D36F-4A84-A994-DB1DD7387206}"/>
    <cellStyle name="Normal 2 3 2 74 2 3" xfId="9642" xr:uid="{08D22514-A250-4639-9DBE-CCADFA13AF16}"/>
    <cellStyle name="Normal 2 3 2 74 2 30" xfId="9643" xr:uid="{07522738-355C-40A6-B571-9B39CA19432B}"/>
    <cellStyle name="Normal 2 3 2 74 2 31" xfId="9644" xr:uid="{504F9A54-E4FF-4352-8655-5A8BC771DA64}"/>
    <cellStyle name="Normal 2 3 2 74 2 32" xfId="9645" xr:uid="{E06996B5-767F-4F06-94E0-0DBDED153C7C}"/>
    <cellStyle name="Normal 2 3 2 74 2 33" xfId="9646" xr:uid="{F311A886-26F2-4B04-BEC5-22122EADC644}"/>
    <cellStyle name="Normal 2 3 2 74 2 34" xfId="9647" xr:uid="{27B27802-DCA7-41E1-A7D0-DBC6B5E9F8DE}"/>
    <cellStyle name="Normal 2 3 2 74 2 35" xfId="9648" xr:uid="{B837041D-6EF4-40B2-BC3C-B39354CA5D9F}"/>
    <cellStyle name="Normal 2 3 2 74 2 36" xfId="9649" xr:uid="{B8181737-5DB7-44E1-B009-256B2F2F10CF}"/>
    <cellStyle name="Normal 2 3 2 74 2 37" xfId="9650" xr:uid="{4EAD9D0F-48DA-47E1-AF1C-992A59221308}"/>
    <cellStyle name="Normal 2 3 2 74 2 38" xfId="9651" xr:uid="{8D335E97-DCFD-4E5B-969B-37109D9E214C}"/>
    <cellStyle name="Normal 2 3 2 74 2 4" xfId="9652" xr:uid="{0F2DF804-74F8-4B2D-8E7F-4B0C21CF94EF}"/>
    <cellStyle name="Normal 2 3 2 74 2 5" xfId="9653" xr:uid="{89FB9971-B48E-4FE5-B410-4AD912A40FEE}"/>
    <cellStyle name="Normal 2 3 2 74 2 6" xfId="9654" xr:uid="{C096F996-39BB-4B72-8D2C-8833CBED7D25}"/>
    <cellStyle name="Normal 2 3 2 74 2 7" xfId="9655" xr:uid="{5F924A89-F0D3-4F62-9EA2-9FE5A21C2B73}"/>
    <cellStyle name="Normal 2 3 2 74 2 8" xfId="9656" xr:uid="{EAF358FE-55B1-482B-9CA2-17C2A961B0F2}"/>
    <cellStyle name="Normal 2 3 2 74 2 9" xfId="9657" xr:uid="{70D04A70-B2D7-4707-8E2C-C6CA5D22C05C}"/>
    <cellStyle name="Normal 2 3 2 74 20" xfId="9658" xr:uid="{7847F2FE-373C-4F3E-90C5-4C770BA04624}"/>
    <cellStyle name="Normal 2 3 2 74 21" xfId="9659" xr:uid="{020B873C-03D8-4C1F-A563-9D555C993790}"/>
    <cellStyle name="Normal 2 3 2 74 22" xfId="9660" xr:uid="{576BF16E-D4AD-4DC3-84FC-05A0B2268BDD}"/>
    <cellStyle name="Normal 2 3 2 74 23" xfId="9661" xr:uid="{8C7CC323-B458-451A-AD22-BAC6F100A2FE}"/>
    <cellStyle name="Normal 2 3 2 74 24" xfId="9662" xr:uid="{02852B17-9714-4CEB-956F-BD4A2ADBB833}"/>
    <cellStyle name="Normal 2 3 2 74 25" xfId="9663" xr:uid="{760F4FB3-C256-4A79-9F54-624B16C37C29}"/>
    <cellStyle name="Normal 2 3 2 74 26" xfId="9664" xr:uid="{CD64A8C1-69A1-48F9-93EF-7C559A80A052}"/>
    <cellStyle name="Normal 2 3 2 74 27" xfId="9665" xr:uid="{542819C3-9BCA-441B-91CC-7FEE25854A3C}"/>
    <cellStyle name="Normal 2 3 2 74 28" xfId="9666" xr:uid="{88C71DAF-0D47-4EA5-B4AD-013BA42F5D87}"/>
    <cellStyle name="Normal 2 3 2 74 29" xfId="9667" xr:uid="{9A514C9A-6861-4F76-A633-68363FCC6DE9}"/>
    <cellStyle name="Normal 2 3 2 74 3" xfId="9668" xr:uid="{6A24EBA2-6B7B-42A4-9B96-1C03E315E908}"/>
    <cellStyle name="Normal 2 3 2 74 30" xfId="9669" xr:uid="{C2BDD71A-6EFA-4E89-BF05-4E99C18BDA90}"/>
    <cellStyle name="Normal 2 3 2 74 31" xfId="9670" xr:uid="{E59FC7F1-B85C-49C8-991B-6140EA73E101}"/>
    <cellStyle name="Normal 2 3 2 74 32" xfId="9671" xr:uid="{94E936B8-28DA-4C6C-B9D7-EF872EEEC66E}"/>
    <cellStyle name="Normal 2 3 2 74 33" xfId="9672" xr:uid="{D0D53F1F-9C68-4C37-87E0-1D4A816865C0}"/>
    <cellStyle name="Normal 2 3 2 74 34" xfId="9673" xr:uid="{0E787A2B-704C-4A86-A1A9-6E9ED1C43E5C}"/>
    <cellStyle name="Normal 2 3 2 74 35" xfId="9674" xr:uid="{01C9F7BE-AED7-4FA7-BFED-9F7E898063FC}"/>
    <cellStyle name="Normal 2 3 2 74 36" xfId="9675" xr:uid="{5048D38E-0796-4102-8C3D-1452944FE177}"/>
    <cellStyle name="Normal 2 3 2 74 37" xfId="9676" xr:uid="{B4E556AF-CBBB-400F-B062-DBEB95C750F1}"/>
    <cellStyle name="Normal 2 3 2 74 38" xfId="9677" xr:uid="{003A63FB-3D32-4BF9-86C8-9867B3EDF43B}"/>
    <cellStyle name="Normal 2 3 2 74 4" xfId="9678" xr:uid="{AF4084A6-84DA-4D77-A066-E3FB94CFFAAD}"/>
    <cellStyle name="Normal 2 3 2 74 5" xfId="9679" xr:uid="{8272C3B9-2D54-4308-B510-0AC245948D99}"/>
    <cellStyle name="Normal 2 3 2 74 6" xfId="9680" xr:uid="{A7A1BAB4-AC2B-4CD9-92F9-47387AA33F41}"/>
    <cellStyle name="Normal 2 3 2 74 7" xfId="9681" xr:uid="{0EFB8CB9-14CB-4DD9-9295-323EBB3BDD28}"/>
    <cellStyle name="Normal 2 3 2 74 8" xfId="9682" xr:uid="{CF1C66C2-BD6C-4F50-A4D1-17A1509F276D}"/>
    <cellStyle name="Normal 2 3 2 74 9" xfId="9683" xr:uid="{3BAA1C2C-07B0-41FB-91A9-E3644220504A}"/>
    <cellStyle name="Normal 2 3 2 75" xfId="9684" xr:uid="{383B8AE6-3CF7-4C42-8C30-1D7B1B19A0AE}"/>
    <cellStyle name="Normal 2 3 2 76" xfId="9685" xr:uid="{17D7D94B-8217-4EEA-A064-5A4D28D55B42}"/>
    <cellStyle name="Normal 2 3 2 77" xfId="9686" xr:uid="{876F69BC-6AA4-4A64-AAA3-676D061849F7}"/>
    <cellStyle name="Normal 2 3 2 78" xfId="9687" xr:uid="{8890230F-11FD-48A8-95CA-358A8B5EC2B5}"/>
    <cellStyle name="Normal 2 3 2 79" xfId="9688" xr:uid="{1CEC0486-B61B-4B37-B2A8-9F1E36959237}"/>
    <cellStyle name="Normal 2 3 2 8" xfId="9689" xr:uid="{4B684FC1-79A5-468D-9E1E-078529E90552}"/>
    <cellStyle name="Normal 2 3 2 8 2" xfId="9690" xr:uid="{8447708A-DA89-486F-A651-2D43E7E2C2AD}"/>
    <cellStyle name="Normal 2 3 2 8 3" xfId="9691" xr:uid="{2A261972-364C-4BFC-AB09-9A6B7F2CB172}"/>
    <cellStyle name="Normal 2 3 2 8 4" xfId="9692" xr:uid="{7E106E7E-E1A6-4E65-85A6-4CE5ED1AE870}"/>
    <cellStyle name="Normal 2 3 2 8 5" xfId="9693" xr:uid="{1B6A8B3A-15EC-4C2F-9260-DA4B86C7B0E2}"/>
    <cellStyle name="Normal 2 3 2 8 6" xfId="9694" xr:uid="{E2A5E236-9F33-4C9D-BAFC-20ADD4946E5F}"/>
    <cellStyle name="Normal 2 3 2 80" xfId="9695" xr:uid="{07F6808E-808F-460F-B04F-9EA4352E4D7C}"/>
    <cellStyle name="Normal 2 3 2 81" xfId="9696" xr:uid="{70FC3194-12B5-4660-9918-189328DE1973}"/>
    <cellStyle name="Normal 2 3 2 82" xfId="9697" xr:uid="{3CED38C3-1DD4-4B20-B8B5-A4C58477D541}"/>
    <cellStyle name="Normal 2 3 2 83" xfId="9698" xr:uid="{823D6C2B-E311-4565-865F-4E5FF570AEF0}"/>
    <cellStyle name="Normal 2 3 2 84" xfId="9699" xr:uid="{A06D34CC-E1C8-49E7-B1FD-80DD3305DAB4}"/>
    <cellStyle name="Normal 2 3 2 85" xfId="9700" xr:uid="{414439C6-9661-4DBA-9E03-A90C61B21DFC}"/>
    <cellStyle name="Normal 2 3 2 86" xfId="9701" xr:uid="{0CE59769-BE50-4F56-B38A-3BEDFF8B7649}"/>
    <cellStyle name="Normal 2 3 2 87" xfId="9702" xr:uid="{15E8F196-DC1F-4DB7-B6CA-5B78658D689C}"/>
    <cellStyle name="Normal 2 3 2 88" xfId="9703" xr:uid="{027D8DE2-D761-49D3-A861-F5F42F65663F}"/>
    <cellStyle name="Normal 2 3 2 89" xfId="9704" xr:uid="{401E69C3-5AD4-4824-8473-5A0CD5D2FEEE}"/>
    <cellStyle name="Normal 2 3 2 9" xfId="9705" xr:uid="{0FB4C3FD-ECA8-441A-9493-7DE230489E32}"/>
    <cellStyle name="Normal 2 3 2 9 2" xfId="9706" xr:uid="{2F8510CD-6EEB-4119-B849-508A508C8DB5}"/>
    <cellStyle name="Normal 2 3 2 9 3" xfId="9707" xr:uid="{C4CB760D-22E1-4886-9D4F-4007C0CBA0F3}"/>
    <cellStyle name="Normal 2 3 2 9 4" xfId="9708" xr:uid="{5CA9FF84-BB7D-4876-9120-1C58C1E53FC3}"/>
    <cellStyle name="Normal 2 3 2 9 5" xfId="9709" xr:uid="{255CC96F-B669-4028-87C9-2AADE159E177}"/>
    <cellStyle name="Normal 2 3 2 9 6" xfId="9710" xr:uid="{CE84C7E4-C48C-4173-9CFF-33BE2D9AD7AF}"/>
    <cellStyle name="Normal 2 3 2 90" xfId="9711" xr:uid="{D2102DAD-4214-4BE9-BA04-7787B82C5C86}"/>
    <cellStyle name="Normal 2 3 2 91" xfId="9712" xr:uid="{801B18B1-C44D-43FB-A39A-14156A659D8D}"/>
    <cellStyle name="Normal 2 3 2 92" xfId="9713" xr:uid="{02A71B03-4CB2-40ED-9677-51540E43920B}"/>
    <cellStyle name="Normal 2 3 2 93" xfId="9714" xr:uid="{4FFAD41B-49C9-4028-8481-185E7C4B3964}"/>
    <cellStyle name="Normal 2 3 2 94" xfId="9715" xr:uid="{E8AD3C9D-1ED3-450E-A235-04129488AD7A}"/>
    <cellStyle name="Normal 2 3 2 95" xfId="9716" xr:uid="{DFE253A5-C14B-4BB4-80B3-B078386A7E26}"/>
    <cellStyle name="Normal 2 3 2 96" xfId="9717" xr:uid="{F99DD4F8-17E5-4F96-81B8-84FEB91E3E93}"/>
    <cellStyle name="Normal 2 3 2 97" xfId="9718" xr:uid="{4E34CAD5-8C01-4762-A6BC-4AC895851B11}"/>
    <cellStyle name="Normal 2 3 2 98" xfId="9719" xr:uid="{90BBCA51-05B9-41E7-846B-CFABCACE3697}"/>
    <cellStyle name="Normal 2 3 2 99" xfId="9720" xr:uid="{9BECB946-3477-4440-8781-D374B606F757}"/>
    <cellStyle name="Normal 2 3 20" xfId="9721" xr:uid="{1F7F31D1-ED63-488A-8B3A-19E3B6982F36}"/>
    <cellStyle name="Normal 2 3 20 2" xfId="9722" xr:uid="{F12CE56F-1512-445B-86EE-424AD7912157}"/>
    <cellStyle name="Normal 2 3 20 3" xfId="9723" xr:uid="{A181BFB7-8E20-4FDB-B678-A1DEDF621072}"/>
    <cellStyle name="Normal 2 3 20 4" xfId="9724" xr:uid="{1CD5A107-CB5D-4A4F-AFAE-47BEF13B9AC7}"/>
    <cellStyle name="Normal 2 3 20 5" xfId="9725" xr:uid="{09E9BB9E-8BCE-4625-A1EE-E4294CF02F7F}"/>
    <cellStyle name="Normal 2 3 20 6" xfId="9726" xr:uid="{372BF86C-9A2A-485C-8AA6-45E93EE0E305}"/>
    <cellStyle name="Normal 2 3 21" xfId="9727" xr:uid="{349AA818-68E6-4AD2-AE9A-9BCE99958E6D}"/>
    <cellStyle name="Normal 2 3 21 2" xfId="9728" xr:uid="{7E738A5E-4F5F-4EE8-ACF6-9D541272E307}"/>
    <cellStyle name="Normal 2 3 21 3" xfId="9729" xr:uid="{69BFFD84-AE4A-4606-8E97-1BB319792CE1}"/>
    <cellStyle name="Normal 2 3 21 4" xfId="9730" xr:uid="{B6866E76-9CF3-4AC3-B1DA-4F0E32307FD6}"/>
    <cellStyle name="Normal 2 3 21 5" xfId="9731" xr:uid="{44337FD4-347B-4ADD-B2C8-D8E37BD1D893}"/>
    <cellStyle name="Normal 2 3 21 6" xfId="9732" xr:uid="{D447E0C9-C458-4933-8A86-7945A1A6C84D}"/>
    <cellStyle name="Normal 2 3 22" xfId="9733" xr:uid="{6654F053-6A3C-4243-9B87-BF79A281053C}"/>
    <cellStyle name="Normal 2 3 22 2" xfId="9734" xr:uid="{5B350E73-37BC-4F66-9A2A-BEFC9A23604E}"/>
    <cellStyle name="Normal 2 3 22 3" xfId="9735" xr:uid="{17CAA704-6EC4-4A56-B3BE-E341C49AA94F}"/>
    <cellStyle name="Normal 2 3 22 4" xfId="9736" xr:uid="{90CEA1CB-DA14-4E8B-B638-ED76198714B9}"/>
    <cellStyle name="Normal 2 3 22 5" xfId="9737" xr:uid="{04F0C9A4-506A-4BC5-B4C0-35C9CCD76259}"/>
    <cellStyle name="Normal 2 3 22 6" xfId="9738" xr:uid="{3CE2E347-38E2-4F8C-A19C-66B4CD28427C}"/>
    <cellStyle name="Normal 2 3 23" xfId="9739" xr:uid="{BF725AB6-2965-42E5-A94F-AFA1A8DCCD2A}"/>
    <cellStyle name="Normal 2 3 23 2" xfId="9740" xr:uid="{6C10577E-9AD1-4436-9DBB-F6E3E7571D84}"/>
    <cellStyle name="Normal 2 3 23 3" xfId="9741" xr:uid="{EFE557FC-BB48-4BDE-8D1F-5D0B38546A1C}"/>
    <cellStyle name="Normal 2 3 23 4" xfId="9742" xr:uid="{B2651795-3A64-4758-893C-EFBA4E70F5BE}"/>
    <cellStyle name="Normal 2 3 23 5" xfId="9743" xr:uid="{65C85AE3-9A87-4942-BC95-FBF22A79D28D}"/>
    <cellStyle name="Normal 2 3 23 6" xfId="9744" xr:uid="{BC621C3E-CC7C-4C12-914D-151AB98E7A6F}"/>
    <cellStyle name="Normal 2 3 24" xfId="9745" xr:uid="{16237D9F-DFC0-40CE-8B27-27F50233DEF6}"/>
    <cellStyle name="Normal 2 3 24 2" xfId="9746" xr:uid="{CA5BEFA1-B35C-4D5C-AFF1-1AB06B5E78C5}"/>
    <cellStyle name="Normal 2 3 24 3" xfId="9747" xr:uid="{9113DB3B-F252-4071-A4B9-847DB8812776}"/>
    <cellStyle name="Normal 2 3 24 4" xfId="9748" xr:uid="{7190CBC3-50C9-4D7A-BD56-08225A7164DA}"/>
    <cellStyle name="Normal 2 3 24 5" xfId="9749" xr:uid="{648EAD36-F680-4785-AFAD-EA977BA829C9}"/>
    <cellStyle name="Normal 2 3 24 6" xfId="9750" xr:uid="{76E2172E-0582-4A29-BF82-C3B4506BA91D}"/>
    <cellStyle name="Normal 2 3 25" xfId="9751" xr:uid="{B50A74BF-F56D-463B-884B-5CF1188244DE}"/>
    <cellStyle name="Normal 2 3 25 2" xfId="9752" xr:uid="{D5F3BF58-C8BA-412F-8F35-BDA90C578F20}"/>
    <cellStyle name="Normal 2 3 25 3" xfId="9753" xr:uid="{AB0BB6A4-673E-45C5-89BC-246011A1B594}"/>
    <cellStyle name="Normal 2 3 25 4" xfId="9754" xr:uid="{44AB62D8-FC18-45DC-B1E3-0D57ED6C870D}"/>
    <cellStyle name="Normal 2 3 25 5" xfId="9755" xr:uid="{EEC1B59E-16ED-495E-B776-9B1C3B9B0165}"/>
    <cellStyle name="Normal 2 3 25 6" xfId="9756" xr:uid="{F85B1AD9-119F-4E57-81D4-8E936EAABD0A}"/>
    <cellStyle name="Normal 2 3 26" xfId="9757" xr:uid="{211BEF7F-1829-45FC-B084-89F6491AF0FA}"/>
    <cellStyle name="Normal 2 3 26 2" xfId="9758" xr:uid="{48DAE7A2-CFED-48B7-8084-0851039C1085}"/>
    <cellStyle name="Normal 2 3 26 3" xfId="9759" xr:uid="{E06561A5-9ECF-4A76-A51D-7720A4A0C70B}"/>
    <cellStyle name="Normal 2 3 26 4" xfId="9760" xr:uid="{F59B00D8-5B0B-4424-A6F2-767217583E3F}"/>
    <cellStyle name="Normal 2 3 26 5" xfId="9761" xr:uid="{EBA6993D-D0CA-4824-91DF-F5508D78A5F7}"/>
    <cellStyle name="Normal 2 3 26 6" xfId="9762" xr:uid="{43AB5ED5-B6D7-43AA-BA61-0805481543D5}"/>
    <cellStyle name="Normal 2 3 27" xfId="9763" xr:uid="{C6FA2547-A1A6-4A85-B081-7FCE1F0A12D6}"/>
    <cellStyle name="Normal 2 3 27 10" xfId="9764" xr:uid="{1462C31B-B9ED-4B08-BF86-60EC938811D9}"/>
    <cellStyle name="Normal 2 3 27 2" xfId="9765" xr:uid="{68733165-82F1-4FF8-88A0-56F2CB8DEA8D}"/>
    <cellStyle name="Normal 2 3 27 2 2" xfId="9766" xr:uid="{91EE0893-3A7D-4E07-8F08-3C07FA9BC409}"/>
    <cellStyle name="Normal 2 3 27 2 3" xfId="9767" xr:uid="{A3C2E2AA-EDBD-45A9-BC69-440C3F3D3B35}"/>
    <cellStyle name="Normal 2 3 27 2 4" xfId="9768" xr:uid="{1DC20017-BE02-4961-86C0-FBA13BA3BE2D}"/>
    <cellStyle name="Normal 2 3 27 2 5" xfId="9769" xr:uid="{B17744BB-3063-4121-94FB-D1DB70291E55}"/>
    <cellStyle name="Normal 2 3 27 2 6" xfId="9770" xr:uid="{1EA0CEC1-3E7E-4277-9645-8CFF19AAB870}"/>
    <cellStyle name="Normal 2 3 27 3" xfId="9771" xr:uid="{888FBD29-E124-4211-B799-3BA21059F97D}"/>
    <cellStyle name="Normal 2 3 27 4" xfId="9772" xr:uid="{83A00E35-3964-44DD-ADD2-2C175B636D61}"/>
    <cellStyle name="Normal 2 3 27 5" xfId="9773" xr:uid="{3766104F-0528-4E36-945F-E6D4C9B34401}"/>
    <cellStyle name="Normal 2 3 27 6" xfId="9774" xr:uid="{B98B8FE7-C147-479B-A0AF-FFE8DB538378}"/>
    <cellStyle name="Normal 2 3 27 7" xfId="9775" xr:uid="{D181B047-5788-48EC-8A8C-EE47C3D093EF}"/>
    <cellStyle name="Normal 2 3 27 8" xfId="9776" xr:uid="{7ECD5B4C-2A94-4145-A003-98EDCA02F1CE}"/>
    <cellStyle name="Normal 2 3 27 9" xfId="9777" xr:uid="{7AC18C82-36DD-4C6C-9184-FC11A9DE2789}"/>
    <cellStyle name="Normal 2 3 28" xfId="9778" xr:uid="{31C83912-F1D5-47F8-ACB4-D8356204BC29}"/>
    <cellStyle name="Normal 2 3 28 2" xfId="9779" xr:uid="{5495EFBF-49C6-486C-9518-373EBABED9CA}"/>
    <cellStyle name="Normal 2 3 28 3" xfId="9780" xr:uid="{84766FF5-9B88-4353-BDB8-9888CAADBD46}"/>
    <cellStyle name="Normal 2 3 28 4" xfId="9781" xr:uid="{3D5D9CA4-1949-4253-9EFB-9FE65728F8B5}"/>
    <cellStyle name="Normal 2 3 28 5" xfId="9782" xr:uid="{1AD9E285-3CBE-4B22-9EC1-6E555FFD0DBE}"/>
    <cellStyle name="Normal 2 3 28 6" xfId="9783" xr:uid="{8AF86F61-A224-457B-ACFA-1808CE746A96}"/>
    <cellStyle name="Normal 2 3 29" xfId="9784" xr:uid="{3633BC96-7767-4C0E-83FE-B984B74876CA}"/>
    <cellStyle name="Normal 2 3 29 2" xfId="9785" xr:uid="{5E766AA3-7B1A-4FEB-AEAA-04899730AA34}"/>
    <cellStyle name="Normal 2 3 29 3" xfId="9786" xr:uid="{BB29307F-8D86-4412-B3B7-9D80E1A4ABCB}"/>
    <cellStyle name="Normal 2 3 29 4" xfId="9787" xr:uid="{2315DF21-3699-4250-AD71-EE9ADDF3510F}"/>
    <cellStyle name="Normal 2 3 29 5" xfId="9788" xr:uid="{0C9E3705-A81B-4EB4-97F9-53FD6AC9FB48}"/>
    <cellStyle name="Normal 2 3 29 6" xfId="9789" xr:uid="{2E5F9F0B-E33C-4640-8641-A07CA208B850}"/>
    <cellStyle name="Normal 2 3 3" xfId="9790" xr:uid="{FFD08348-0F4D-4143-BFD4-25A275435B5E}"/>
    <cellStyle name="Normal 2 3 3 10" xfId="9791" xr:uid="{6B253191-4E6E-41E3-91BB-D7586738F41D}"/>
    <cellStyle name="Normal 2 3 3 11" xfId="9792" xr:uid="{7060C03E-AD01-4C72-8E38-C8E62A76967A}"/>
    <cellStyle name="Normal 2 3 3 12" xfId="9793" xr:uid="{5720A5A3-FDF6-4029-B5B3-2EFBCD2783CA}"/>
    <cellStyle name="Normal 2 3 3 13" xfId="9794" xr:uid="{4BDCE2EF-D084-4D4C-8EEA-0DFBCA2CBD12}"/>
    <cellStyle name="Normal 2 3 3 14" xfId="9795" xr:uid="{4C43FD1F-2100-442D-BF1A-558A1666114F}"/>
    <cellStyle name="Normal 2 3 3 15" xfId="9796" xr:uid="{D5C7B2E6-D040-44DE-8026-4DE51C6624A7}"/>
    <cellStyle name="Normal 2 3 3 16" xfId="9797" xr:uid="{192FD12D-6158-46CE-B368-B4804A255E69}"/>
    <cellStyle name="Normal 2 3 3 17" xfId="9798" xr:uid="{1ED2C055-AA9D-449C-AA83-E89FA634F233}"/>
    <cellStyle name="Normal 2 3 3 18" xfId="9799" xr:uid="{3E0B44B0-967B-4D38-A77B-F43AD2164811}"/>
    <cellStyle name="Normal 2 3 3 19" xfId="9800" xr:uid="{A2BBF2EE-2FB7-4630-9A3B-172C135F675F}"/>
    <cellStyle name="Normal 2 3 3 2" xfId="9801" xr:uid="{E3539DAA-9E40-4C85-A12D-A11FCE351D97}"/>
    <cellStyle name="Normal 2 3 3 2 10" xfId="9802" xr:uid="{6CE9CFAD-84AD-4BFE-92BA-9765CF9A1E75}"/>
    <cellStyle name="Normal 2 3 3 2 11" xfId="9803" xr:uid="{141F2489-DB37-4FAD-9F6B-A8AEAD1CBBB1}"/>
    <cellStyle name="Normal 2 3 3 2 12" xfId="9804" xr:uid="{E5C11079-48C8-4CB8-BD75-5A7216046360}"/>
    <cellStyle name="Normal 2 3 3 2 13" xfId="9805" xr:uid="{EAB5CAB9-B8B0-4951-942D-BBECD66CD94F}"/>
    <cellStyle name="Normal 2 3 3 2 14" xfId="9806" xr:uid="{ED358E48-C822-4D05-AF30-D125C234EA1F}"/>
    <cellStyle name="Normal 2 3 3 2 15" xfId="9807" xr:uid="{2F3D5326-977E-4C66-88B2-E1FB5775DEA6}"/>
    <cellStyle name="Normal 2 3 3 2 16" xfId="9808" xr:uid="{F51569A0-4F20-43FC-B9F7-E57FB84BDCEF}"/>
    <cellStyle name="Normal 2 3 3 2 17" xfId="9809" xr:uid="{139600C0-0292-43E8-B453-0B4E515A077B}"/>
    <cellStyle name="Normal 2 3 3 2 18" xfId="9810" xr:uid="{F1EF01B4-FE0C-4222-9129-8B641E7B40D5}"/>
    <cellStyle name="Normal 2 3 3 2 19" xfId="9811" xr:uid="{CDF203DD-DF09-4698-9BE5-5F82BD99C510}"/>
    <cellStyle name="Normal 2 3 3 2 2" xfId="9812" xr:uid="{B080F02D-B890-403F-AE76-94ADD352EC4E}"/>
    <cellStyle name="Normal 2 3 3 2 2 10" xfId="9813" xr:uid="{ADE4C288-9276-454C-B5E7-C2A2FE32907D}"/>
    <cellStyle name="Normal 2 3 3 2 2 11" xfId="9814" xr:uid="{2F0420B5-8A62-4EE3-92A8-ABA49E8D7E18}"/>
    <cellStyle name="Normal 2 3 3 2 2 12" xfId="9815" xr:uid="{EEB13E37-1E83-44DC-B6D8-334B95CD18F7}"/>
    <cellStyle name="Normal 2 3 3 2 2 13" xfId="9816" xr:uid="{B057746F-D4FF-43A6-A9E5-4E691DFC4D10}"/>
    <cellStyle name="Normal 2 3 3 2 2 14" xfId="9817" xr:uid="{FC5CCBCB-980E-4FEA-9BF2-6BEA8661A7EF}"/>
    <cellStyle name="Normal 2 3 3 2 2 15" xfId="9818" xr:uid="{CBFF63E0-4CEA-4B3E-80BC-B9F8452A1640}"/>
    <cellStyle name="Normal 2 3 3 2 2 16" xfId="9819" xr:uid="{65C2D52E-E88C-4712-A7F0-FEC28D8A33A4}"/>
    <cellStyle name="Normal 2 3 3 2 2 17" xfId="9820" xr:uid="{DF3415F4-E416-4145-9466-232141B18171}"/>
    <cellStyle name="Normal 2 3 3 2 2 18" xfId="9821" xr:uid="{0B0EC315-AE2C-480C-9379-5F5C7677E74B}"/>
    <cellStyle name="Normal 2 3 3 2 2 19" xfId="9822" xr:uid="{7C947128-91C4-426E-A29F-765A6331888E}"/>
    <cellStyle name="Normal 2 3 3 2 2 2" xfId="9823" xr:uid="{D0D6714E-B3DF-48E1-BAD5-F8D0BD46B3FA}"/>
    <cellStyle name="Normal 2 3 3 2 2 2 10" xfId="9824" xr:uid="{D53246EB-A935-457E-A89A-8AA1491D584C}"/>
    <cellStyle name="Normal 2 3 3 2 2 2 11" xfId="9825" xr:uid="{4B2EB902-E6A3-425D-975A-3F714EF642DB}"/>
    <cellStyle name="Normal 2 3 3 2 2 2 12" xfId="9826" xr:uid="{ABF34A18-760C-49DF-A13F-D48608C1803F}"/>
    <cellStyle name="Normal 2 3 3 2 2 2 13" xfId="9827" xr:uid="{ADEEAE45-397C-4574-A361-0EE5CB539C53}"/>
    <cellStyle name="Normal 2 3 3 2 2 2 14" xfId="9828" xr:uid="{E9F67815-A4EE-45A0-B33E-5954C93FAE4B}"/>
    <cellStyle name="Normal 2 3 3 2 2 2 15" xfId="9829" xr:uid="{662F1581-2CD9-471D-80AC-A6F7933FED96}"/>
    <cellStyle name="Normal 2 3 3 2 2 2 16" xfId="9830" xr:uid="{9FF9004E-BF35-4F29-861F-EAB281861515}"/>
    <cellStyle name="Normal 2 3 3 2 2 2 17" xfId="9831" xr:uid="{07902682-45F7-490C-872D-6993EFCD3454}"/>
    <cellStyle name="Normal 2 3 3 2 2 2 18" xfId="9832" xr:uid="{DC6053FB-339F-49A3-819A-76C36AD5C101}"/>
    <cellStyle name="Normal 2 3 3 2 2 2 19" xfId="9833" xr:uid="{D68AA124-C83C-4CBC-8725-6F3B70CB2EBA}"/>
    <cellStyle name="Normal 2 3 3 2 2 2 2" xfId="9834" xr:uid="{4AAF39DB-8A07-4A19-A83E-E0FAC0C0A08C}"/>
    <cellStyle name="Normal 2 3 3 2 2 2 20" xfId="9835" xr:uid="{1F07B757-92EE-4440-A0BE-3D5FF67A710C}"/>
    <cellStyle name="Normal 2 3 3 2 2 2 21" xfId="9836" xr:uid="{9E7F0188-93C2-4078-B130-1D0EFFF431D7}"/>
    <cellStyle name="Normal 2 3 3 2 2 2 22" xfId="9837" xr:uid="{08CDC07D-91E5-481B-80FE-606171D58C16}"/>
    <cellStyle name="Normal 2 3 3 2 2 2 23" xfId="9838" xr:uid="{5893C992-0D06-4EE9-BB3A-B34A972AA07E}"/>
    <cellStyle name="Normal 2 3 3 2 2 2 24" xfId="9839" xr:uid="{E5754366-C350-4293-8E9B-D9C56C0D5AFE}"/>
    <cellStyle name="Normal 2 3 3 2 2 2 25" xfId="9840" xr:uid="{1BB1366B-EC72-431D-83F7-1E3538E17E09}"/>
    <cellStyle name="Normal 2 3 3 2 2 2 26" xfId="9841" xr:uid="{0B9C21F0-73D7-4912-A3FB-CD38CA8FBDFE}"/>
    <cellStyle name="Normal 2 3 3 2 2 2 27" xfId="9842" xr:uid="{408AC43F-ABC8-4746-97DB-B9E9892F212C}"/>
    <cellStyle name="Normal 2 3 3 2 2 2 28" xfId="9843" xr:uid="{D4F9A42A-25BC-4326-AE3A-F2C978CC520B}"/>
    <cellStyle name="Normal 2 3 3 2 2 2 29" xfId="9844" xr:uid="{C09A2ED7-6D17-42CF-A0B0-FC6F8F1A0C0B}"/>
    <cellStyle name="Normal 2 3 3 2 2 2 3" xfId="9845" xr:uid="{F9B2B9E4-062E-44C0-B861-E1E98F8585E9}"/>
    <cellStyle name="Normal 2 3 3 2 2 2 30" xfId="9846" xr:uid="{AD33FE15-F738-43D1-89B9-19C83D880FCA}"/>
    <cellStyle name="Normal 2 3 3 2 2 2 31" xfId="9847" xr:uid="{699F9DCF-098D-416C-94B8-F307323589A3}"/>
    <cellStyle name="Normal 2 3 3 2 2 2 32" xfId="9848" xr:uid="{3211B288-5370-48E7-88ED-304BCB0E27AF}"/>
    <cellStyle name="Normal 2 3 3 2 2 2 33" xfId="9849" xr:uid="{2DBB701C-2594-4634-9045-7DDF144A620A}"/>
    <cellStyle name="Normal 2 3 3 2 2 2 34" xfId="9850" xr:uid="{C5C59C45-2C3E-4BD0-ABC0-E3790D66BDEE}"/>
    <cellStyle name="Normal 2 3 3 2 2 2 35" xfId="9851" xr:uid="{7AFB4B3E-9410-463A-8FAC-C071C29F7DAD}"/>
    <cellStyle name="Normal 2 3 3 2 2 2 36" xfId="9852" xr:uid="{6E87CAE4-C606-48FE-9D81-5FF44D7D2720}"/>
    <cellStyle name="Normal 2 3 3 2 2 2 37" xfId="9853" xr:uid="{F2D6748B-FB33-4131-B5EB-9778DD3701E7}"/>
    <cellStyle name="Normal 2 3 3 2 2 2 38" xfId="9854" xr:uid="{4FF5B0CD-611E-4DC3-B260-AAA7134A5D32}"/>
    <cellStyle name="Normal 2 3 3 2 2 2 4" xfId="9855" xr:uid="{D07B0594-99BC-4936-BC27-8A5EFD8FB743}"/>
    <cellStyle name="Normal 2 3 3 2 2 2 5" xfId="9856" xr:uid="{09B78CCB-12DD-45AE-81F4-964EFC86A04E}"/>
    <cellStyle name="Normal 2 3 3 2 2 2 6" xfId="9857" xr:uid="{8644EEE7-1993-41C7-8745-CC4BF35AF3B5}"/>
    <cellStyle name="Normal 2 3 3 2 2 2 7" xfId="9858" xr:uid="{DFE61A24-2738-419A-A5DC-E6A6414B2CBF}"/>
    <cellStyle name="Normal 2 3 3 2 2 2 8" xfId="9859" xr:uid="{12D8AFB5-D96D-4E83-8336-FFA12AE65B88}"/>
    <cellStyle name="Normal 2 3 3 2 2 2 9" xfId="9860" xr:uid="{26FE0554-51A7-45C4-B753-D0118D39C0D1}"/>
    <cellStyle name="Normal 2 3 3 2 2 20" xfId="9861" xr:uid="{2AD026C6-9AED-47B9-846E-11CF96BA531C}"/>
    <cellStyle name="Normal 2 3 3 2 2 21" xfId="9862" xr:uid="{7880C198-B7CB-4F10-9884-1A5BD3B09E3A}"/>
    <cellStyle name="Normal 2 3 3 2 2 22" xfId="9863" xr:uid="{8CED3D54-BA88-488E-8D8D-3CA51BA5C363}"/>
    <cellStyle name="Normal 2 3 3 2 2 23" xfId="9864" xr:uid="{746C1D2D-3DB8-48BF-8B3A-F3E5D03BFDF4}"/>
    <cellStyle name="Normal 2 3 3 2 2 24" xfId="9865" xr:uid="{2D30958A-57BF-4778-9B4D-EDC4AA9DF47E}"/>
    <cellStyle name="Normal 2 3 3 2 2 25" xfId="9866" xr:uid="{20DB1EFB-4536-45FD-8F21-EC87BA2AA149}"/>
    <cellStyle name="Normal 2 3 3 2 2 26" xfId="9867" xr:uid="{6628FEA3-7402-4EB2-B434-2E04C85E72C6}"/>
    <cellStyle name="Normal 2 3 3 2 2 27" xfId="9868" xr:uid="{AE0F8C92-E6DA-4189-9479-D2300FA85A48}"/>
    <cellStyle name="Normal 2 3 3 2 2 28" xfId="9869" xr:uid="{709D0067-8DA4-4DB5-B218-19CE93854648}"/>
    <cellStyle name="Normal 2 3 3 2 2 29" xfId="9870" xr:uid="{75181DA1-0E38-4A46-BAE0-AC1F32D4FBF9}"/>
    <cellStyle name="Normal 2 3 3 2 2 3" xfId="9871" xr:uid="{E9BC1DEA-F71D-48A0-9204-159A2DC454FD}"/>
    <cellStyle name="Normal 2 3 3 2 2 30" xfId="9872" xr:uid="{05DD8FA9-F2B2-4BAE-9D06-3F4A8EBB7ED9}"/>
    <cellStyle name="Normal 2 3 3 2 2 31" xfId="9873" xr:uid="{B2557935-F480-43AF-98C7-C8988F284B15}"/>
    <cellStyle name="Normal 2 3 3 2 2 32" xfId="9874" xr:uid="{ED5BE293-9420-465D-8F91-1C7221CC0963}"/>
    <cellStyle name="Normal 2 3 3 2 2 33" xfId="9875" xr:uid="{F78BE516-E5C1-4D62-A079-91C198F2CE7C}"/>
    <cellStyle name="Normal 2 3 3 2 2 34" xfId="9876" xr:uid="{5C7DD956-7FAB-41A2-88D3-E5B2B4269A53}"/>
    <cellStyle name="Normal 2 3 3 2 2 35" xfId="9877" xr:uid="{C71B8137-B886-4267-BB61-37D8DEAB2791}"/>
    <cellStyle name="Normal 2 3 3 2 2 36" xfId="9878" xr:uid="{5C5C6AD3-F5B1-4DAE-8E71-3593CF8919CA}"/>
    <cellStyle name="Normal 2 3 3 2 2 37" xfId="9879" xr:uid="{9CE175DA-095D-48F5-858C-A1E33435EE26}"/>
    <cellStyle name="Normal 2 3 3 2 2 38" xfId="9880" xr:uid="{19D470EB-2F64-4B73-B2A5-F56CA3D15DFD}"/>
    <cellStyle name="Normal 2 3 3 2 2 4" xfId="9881" xr:uid="{141D7551-99FD-4AB1-BBF2-34283CB6E096}"/>
    <cellStyle name="Normal 2 3 3 2 2 5" xfId="9882" xr:uid="{865BDAA3-0F80-4014-AB81-5A2062C8D6EA}"/>
    <cellStyle name="Normal 2 3 3 2 2 6" xfId="9883" xr:uid="{AAF39044-65D7-49FB-A4E3-787F5E4FACDE}"/>
    <cellStyle name="Normal 2 3 3 2 2 7" xfId="9884" xr:uid="{6A69EE0C-DD31-4F92-854C-32430CAF02CC}"/>
    <cellStyle name="Normal 2 3 3 2 2 8" xfId="9885" xr:uid="{0AB60A85-1802-42CD-8053-7D8F726181AB}"/>
    <cellStyle name="Normal 2 3 3 2 2 9" xfId="9886" xr:uid="{B1627E46-9F5F-451F-B8BA-FD03DD8028D3}"/>
    <cellStyle name="Normal 2 3 3 2 20" xfId="9887" xr:uid="{FC5316DC-7C30-4F88-95FB-9FB93FC5D670}"/>
    <cellStyle name="Normal 2 3 3 2 21" xfId="9888" xr:uid="{4024EF77-F470-46AB-BE7E-DE6288E51257}"/>
    <cellStyle name="Normal 2 3 3 2 22" xfId="9889" xr:uid="{25BB55BB-2422-4AFF-B3EE-95803327CA47}"/>
    <cellStyle name="Normal 2 3 3 2 23" xfId="9890" xr:uid="{772DAC25-1DE6-4838-9881-261691899B9E}"/>
    <cellStyle name="Normal 2 3 3 2 24" xfId="9891" xr:uid="{4E907904-2FA6-43D8-B92C-893DEA1C6A81}"/>
    <cellStyle name="Normal 2 3 3 2 25" xfId="9892" xr:uid="{66EAF70B-C325-4491-9049-E980A7686243}"/>
    <cellStyle name="Normal 2 3 3 2 26" xfId="9893" xr:uid="{BA5844FB-4D77-4A3A-BF8C-D38E144B760E}"/>
    <cellStyle name="Normal 2 3 3 2 27" xfId="9894" xr:uid="{8C07AB4D-8CD5-471F-850A-5549C2341B64}"/>
    <cellStyle name="Normal 2 3 3 2 28" xfId="9895" xr:uid="{5337EB86-D9D7-4E8A-87A0-1993F1F62EAA}"/>
    <cellStyle name="Normal 2 3 3 2 29" xfId="9896" xr:uid="{1A7ED236-FF16-42F0-9BDA-42B7D712C0EC}"/>
    <cellStyle name="Normal 2 3 3 2 3" xfId="9897" xr:uid="{8EEB68A5-0B61-4533-90E6-2DD3A20A8654}"/>
    <cellStyle name="Normal 2 3 3 2 30" xfId="9898" xr:uid="{B4C19F71-2B61-4490-BA81-2181F6368AE9}"/>
    <cellStyle name="Normal 2 3 3 2 31" xfId="9899" xr:uid="{8AD957A6-8EBA-48F1-BBE2-965E96AC1937}"/>
    <cellStyle name="Normal 2 3 3 2 32" xfId="9900" xr:uid="{14E74586-8A1A-4BED-985B-1D43C0F33114}"/>
    <cellStyle name="Normal 2 3 3 2 33" xfId="9901" xr:uid="{3C9F8692-02D2-4910-B8EE-8E7FE7262379}"/>
    <cellStyle name="Normal 2 3 3 2 34" xfId="9902" xr:uid="{4BCBC0ED-8715-4191-8795-A18FB8BFA0BE}"/>
    <cellStyle name="Normal 2 3 3 2 35" xfId="9903" xr:uid="{F18814D1-200E-4F48-B168-F5AE7F383831}"/>
    <cellStyle name="Normal 2 3 3 2 36" xfId="9904" xr:uid="{25330216-E81C-4332-B383-417B2F8660D6}"/>
    <cellStyle name="Normal 2 3 3 2 37" xfId="9905" xr:uid="{29EEB452-7C6F-454A-8EFB-D4E5A0DBB9B9}"/>
    <cellStyle name="Normal 2 3 3 2 38" xfId="9906" xr:uid="{5A9CC4AA-3D41-41EB-9A42-2320DE907EDB}"/>
    <cellStyle name="Normal 2 3 3 2 39" xfId="9907" xr:uid="{9A6E4413-CFFC-45CE-A9E2-94BED31FFC8D}"/>
    <cellStyle name="Normal 2 3 3 2 4" xfId="9908" xr:uid="{32F5F1AA-58BB-4C1E-BDE3-4C2424768AA3}"/>
    <cellStyle name="Normal 2 3 3 2 40" xfId="9909" xr:uid="{BBC6FAD8-4C69-41D2-9AEC-8D78A1E9A46D}"/>
    <cellStyle name="Normal 2 3 3 2 41" xfId="9910" xr:uid="{6DAFB0B6-E3D7-489B-BED5-E79327E1BC51}"/>
    <cellStyle name="Normal 2 3 3 2 42" xfId="9911" xr:uid="{C92DBA41-F058-4080-8EC1-AFFAB49AC124}"/>
    <cellStyle name="Normal 2 3 3 2 43" xfId="9912" xr:uid="{BBD99D3E-F5BA-4B96-A526-04492CB16014}"/>
    <cellStyle name="Normal 2 3 3 2 44" xfId="9913" xr:uid="{6467991A-9646-4701-91AC-68B7B52851A7}"/>
    <cellStyle name="Normal 2 3 3 2 45" xfId="9914" xr:uid="{09CD3348-834E-4D9D-961A-A2EBFAAC981D}"/>
    <cellStyle name="Normal 2 3 3 2 46" xfId="9915" xr:uid="{90642AE6-C54B-4444-B634-10228A6181F9}"/>
    <cellStyle name="Normal 2 3 3 2 47" xfId="9916" xr:uid="{04313ADB-99BB-4413-93AD-C40B06089D28}"/>
    <cellStyle name="Normal 2 3 3 2 5" xfId="9917" xr:uid="{5D6DEF85-FC69-46AD-988E-D4AABB0B1230}"/>
    <cellStyle name="Normal 2 3 3 2 6" xfId="9918" xr:uid="{A9DC95FE-2408-4B11-B05B-AD52D08182A2}"/>
    <cellStyle name="Normal 2 3 3 2 7" xfId="9919" xr:uid="{4E0A0E5A-3A46-4650-B3D3-1D764F10D954}"/>
    <cellStyle name="Normal 2 3 3 2 8" xfId="9920" xr:uid="{243DBC10-5930-44E7-B6EB-92703E0BC5A8}"/>
    <cellStyle name="Normal 2 3 3 2 9" xfId="9921" xr:uid="{4AF11580-6E48-492B-BCA9-4B397D5DB5AA}"/>
    <cellStyle name="Normal 2 3 3 20" xfId="9922" xr:uid="{314748FC-5CA4-4BF8-8FE5-29019E77FD5C}"/>
    <cellStyle name="Normal 2 3 3 21" xfId="9923" xr:uid="{98291937-5347-4A8F-89A1-3C9203FBE369}"/>
    <cellStyle name="Normal 2 3 3 22" xfId="9924" xr:uid="{521280EE-575D-4E75-BCD9-0CF1313CEDF7}"/>
    <cellStyle name="Normal 2 3 3 23" xfId="9925" xr:uid="{6B148868-4D23-4DB3-9D41-5F568CFCDB13}"/>
    <cellStyle name="Normal 2 3 3 24" xfId="9926" xr:uid="{3FCBCC28-03EB-48C8-873C-020BCF312AC2}"/>
    <cellStyle name="Normal 2 3 3 25" xfId="9927" xr:uid="{1C90389D-F15D-461C-BB6C-E2125245F4D2}"/>
    <cellStyle name="Normal 2 3 3 26" xfId="9928" xr:uid="{C6DC3BB7-3FD7-4717-9103-BBC3961D9CB2}"/>
    <cellStyle name="Normal 2 3 3 27" xfId="9929" xr:uid="{0F9E4F56-4799-4610-8C87-997C0F0DE88A}"/>
    <cellStyle name="Normal 2 3 3 28" xfId="9930" xr:uid="{E8381BC1-8A22-4E44-BF41-7B135876A79D}"/>
    <cellStyle name="Normal 2 3 3 29" xfId="9931" xr:uid="{6A21FEBA-3E67-45C8-9793-6EB5DA408567}"/>
    <cellStyle name="Normal 2 3 3 3" xfId="9932" xr:uid="{74945454-2920-462A-88C2-769834868D20}"/>
    <cellStyle name="Normal 2 3 3 3 10" xfId="9933" xr:uid="{596A548A-9C80-431F-B04F-7132B769486A}"/>
    <cellStyle name="Normal 2 3 3 3 11" xfId="9934" xr:uid="{D7A175E2-2AA8-4C12-8A66-9A6E8A80DDED}"/>
    <cellStyle name="Normal 2 3 3 3 12" xfId="9935" xr:uid="{55B2D2D2-8C11-454A-8913-B5F28CBF41AC}"/>
    <cellStyle name="Normal 2 3 3 3 13" xfId="9936" xr:uid="{4A69A5FB-A2FE-4A72-A745-E1A57B149BAF}"/>
    <cellStyle name="Normal 2 3 3 3 14" xfId="9937" xr:uid="{58834EDE-2AE9-4834-A940-DA0379CAF16B}"/>
    <cellStyle name="Normal 2 3 3 3 15" xfId="9938" xr:uid="{34699B31-2CF8-441D-8FA8-BB62F5BD623A}"/>
    <cellStyle name="Normal 2 3 3 3 16" xfId="9939" xr:uid="{2B70FDA3-74CC-403A-BC1E-32F7708CBC73}"/>
    <cellStyle name="Normal 2 3 3 3 17" xfId="9940" xr:uid="{70393936-A416-4553-900B-4980CF54D7C2}"/>
    <cellStyle name="Normal 2 3 3 3 18" xfId="9941" xr:uid="{E2CD3FC6-4256-4BD2-9B86-3C0E3EEFEA4E}"/>
    <cellStyle name="Normal 2 3 3 3 19" xfId="9942" xr:uid="{F3D3DC32-F831-4F7B-A705-CBD6F1CF16B9}"/>
    <cellStyle name="Normal 2 3 3 3 2" xfId="9943" xr:uid="{442E3D37-30F9-4401-B2E4-C61CC8B2F772}"/>
    <cellStyle name="Normal 2 3 3 3 2 10" xfId="9944" xr:uid="{AFEF900F-16F3-4DA7-A792-064CF8A458B0}"/>
    <cellStyle name="Normal 2 3 3 3 2 11" xfId="9945" xr:uid="{F963FC98-2BF8-4E6D-84F9-B96FD8A3E96C}"/>
    <cellStyle name="Normal 2 3 3 3 2 12" xfId="9946" xr:uid="{BBF36F88-05BA-4E10-B7A5-295123D4C55E}"/>
    <cellStyle name="Normal 2 3 3 3 2 13" xfId="9947" xr:uid="{FE221E54-E029-46CD-9A11-FC5BE7B7C2E4}"/>
    <cellStyle name="Normal 2 3 3 3 2 14" xfId="9948" xr:uid="{A0507453-4121-407D-86FE-FB98AAC74CC8}"/>
    <cellStyle name="Normal 2 3 3 3 2 15" xfId="9949" xr:uid="{E332B143-A6F6-4483-B0A6-12E456005018}"/>
    <cellStyle name="Normal 2 3 3 3 2 16" xfId="9950" xr:uid="{6EDBF345-9709-4E6B-A8AE-33A04DD5A88B}"/>
    <cellStyle name="Normal 2 3 3 3 2 17" xfId="9951" xr:uid="{4D7AF655-4967-4B9B-A980-0FD8D9525D6A}"/>
    <cellStyle name="Normal 2 3 3 3 2 18" xfId="9952" xr:uid="{691A2F08-6B08-44C6-973F-ABAE8CC8F126}"/>
    <cellStyle name="Normal 2 3 3 3 2 19" xfId="9953" xr:uid="{508E1DF5-97A8-4B4E-97C5-80782A28069A}"/>
    <cellStyle name="Normal 2 3 3 3 2 2" xfId="9954" xr:uid="{7D1B7AFD-F269-47C9-96A3-D4A5F8C4ABC5}"/>
    <cellStyle name="Normal 2 3 3 3 2 20" xfId="9955" xr:uid="{5A9C741C-6900-41AA-A874-0DC7D1E6D40D}"/>
    <cellStyle name="Normal 2 3 3 3 2 21" xfId="9956" xr:uid="{5C541180-4D1E-41F8-BCB2-9E30D9043109}"/>
    <cellStyle name="Normal 2 3 3 3 2 22" xfId="9957" xr:uid="{EE5BC865-8B3A-435B-A43F-F86FE0B6A168}"/>
    <cellStyle name="Normal 2 3 3 3 2 23" xfId="9958" xr:uid="{60447AF3-18DA-4B7D-A079-BF3877ABB67A}"/>
    <cellStyle name="Normal 2 3 3 3 2 24" xfId="9959" xr:uid="{6FFEE3CD-093C-4780-8059-F9EE0EB0E744}"/>
    <cellStyle name="Normal 2 3 3 3 2 25" xfId="9960" xr:uid="{A219D9FD-BCA7-4BD3-8910-ED7DABA2F55C}"/>
    <cellStyle name="Normal 2 3 3 3 2 26" xfId="9961" xr:uid="{ABEFB645-0BE5-465D-B291-6934CCBF0704}"/>
    <cellStyle name="Normal 2 3 3 3 2 27" xfId="9962" xr:uid="{4412B684-A3A1-4440-9FAE-B8A5352DD095}"/>
    <cellStyle name="Normal 2 3 3 3 2 28" xfId="9963" xr:uid="{0F5F949B-10C2-4174-9F07-99A410550E40}"/>
    <cellStyle name="Normal 2 3 3 3 2 29" xfId="9964" xr:uid="{27A8692A-3885-43D5-92E0-DB4D2DA7DB96}"/>
    <cellStyle name="Normal 2 3 3 3 2 3" xfId="9965" xr:uid="{0B3147C3-05C5-496A-8949-115AB0BAC375}"/>
    <cellStyle name="Normal 2 3 3 3 2 30" xfId="9966" xr:uid="{4BED2CE7-D6D9-4FEB-A2FC-B7A51B833D55}"/>
    <cellStyle name="Normal 2 3 3 3 2 31" xfId="9967" xr:uid="{9EBB8145-E71C-4721-8F0F-15C97CC36AC1}"/>
    <cellStyle name="Normal 2 3 3 3 2 32" xfId="9968" xr:uid="{0BA8873F-90A5-448D-90F5-11EEE88C51DA}"/>
    <cellStyle name="Normal 2 3 3 3 2 33" xfId="9969" xr:uid="{9F7B5B61-B3E7-4A05-AB8F-C636584B98A9}"/>
    <cellStyle name="Normal 2 3 3 3 2 34" xfId="9970" xr:uid="{00783F60-58CA-4E43-9999-D6A1DD09E0B7}"/>
    <cellStyle name="Normal 2 3 3 3 2 35" xfId="9971" xr:uid="{66EAA41A-F0DF-444C-A31C-20F8CF6C7FB1}"/>
    <cellStyle name="Normal 2 3 3 3 2 36" xfId="9972" xr:uid="{522B1824-6EAB-4660-BAEA-1F76A3C0EF0A}"/>
    <cellStyle name="Normal 2 3 3 3 2 37" xfId="9973" xr:uid="{202DEF59-ECA7-4BCA-B507-BFBEB40E2E47}"/>
    <cellStyle name="Normal 2 3 3 3 2 38" xfId="9974" xr:uid="{EC0675E1-9B39-4CFA-83AB-8F786B930EAD}"/>
    <cellStyle name="Normal 2 3 3 3 2 4" xfId="9975" xr:uid="{4C090817-A479-49A2-88AD-20E8343ED19F}"/>
    <cellStyle name="Normal 2 3 3 3 2 5" xfId="9976" xr:uid="{997D7B7A-679B-4ED4-AA92-696210C35FDD}"/>
    <cellStyle name="Normal 2 3 3 3 2 6" xfId="9977" xr:uid="{D504B432-B38B-46CF-8823-ACC6881533BE}"/>
    <cellStyle name="Normal 2 3 3 3 2 7" xfId="9978" xr:uid="{EB840891-D9E1-4081-9FAC-C7F7C2BE3777}"/>
    <cellStyle name="Normal 2 3 3 3 2 8" xfId="9979" xr:uid="{026FE0A7-AF5F-4D6A-A2F3-06E0DD219726}"/>
    <cellStyle name="Normal 2 3 3 3 2 9" xfId="9980" xr:uid="{22816A6A-712C-4E0A-AD13-F33CFE809CA4}"/>
    <cellStyle name="Normal 2 3 3 3 20" xfId="9981" xr:uid="{082D7E5E-4FB0-43E9-A7D7-56F55D324AF4}"/>
    <cellStyle name="Normal 2 3 3 3 21" xfId="9982" xr:uid="{FC752F0B-9F6D-46C8-BCF2-312AE652CA76}"/>
    <cellStyle name="Normal 2 3 3 3 22" xfId="9983" xr:uid="{4666D64C-405B-4908-B24A-A44CDC047670}"/>
    <cellStyle name="Normal 2 3 3 3 23" xfId="9984" xr:uid="{D32FF9D3-1237-4B6E-89EF-ACF44F02832D}"/>
    <cellStyle name="Normal 2 3 3 3 24" xfId="9985" xr:uid="{A6CA9D28-E722-47EC-8ECB-9A4703FA47FD}"/>
    <cellStyle name="Normal 2 3 3 3 25" xfId="9986" xr:uid="{DFDD9EBD-9036-4927-9EC1-7CB48C46EDD6}"/>
    <cellStyle name="Normal 2 3 3 3 26" xfId="9987" xr:uid="{D89EFAEB-2060-42FF-925F-492746F15C32}"/>
    <cellStyle name="Normal 2 3 3 3 27" xfId="9988" xr:uid="{3CEB0477-8ABA-42A8-957D-EA1690D3522C}"/>
    <cellStyle name="Normal 2 3 3 3 28" xfId="9989" xr:uid="{E295DB9A-EF82-4017-87CC-8B84163A47AB}"/>
    <cellStyle name="Normal 2 3 3 3 29" xfId="9990" xr:uid="{7E82A9F2-C78A-46A2-8A0A-13CEFD6E4403}"/>
    <cellStyle name="Normal 2 3 3 3 3" xfId="9991" xr:uid="{D3C9165E-2057-49CF-9AE9-684CBC421AB8}"/>
    <cellStyle name="Normal 2 3 3 3 30" xfId="9992" xr:uid="{D260E103-38EB-4089-873C-E25C06962885}"/>
    <cellStyle name="Normal 2 3 3 3 31" xfId="9993" xr:uid="{749FE0B7-8DE1-4EE5-9523-0E52C7B48B7D}"/>
    <cellStyle name="Normal 2 3 3 3 32" xfId="9994" xr:uid="{B1957BB2-308E-4883-B13C-6DC0200C0C0B}"/>
    <cellStyle name="Normal 2 3 3 3 33" xfId="9995" xr:uid="{505C6D3E-B4E1-48A8-B0C8-6904394F1753}"/>
    <cellStyle name="Normal 2 3 3 3 34" xfId="9996" xr:uid="{5B84C87D-C485-4A1C-A788-DD28496106C6}"/>
    <cellStyle name="Normal 2 3 3 3 35" xfId="9997" xr:uid="{8D4819C6-564E-49C7-A04F-0E3D95123DDF}"/>
    <cellStyle name="Normal 2 3 3 3 36" xfId="9998" xr:uid="{55EBAE13-8C4E-401E-AB32-CB79A64DB198}"/>
    <cellStyle name="Normal 2 3 3 3 37" xfId="9999" xr:uid="{50627964-3D41-4147-8355-D62C48E71C1D}"/>
    <cellStyle name="Normal 2 3 3 3 38" xfId="10000" xr:uid="{00507850-5565-4D75-80B3-DB3A0EE894AB}"/>
    <cellStyle name="Normal 2 3 3 3 4" xfId="10001" xr:uid="{AA4CB39E-8DE0-4F27-A99D-03E659AD8780}"/>
    <cellStyle name="Normal 2 3 3 3 5" xfId="10002" xr:uid="{F2EC6981-7E71-48F2-8950-5B1CC47F063A}"/>
    <cellStyle name="Normal 2 3 3 3 6" xfId="10003" xr:uid="{30C3F10B-9004-4772-B4DC-89A41214F43E}"/>
    <cellStyle name="Normal 2 3 3 3 7" xfId="10004" xr:uid="{562FFA5D-9218-4B22-AA70-C67D00C90F42}"/>
    <cellStyle name="Normal 2 3 3 3 8" xfId="10005" xr:uid="{AB8138C8-D687-4CCB-A023-AE10B6752C07}"/>
    <cellStyle name="Normal 2 3 3 3 9" xfId="10006" xr:uid="{2BD2BB09-515B-4919-9EEE-093EA405863A}"/>
    <cellStyle name="Normal 2 3 3 30" xfId="10007" xr:uid="{8897F12B-1E7A-4A85-ADAA-1879BD5E8885}"/>
    <cellStyle name="Normal 2 3 3 31" xfId="10008" xr:uid="{86461332-05AC-4FFB-8F0F-2B5B073DE515}"/>
    <cellStyle name="Normal 2 3 3 32" xfId="10009" xr:uid="{D1BCA31B-EB0B-4B33-90BF-E2705FD69C76}"/>
    <cellStyle name="Normal 2 3 3 33" xfId="10010" xr:uid="{F5EFB36B-7401-4B40-8086-529F22F894A2}"/>
    <cellStyle name="Normal 2 3 3 34" xfId="10011" xr:uid="{09542E9A-96F1-4686-B1C3-7B3B0153B85D}"/>
    <cellStyle name="Normal 2 3 3 35" xfId="10012" xr:uid="{24AC88D6-07A3-4334-8642-B6F9D1D0A33D}"/>
    <cellStyle name="Normal 2 3 3 36" xfId="10013" xr:uid="{724D28A8-FBED-45F5-B4E3-F2D4888FACDD}"/>
    <cellStyle name="Normal 2 3 3 37" xfId="10014" xr:uid="{769D7B32-ED5D-4EE0-9409-6F3829813C4F}"/>
    <cellStyle name="Normal 2 3 3 38" xfId="10015" xr:uid="{21E9B6CF-0EB3-405B-8F9C-070C121D0B78}"/>
    <cellStyle name="Normal 2 3 3 39" xfId="10016" xr:uid="{888ED7DA-4A3F-4555-BE4C-DDF596994D9C}"/>
    <cellStyle name="Normal 2 3 3 4" xfId="10017" xr:uid="{2E5A61E7-5650-4347-8288-17F75EDAD457}"/>
    <cellStyle name="Normal 2 3 3 40" xfId="10018" xr:uid="{9ED14696-78CD-4B7F-9F4B-E2ECD992FEB5}"/>
    <cellStyle name="Normal 2 3 3 41" xfId="10019" xr:uid="{6F2652BD-8202-48EF-8F33-F6366077F244}"/>
    <cellStyle name="Normal 2 3 3 42" xfId="10020" xr:uid="{00ABFA32-DD67-48DF-8CB8-FED0531FC4A7}"/>
    <cellStyle name="Normal 2 3 3 43" xfId="10021" xr:uid="{6B723EDC-DBAE-48A0-8AD0-A454535D184F}"/>
    <cellStyle name="Normal 2 3 3 44" xfId="10022" xr:uid="{7C182E4A-94E4-40A7-91DF-80B8E974BD71}"/>
    <cellStyle name="Normal 2 3 3 45" xfId="10023" xr:uid="{9DF08E83-4549-4CDC-96EB-AA42810270AF}"/>
    <cellStyle name="Normal 2 3 3 46" xfId="10024" xr:uid="{2865BCD3-39BA-4256-B097-09A2C31712AD}"/>
    <cellStyle name="Normal 2 3 3 47" xfId="10025" xr:uid="{99DC17C4-6359-4E77-BBBE-DB5C7A59EFB9}"/>
    <cellStyle name="Normal 2 3 3 48" xfId="10026" xr:uid="{8B54D43D-DDD6-4277-A8BD-592916BCF299}"/>
    <cellStyle name="Normal 2 3 3 49" xfId="10027" xr:uid="{754B9E38-D119-42E6-A70C-77CABE7A48FE}"/>
    <cellStyle name="Normal 2 3 3 5" xfId="10028" xr:uid="{8AB33E35-9665-4940-8E18-D73EB617806D}"/>
    <cellStyle name="Normal 2 3 3 50" xfId="10029" xr:uid="{70A5C338-9CE3-4EC0-A3E9-A95A504C295E}"/>
    <cellStyle name="Normal 2 3 3 51" xfId="10030" xr:uid="{F4E223D8-2280-4230-A848-38606DB2E788}"/>
    <cellStyle name="Normal 2 3 3 52" xfId="10031" xr:uid="{56C9FB1D-3D52-4B41-88A0-442B257A8D26}"/>
    <cellStyle name="Normal 2 3 3 6" xfId="10032" xr:uid="{CEC70A1D-2098-4587-A052-353F029D519D}"/>
    <cellStyle name="Normal 2 3 3 7" xfId="10033" xr:uid="{6A8A9628-FFF6-47E3-90DF-ABD6639065A6}"/>
    <cellStyle name="Normal 2 3 3 8" xfId="10034" xr:uid="{EC1B4BF7-D8AF-46C9-90E0-3F8E934B96FD}"/>
    <cellStyle name="Normal 2 3 3 9" xfId="10035" xr:uid="{AED0AC7B-C7DE-4C7E-A03E-B9CC434F0D5B}"/>
    <cellStyle name="Normal 2 3 30" xfId="10036" xr:uid="{3BEFAE1C-11C3-416C-89C0-0F6EEB82FF21}"/>
    <cellStyle name="Normal 2 3 30 2" xfId="10037" xr:uid="{58922078-A160-4AAA-8D0E-126210DA4645}"/>
    <cellStyle name="Normal 2 3 30 3" xfId="10038" xr:uid="{B305156F-019D-494E-A2F9-E227CA1CD743}"/>
    <cellStyle name="Normal 2 3 30 4" xfId="10039" xr:uid="{291E8C1D-8EE6-4F37-82C4-A938430EC40F}"/>
    <cellStyle name="Normal 2 3 30 5" xfId="10040" xr:uid="{8F27C285-85AF-4D20-9572-1E9A08BB4C49}"/>
    <cellStyle name="Normal 2 3 30 6" xfId="10041" xr:uid="{09B61F25-F0BB-4C78-9EB8-220A438A7CFE}"/>
    <cellStyle name="Normal 2 3 31" xfId="10042" xr:uid="{48B0061F-5178-4074-87C8-F888835A32E4}"/>
    <cellStyle name="Normal 2 3 31 2" xfId="10043" xr:uid="{C73A9A2F-F24B-4B86-B403-E4ADDFA095F2}"/>
    <cellStyle name="Normal 2 3 31 3" xfId="10044" xr:uid="{03709BEB-36A3-4A28-AB56-73D8B6C13B95}"/>
    <cellStyle name="Normal 2 3 31 4" xfId="10045" xr:uid="{87CF0224-FA56-496F-BD4B-535441810091}"/>
    <cellStyle name="Normal 2 3 31 5" xfId="10046" xr:uid="{C0F399A7-43E2-4ECC-81E5-7FD2B2D6507C}"/>
    <cellStyle name="Normal 2 3 31 6" xfId="10047" xr:uid="{EFCA65DE-E5D7-4B9F-85DD-9DB8479DC125}"/>
    <cellStyle name="Normal 2 3 32" xfId="10048" xr:uid="{A9949DF2-09EE-484C-B973-077AE2593E27}"/>
    <cellStyle name="Normal 2 3 32 2" xfId="10049" xr:uid="{421B3063-8123-4401-BDF4-811DC216FC71}"/>
    <cellStyle name="Normal 2 3 32 3" xfId="10050" xr:uid="{9AD3CC1F-B79A-428A-A7EE-DE52AE137897}"/>
    <cellStyle name="Normal 2 3 32 4" xfId="10051" xr:uid="{1B3DE46C-D911-413A-9A28-0E2F4FCA5D4D}"/>
    <cellStyle name="Normal 2 3 32 5" xfId="10052" xr:uid="{73F4C1B1-E2B2-4CCD-9C71-39CC41547338}"/>
    <cellStyle name="Normal 2 3 32 6" xfId="10053" xr:uid="{B18A1FDD-01BD-4D25-ACBE-D7BE60ACF6DB}"/>
    <cellStyle name="Normal 2 3 33" xfId="10054" xr:uid="{CC7A6462-0741-4846-B995-02063A07E006}"/>
    <cellStyle name="Normal 2 3 33 2" xfId="10055" xr:uid="{5A76D4E4-55DF-496F-A1F1-7C6C850184AF}"/>
    <cellStyle name="Normal 2 3 33 3" xfId="10056" xr:uid="{121D4A1E-5A73-484F-A68C-3E8F21B5716F}"/>
    <cellStyle name="Normal 2 3 33 4" xfId="10057" xr:uid="{AB63C24E-4C3C-4484-B178-A479A6D4BB42}"/>
    <cellStyle name="Normal 2 3 33 5" xfId="10058" xr:uid="{B6B7E01C-E04E-48FA-9238-CEA0D4D3F415}"/>
    <cellStyle name="Normal 2 3 33 6" xfId="10059" xr:uid="{79E0B196-2709-4C9D-B24D-A67296255FFD}"/>
    <cellStyle name="Normal 2 3 34" xfId="10060" xr:uid="{3998EE06-7AA9-437B-80D9-0D2229C6AF16}"/>
    <cellStyle name="Normal 2 3 34 2" xfId="10061" xr:uid="{CBFE7F37-0E90-4ED4-8911-0E7C26EE141A}"/>
    <cellStyle name="Normal 2 3 34 3" xfId="10062" xr:uid="{A76A1512-2425-4D8C-A6AA-04E0742BCB5D}"/>
    <cellStyle name="Normal 2 3 34 4" xfId="10063" xr:uid="{77C6C7C1-C79B-4389-9392-8607AC1FAD89}"/>
    <cellStyle name="Normal 2 3 34 5" xfId="10064" xr:uid="{CD073DD3-8C3F-4AC2-85DF-41C4CBE1E3FB}"/>
    <cellStyle name="Normal 2 3 34 6" xfId="10065" xr:uid="{098A369E-DDA1-488F-B478-5CE91559EB87}"/>
    <cellStyle name="Normal 2 3 35" xfId="10066" xr:uid="{9FDA9465-5B90-4B95-8921-C4FA1A5675DD}"/>
    <cellStyle name="Normal 2 3 35 2" xfId="10067" xr:uid="{BC508992-EB0E-43BE-A4E8-12677807AAC3}"/>
    <cellStyle name="Normal 2 3 35 3" xfId="10068" xr:uid="{8EE1FBFE-84DE-4069-9E94-AC65A960BBEA}"/>
    <cellStyle name="Normal 2 3 35 4" xfId="10069" xr:uid="{05E403D8-977F-4C41-BA7A-83C1D09A391D}"/>
    <cellStyle name="Normal 2 3 35 5" xfId="10070" xr:uid="{09281BC9-5B60-403E-B46E-DF86FB0C0715}"/>
    <cellStyle name="Normal 2 3 35 6" xfId="10071" xr:uid="{64DF1A7E-579F-4183-A92A-6D7AFC3446AF}"/>
    <cellStyle name="Normal 2 3 36" xfId="10072" xr:uid="{9D96D146-B720-41A9-AC4B-D669D4124E2E}"/>
    <cellStyle name="Normal 2 3 36 2" xfId="10073" xr:uid="{EC4B1E4B-10F8-4399-AC31-5C10991AE56B}"/>
    <cellStyle name="Normal 2 3 36 3" xfId="10074" xr:uid="{CAC90F23-6337-4D3D-ABF0-F4C419FA3C5E}"/>
    <cellStyle name="Normal 2 3 36 4" xfId="10075" xr:uid="{47BD9671-CFFE-404A-824B-733DF4CF2850}"/>
    <cellStyle name="Normal 2 3 36 5" xfId="10076" xr:uid="{49DF3862-CEEC-4B7D-9E85-7BFA93B16923}"/>
    <cellStyle name="Normal 2 3 36 6" xfId="10077" xr:uid="{014DCD38-2863-492D-8C80-51510FB05FED}"/>
    <cellStyle name="Normal 2 3 37" xfId="10078" xr:uid="{F28E2E4F-A040-4640-8B66-5FFAB33A3A9F}"/>
    <cellStyle name="Normal 2 3 37 2" xfId="10079" xr:uid="{A585D89F-A6C4-40C4-9EE9-E536246FBFB1}"/>
    <cellStyle name="Normal 2 3 37 3" xfId="10080" xr:uid="{AA89D438-077E-4352-9781-0C109103DF00}"/>
    <cellStyle name="Normal 2 3 37 4" xfId="10081" xr:uid="{6E368CE3-4075-4C08-B141-76C7523EBB78}"/>
    <cellStyle name="Normal 2 3 37 5" xfId="10082" xr:uid="{76A5C324-79E9-46FC-9933-771A13E1E9F5}"/>
    <cellStyle name="Normal 2 3 37 6" xfId="10083" xr:uid="{51990065-60FD-4FB7-BAE7-E511828F6856}"/>
    <cellStyle name="Normal 2 3 38" xfId="10084" xr:uid="{66026B80-A22E-4F9F-A086-365CC2FCAFAC}"/>
    <cellStyle name="Normal 2 3 38 2" xfId="10085" xr:uid="{13D4E733-3524-4298-AB9C-6E62D417DA0D}"/>
    <cellStyle name="Normal 2 3 38 3" xfId="10086" xr:uid="{6134F395-BBB4-475D-9C2F-F837E777E59E}"/>
    <cellStyle name="Normal 2 3 38 4" xfId="10087" xr:uid="{F8E08BD2-E730-4484-8F2D-92AD8EB9E215}"/>
    <cellStyle name="Normal 2 3 38 5" xfId="10088" xr:uid="{7D1AE963-8749-4699-87EB-BF249BB9B959}"/>
    <cellStyle name="Normal 2 3 38 6" xfId="10089" xr:uid="{38241746-3A20-421D-AC2B-0E4BFBC7B75E}"/>
    <cellStyle name="Normal 2 3 39" xfId="10090" xr:uid="{4E5E6B9A-D363-4760-9BCD-DBDF26740EE5}"/>
    <cellStyle name="Normal 2 3 39 2" xfId="10091" xr:uid="{EC409AA5-4704-4079-99A0-B4A9CCCBD981}"/>
    <cellStyle name="Normal 2 3 39 3" xfId="10092" xr:uid="{AA383338-DE67-4B5B-8B25-5DA43503F11A}"/>
    <cellStyle name="Normal 2 3 39 4" xfId="10093" xr:uid="{ECA80ACA-1372-485F-A244-9ADEE8A591E2}"/>
    <cellStyle name="Normal 2 3 39 5" xfId="10094" xr:uid="{4B41818D-C909-40DD-9A55-898378FADE61}"/>
    <cellStyle name="Normal 2 3 39 6" xfId="10095" xr:uid="{FB2B060E-6538-409D-8703-2825ED147857}"/>
    <cellStyle name="Normal 2 3 4" xfId="10096" xr:uid="{F5825D7A-70DC-47C4-A738-40B160E3EB05}"/>
    <cellStyle name="Normal 2 3 4 10" xfId="10097" xr:uid="{58D9890A-3D50-4B34-924A-34639906E23C}"/>
    <cellStyle name="Normal 2 3 4 11" xfId="10098" xr:uid="{BF68979D-5DFC-47E4-9676-0401BF9B313C}"/>
    <cellStyle name="Normal 2 3 4 12" xfId="10099" xr:uid="{1001991B-76D6-406B-AA2D-2D0DB0BA727F}"/>
    <cellStyle name="Normal 2 3 4 13" xfId="10100" xr:uid="{116345AB-4247-419D-B975-31118EF9D04B}"/>
    <cellStyle name="Normal 2 3 4 14" xfId="10101" xr:uid="{A8602C83-87F7-406E-9FC0-D8DD003976FE}"/>
    <cellStyle name="Normal 2 3 4 15" xfId="10102" xr:uid="{9C3D2F89-F181-4684-8B12-0394D2DFA9F8}"/>
    <cellStyle name="Normal 2 3 4 16" xfId="10103" xr:uid="{640E10A8-F22C-4943-A4B0-8CC112F8C5D4}"/>
    <cellStyle name="Normal 2 3 4 17" xfId="10104" xr:uid="{4829884C-6D99-4486-81B3-B6F623A5DC75}"/>
    <cellStyle name="Normal 2 3 4 18" xfId="10105" xr:uid="{B1BEE575-9DFC-418C-9A09-7990EFA00E96}"/>
    <cellStyle name="Normal 2 3 4 19" xfId="10106" xr:uid="{BB144AE4-3A98-4E34-B2D8-3364EEAB7F8D}"/>
    <cellStyle name="Normal 2 3 4 2" xfId="10107" xr:uid="{2D51E99C-614A-4D88-BE64-1E3C4C5356D0}"/>
    <cellStyle name="Normal 2 3 4 2 10" xfId="10108" xr:uid="{42AF16B4-9F8A-47D9-A13B-BB7DCB3E31C9}"/>
    <cellStyle name="Normal 2 3 4 2 11" xfId="10109" xr:uid="{46C2B7EF-C37A-43EB-BD84-0647CC56C40D}"/>
    <cellStyle name="Normal 2 3 4 2 12" xfId="10110" xr:uid="{8C6251D0-F11E-4B33-A96A-6A37997A917D}"/>
    <cellStyle name="Normal 2 3 4 2 13" xfId="10111" xr:uid="{60F5D1D5-8D16-4F26-9ADF-5E36D546E017}"/>
    <cellStyle name="Normal 2 3 4 2 14" xfId="10112" xr:uid="{711600B2-2797-4702-B58F-C07DE47B8905}"/>
    <cellStyle name="Normal 2 3 4 2 15" xfId="10113" xr:uid="{05A543F3-7FBB-46C9-AF4D-2E2A090F1C78}"/>
    <cellStyle name="Normal 2 3 4 2 16" xfId="10114" xr:uid="{8124B0A5-44EB-466B-B88E-C05408F71B1C}"/>
    <cellStyle name="Normal 2 3 4 2 17" xfId="10115" xr:uid="{FECD6A60-D1CA-45F5-A448-20390602CC3F}"/>
    <cellStyle name="Normal 2 3 4 2 18" xfId="10116" xr:uid="{739D750B-3CF5-4D0B-B87D-F35519EBF523}"/>
    <cellStyle name="Normal 2 3 4 2 19" xfId="10117" xr:uid="{D0A66115-9940-4E71-9CBA-A54C2CE7404A}"/>
    <cellStyle name="Normal 2 3 4 2 2" xfId="10118" xr:uid="{806522EE-0E84-4186-82AD-DEC3901243E3}"/>
    <cellStyle name="Normal 2 3 4 2 2 10" xfId="10119" xr:uid="{1686B6A1-D6D5-4400-985F-1946DA926918}"/>
    <cellStyle name="Normal 2 3 4 2 2 11" xfId="10120" xr:uid="{A82DCA3F-C958-438D-8BF7-0B11E37B6221}"/>
    <cellStyle name="Normal 2 3 4 2 2 12" xfId="10121" xr:uid="{3395CF03-09F1-48D1-B3BE-5167C9E7AE21}"/>
    <cellStyle name="Normal 2 3 4 2 2 13" xfId="10122" xr:uid="{7EDF0312-84EB-4ED6-998B-7898872BB853}"/>
    <cellStyle name="Normal 2 3 4 2 2 14" xfId="10123" xr:uid="{A249A5D6-E60B-4A2A-8871-BC8A6108FC47}"/>
    <cellStyle name="Normal 2 3 4 2 2 15" xfId="10124" xr:uid="{858E92F1-3AA0-44B5-82EE-4518890FF36E}"/>
    <cellStyle name="Normal 2 3 4 2 2 16" xfId="10125" xr:uid="{6181820D-9C72-41A6-8EAF-AC3B6C512974}"/>
    <cellStyle name="Normal 2 3 4 2 2 17" xfId="10126" xr:uid="{DC02504B-D416-428C-9026-3280D5877944}"/>
    <cellStyle name="Normal 2 3 4 2 2 18" xfId="10127" xr:uid="{92CD01C7-523B-436B-9395-DF9D4B397D75}"/>
    <cellStyle name="Normal 2 3 4 2 2 19" xfId="10128" xr:uid="{C0AAA72E-C58D-4C3D-835A-B0455C38A61A}"/>
    <cellStyle name="Normal 2 3 4 2 2 2" xfId="10129" xr:uid="{EF6E5460-CCB1-4184-B96C-172A8676223A}"/>
    <cellStyle name="Normal 2 3 4 2 2 2 10" xfId="10130" xr:uid="{9CCEAE13-9F45-43DF-918A-DFE2A581FAD4}"/>
    <cellStyle name="Normal 2 3 4 2 2 2 11" xfId="10131" xr:uid="{21B209E5-72A7-46C6-AC85-41CD76C620D4}"/>
    <cellStyle name="Normal 2 3 4 2 2 2 12" xfId="10132" xr:uid="{F382EF45-D3EB-4CEA-A8E2-130B94666180}"/>
    <cellStyle name="Normal 2 3 4 2 2 2 13" xfId="10133" xr:uid="{788628C5-3F02-4B0B-90F7-E0F240E176A5}"/>
    <cellStyle name="Normal 2 3 4 2 2 2 14" xfId="10134" xr:uid="{702B5312-71F8-46D1-9D25-2F9190F66C2D}"/>
    <cellStyle name="Normal 2 3 4 2 2 2 15" xfId="10135" xr:uid="{69384570-FCBF-4DF4-9440-A77EF9BC9729}"/>
    <cellStyle name="Normal 2 3 4 2 2 2 16" xfId="10136" xr:uid="{80816EF7-5520-4361-9A90-95FAA8571A90}"/>
    <cellStyle name="Normal 2 3 4 2 2 2 17" xfId="10137" xr:uid="{FC148BE1-36FC-4E5A-B2F3-55BB6125FE7A}"/>
    <cellStyle name="Normal 2 3 4 2 2 2 18" xfId="10138" xr:uid="{4EBD78C3-BA88-4508-84C6-C94315EDB848}"/>
    <cellStyle name="Normal 2 3 4 2 2 2 19" xfId="10139" xr:uid="{D88AAFEF-44D4-430B-BE35-048BA417133E}"/>
    <cellStyle name="Normal 2 3 4 2 2 2 2" xfId="10140" xr:uid="{C80EE2D5-E78B-4127-90D8-9F33F054F429}"/>
    <cellStyle name="Normal 2 3 4 2 2 2 20" xfId="10141" xr:uid="{00D5EBC0-66E2-4801-9A50-EB7AB9E7C292}"/>
    <cellStyle name="Normal 2 3 4 2 2 2 21" xfId="10142" xr:uid="{30BFC2E0-8053-4CB4-9EFD-6DF0BD8A914F}"/>
    <cellStyle name="Normal 2 3 4 2 2 2 22" xfId="10143" xr:uid="{E8CC5172-B4EA-4D67-B260-2B280058E091}"/>
    <cellStyle name="Normal 2 3 4 2 2 2 23" xfId="10144" xr:uid="{340EE56F-C8C4-4A55-8005-2299F1183D44}"/>
    <cellStyle name="Normal 2 3 4 2 2 2 24" xfId="10145" xr:uid="{2811CE8E-5E4F-4CF0-839E-6E466BCC02B6}"/>
    <cellStyle name="Normal 2 3 4 2 2 2 25" xfId="10146" xr:uid="{62EAD27E-AAD2-49F4-B1DA-3CCBCACEBE23}"/>
    <cellStyle name="Normal 2 3 4 2 2 2 26" xfId="10147" xr:uid="{21F8DA86-7A0D-48A5-A144-79F7E6B07C3E}"/>
    <cellStyle name="Normal 2 3 4 2 2 2 27" xfId="10148" xr:uid="{99B37DA1-77AC-46B4-8242-370BE55772B0}"/>
    <cellStyle name="Normal 2 3 4 2 2 2 28" xfId="10149" xr:uid="{52B74393-9198-42BC-8B7C-9C8F69E92A8C}"/>
    <cellStyle name="Normal 2 3 4 2 2 2 29" xfId="10150" xr:uid="{C90BE2C8-5A99-4EB6-A169-8CDDA14BE624}"/>
    <cellStyle name="Normal 2 3 4 2 2 2 3" xfId="10151" xr:uid="{4DA41630-B2E5-4DB1-AC35-601DEE9F452C}"/>
    <cellStyle name="Normal 2 3 4 2 2 2 30" xfId="10152" xr:uid="{40505974-3D00-486A-95A1-8307E3A13DD0}"/>
    <cellStyle name="Normal 2 3 4 2 2 2 31" xfId="10153" xr:uid="{49BB1667-B54B-4E63-B9F3-E855F3FBC85C}"/>
    <cellStyle name="Normal 2 3 4 2 2 2 32" xfId="10154" xr:uid="{715D8674-5A7E-4591-995D-9674F254CF8C}"/>
    <cellStyle name="Normal 2 3 4 2 2 2 33" xfId="10155" xr:uid="{3C62882E-493C-41A8-9735-2AC840BB9B67}"/>
    <cellStyle name="Normal 2 3 4 2 2 2 34" xfId="10156" xr:uid="{2C1417F3-9092-4C09-8F83-A6493DD8DE2D}"/>
    <cellStyle name="Normal 2 3 4 2 2 2 35" xfId="10157" xr:uid="{0AD14AD9-848C-4019-BE0D-C63EDAD14FBC}"/>
    <cellStyle name="Normal 2 3 4 2 2 2 36" xfId="10158" xr:uid="{723D647C-EE9A-4268-848C-8963EAB6B52F}"/>
    <cellStyle name="Normal 2 3 4 2 2 2 37" xfId="10159" xr:uid="{DA31A56C-B563-4C91-93DE-E7422ABFD2AA}"/>
    <cellStyle name="Normal 2 3 4 2 2 2 38" xfId="10160" xr:uid="{709E676F-353C-4A87-BBA9-E72893771EF1}"/>
    <cellStyle name="Normal 2 3 4 2 2 2 4" xfId="10161" xr:uid="{9C07172C-8FE1-4899-BB18-0C2508BA7F33}"/>
    <cellStyle name="Normal 2 3 4 2 2 2 5" xfId="10162" xr:uid="{74B47ABD-217F-4B53-B4DC-82E465630818}"/>
    <cellStyle name="Normal 2 3 4 2 2 2 6" xfId="10163" xr:uid="{BEAD1FFD-41CC-4A88-95B2-BF924D09D370}"/>
    <cellStyle name="Normal 2 3 4 2 2 2 7" xfId="10164" xr:uid="{63415743-5BAC-4329-8AD2-5E184C83040E}"/>
    <cellStyle name="Normal 2 3 4 2 2 2 8" xfId="10165" xr:uid="{FB372B94-6454-49E6-8DBB-1DDEE8D1886B}"/>
    <cellStyle name="Normal 2 3 4 2 2 2 9" xfId="10166" xr:uid="{E68B1C58-306C-4943-AA26-6B9FFBDCF2FC}"/>
    <cellStyle name="Normal 2 3 4 2 2 20" xfId="10167" xr:uid="{BA230BE0-CBCF-4836-A393-9167808893FD}"/>
    <cellStyle name="Normal 2 3 4 2 2 21" xfId="10168" xr:uid="{659FE32C-4199-45B9-BF84-42080AF7DD14}"/>
    <cellStyle name="Normal 2 3 4 2 2 22" xfId="10169" xr:uid="{E5240FAD-2111-43E9-B3EB-2C1D29D5BBE3}"/>
    <cellStyle name="Normal 2 3 4 2 2 23" xfId="10170" xr:uid="{F86A7A5D-7CA5-4C51-8C8F-9024D3B6B6E2}"/>
    <cellStyle name="Normal 2 3 4 2 2 24" xfId="10171" xr:uid="{145A1E25-3391-4AA4-93F7-80659755410B}"/>
    <cellStyle name="Normal 2 3 4 2 2 25" xfId="10172" xr:uid="{7C34F300-2123-4727-BA71-D5215789BA8D}"/>
    <cellStyle name="Normal 2 3 4 2 2 26" xfId="10173" xr:uid="{EA3F19C1-A389-41BB-B9DE-889CEA92025D}"/>
    <cellStyle name="Normal 2 3 4 2 2 27" xfId="10174" xr:uid="{1246DFCF-B13A-48F3-9511-73F4AC35EDF0}"/>
    <cellStyle name="Normal 2 3 4 2 2 28" xfId="10175" xr:uid="{BAFC389F-524C-408A-A971-CFA0B3D622B4}"/>
    <cellStyle name="Normal 2 3 4 2 2 29" xfId="10176" xr:uid="{898707D5-845F-45F2-8503-AC6ABF82F38F}"/>
    <cellStyle name="Normal 2 3 4 2 2 3" xfId="10177" xr:uid="{59AA8FA1-24E6-4FA2-9763-D5A1AE2B260A}"/>
    <cellStyle name="Normal 2 3 4 2 2 30" xfId="10178" xr:uid="{B6097F91-3C77-4918-A036-603DC43A9C03}"/>
    <cellStyle name="Normal 2 3 4 2 2 31" xfId="10179" xr:uid="{031A7816-424C-492C-9A0F-B249DCC70106}"/>
    <cellStyle name="Normal 2 3 4 2 2 32" xfId="10180" xr:uid="{084E8A6B-1B11-4673-8858-4B2DDDCB3FE1}"/>
    <cellStyle name="Normal 2 3 4 2 2 33" xfId="10181" xr:uid="{6F59E1B9-DB16-46BA-9C10-B85C6FA5D21D}"/>
    <cellStyle name="Normal 2 3 4 2 2 34" xfId="10182" xr:uid="{49A9A1D0-7582-4FED-A3AD-7BE065726727}"/>
    <cellStyle name="Normal 2 3 4 2 2 35" xfId="10183" xr:uid="{5AC62989-2023-4853-969D-7AF3D9023C1D}"/>
    <cellStyle name="Normal 2 3 4 2 2 36" xfId="10184" xr:uid="{F1D56785-91D9-4F20-926F-79CAB05E5B10}"/>
    <cellStyle name="Normal 2 3 4 2 2 37" xfId="10185" xr:uid="{73243DB0-C650-467F-91B4-6791F87BAD19}"/>
    <cellStyle name="Normal 2 3 4 2 2 38" xfId="10186" xr:uid="{519A8D1D-EC1A-4299-9D64-199C0F8E157C}"/>
    <cellStyle name="Normal 2 3 4 2 2 4" xfId="10187" xr:uid="{7C9CCBA1-1F5B-41B8-B596-797F7BCE42D2}"/>
    <cellStyle name="Normal 2 3 4 2 2 5" xfId="10188" xr:uid="{187B6314-66BB-45BC-B657-F85E94CEF443}"/>
    <cellStyle name="Normal 2 3 4 2 2 6" xfId="10189" xr:uid="{11650FAC-FFD7-425A-A05D-443E94750E98}"/>
    <cellStyle name="Normal 2 3 4 2 2 7" xfId="10190" xr:uid="{CD0C99C4-136C-445E-ACE3-FA1412B4200A}"/>
    <cellStyle name="Normal 2 3 4 2 2 8" xfId="10191" xr:uid="{18F14DD6-61AB-487A-AE55-23DF2ADFB7A9}"/>
    <cellStyle name="Normal 2 3 4 2 2 9" xfId="10192" xr:uid="{E40094A9-F3F9-4519-95EE-D081B98594C6}"/>
    <cellStyle name="Normal 2 3 4 2 20" xfId="10193" xr:uid="{B8D8100F-31D6-42B5-9BDF-794B4BFE400F}"/>
    <cellStyle name="Normal 2 3 4 2 21" xfId="10194" xr:uid="{27D2863A-A51B-49FC-8279-992A42946AC7}"/>
    <cellStyle name="Normal 2 3 4 2 22" xfId="10195" xr:uid="{EDCB6396-475A-4928-B2F7-26A76D91BB9B}"/>
    <cellStyle name="Normal 2 3 4 2 23" xfId="10196" xr:uid="{AC7FA64F-0EA3-4A4C-9E29-50C092708E8C}"/>
    <cellStyle name="Normal 2 3 4 2 24" xfId="10197" xr:uid="{601FC198-3D6E-4C9C-B364-6131C0787AE9}"/>
    <cellStyle name="Normal 2 3 4 2 25" xfId="10198" xr:uid="{F67BB300-5E5A-4AF0-B0EA-83CE28797838}"/>
    <cellStyle name="Normal 2 3 4 2 26" xfId="10199" xr:uid="{9AEA0E3D-EF4A-4613-8AF3-AECE35D17DBE}"/>
    <cellStyle name="Normal 2 3 4 2 27" xfId="10200" xr:uid="{9BB936EE-C561-41DB-8F00-03E47EB38385}"/>
    <cellStyle name="Normal 2 3 4 2 28" xfId="10201" xr:uid="{3F56C2F6-0559-4E23-A0E8-CDD0A43D2DBA}"/>
    <cellStyle name="Normal 2 3 4 2 29" xfId="10202" xr:uid="{16F689D9-0429-4C25-8A26-37C3111E5243}"/>
    <cellStyle name="Normal 2 3 4 2 3" xfId="10203" xr:uid="{6C0235F9-69CF-4514-95D8-F9773501F630}"/>
    <cellStyle name="Normal 2 3 4 2 30" xfId="10204" xr:uid="{B42E4535-9500-44C5-9012-12D29A6C460F}"/>
    <cellStyle name="Normal 2 3 4 2 31" xfId="10205" xr:uid="{DF37666C-99DD-4374-9CAD-47BD8ABE0DA6}"/>
    <cellStyle name="Normal 2 3 4 2 32" xfId="10206" xr:uid="{CB832682-0BA2-46AA-B8B2-834FA60EA215}"/>
    <cellStyle name="Normal 2 3 4 2 33" xfId="10207" xr:uid="{492F7B2B-26DA-49CD-8D9F-9DF3C372CABC}"/>
    <cellStyle name="Normal 2 3 4 2 34" xfId="10208" xr:uid="{F6426CF1-7D9A-4548-AB01-74AE4BD34234}"/>
    <cellStyle name="Normal 2 3 4 2 35" xfId="10209" xr:uid="{6129644C-907C-497D-9FA5-6946E430DE96}"/>
    <cellStyle name="Normal 2 3 4 2 36" xfId="10210" xr:uid="{77ACBD33-7F8A-4B04-9472-80023B79C95C}"/>
    <cellStyle name="Normal 2 3 4 2 37" xfId="10211" xr:uid="{FCF13063-3EAC-478C-89CD-6DE2E45D7C0E}"/>
    <cellStyle name="Normal 2 3 4 2 38" xfId="10212" xr:uid="{D35898A4-3C86-42A4-8EAC-C7E93DA2E40B}"/>
    <cellStyle name="Normal 2 3 4 2 39" xfId="10213" xr:uid="{83B9DD41-2233-4128-A37A-375BBE1D7074}"/>
    <cellStyle name="Normal 2 3 4 2 4" xfId="10214" xr:uid="{BAB33F99-38AC-48D1-9E72-ABCA9B41BF5C}"/>
    <cellStyle name="Normal 2 3 4 2 40" xfId="10215" xr:uid="{EB616E10-7F47-4990-AB2D-52068E9D6022}"/>
    <cellStyle name="Normal 2 3 4 2 5" xfId="10216" xr:uid="{996A421A-9897-4C5C-8CE5-CF6C8F492226}"/>
    <cellStyle name="Normal 2 3 4 2 6" xfId="10217" xr:uid="{6C50CB54-FDEC-480D-8133-E07CEABADD4A}"/>
    <cellStyle name="Normal 2 3 4 2 7" xfId="10218" xr:uid="{BE5373EA-FEF1-43FC-9AA4-9E740A62896C}"/>
    <cellStyle name="Normal 2 3 4 2 8" xfId="10219" xr:uid="{FBB1B9DE-9D6E-44FE-92AB-BC7B64EBDB1D}"/>
    <cellStyle name="Normal 2 3 4 2 9" xfId="10220" xr:uid="{E6B8D693-7931-4362-9353-C8BB213E2360}"/>
    <cellStyle name="Normal 2 3 4 20" xfId="10221" xr:uid="{2763F503-AADA-418B-A448-62B60064A482}"/>
    <cellStyle name="Normal 2 3 4 21" xfId="10222" xr:uid="{6CF0CCD7-2AC0-4F4A-9B7A-B71CFDF8A53D}"/>
    <cellStyle name="Normal 2 3 4 22" xfId="10223" xr:uid="{70BE20DB-550D-41EF-95BC-30AD3B9FCFAC}"/>
    <cellStyle name="Normal 2 3 4 23" xfId="10224" xr:uid="{762D1388-8869-45C5-A65E-FE3FE82FCE76}"/>
    <cellStyle name="Normal 2 3 4 24" xfId="10225" xr:uid="{0CDF6217-AC2A-42E5-B7AE-AF569B317EA8}"/>
    <cellStyle name="Normal 2 3 4 25" xfId="10226" xr:uid="{A17757D6-E03F-4E93-A050-0A4804B589FF}"/>
    <cellStyle name="Normal 2 3 4 26" xfId="10227" xr:uid="{23F43365-5CF3-418E-9D63-215D1A3F0CEA}"/>
    <cellStyle name="Normal 2 3 4 27" xfId="10228" xr:uid="{A2C3B0EA-B11A-49F9-AA7C-48B03C638CDB}"/>
    <cellStyle name="Normal 2 3 4 28" xfId="10229" xr:uid="{90425554-6E07-4A94-8BE2-BE46E39E6F7F}"/>
    <cellStyle name="Normal 2 3 4 29" xfId="10230" xr:uid="{C23652BF-1E87-48F3-9063-850C1FCBE5C4}"/>
    <cellStyle name="Normal 2 3 4 3" xfId="10231" xr:uid="{5F59FFAD-A38B-4B6B-A4E6-3C9E2BE5E574}"/>
    <cellStyle name="Normal 2 3 4 3 10" xfId="10232" xr:uid="{784BF0BC-A7F7-4DA9-A5D8-D0B159B466F4}"/>
    <cellStyle name="Normal 2 3 4 3 11" xfId="10233" xr:uid="{ECD0D867-C30D-4BB9-8847-437360784043}"/>
    <cellStyle name="Normal 2 3 4 3 12" xfId="10234" xr:uid="{D26EF9E0-BA8B-4AAA-8B80-FF6785836F26}"/>
    <cellStyle name="Normal 2 3 4 3 13" xfId="10235" xr:uid="{B7F5D218-7131-4F93-9099-BAAC022687D0}"/>
    <cellStyle name="Normal 2 3 4 3 14" xfId="10236" xr:uid="{68CED004-757B-49AF-BE45-8BAE18601633}"/>
    <cellStyle name="Normal 2 3 4 3 15" xfId="10237" xr:uid="{BEE39419-5524-4BB7-A4D5-32AF9092C57E}"/>
    <cellStyle name="Normal 2 3 4 3 16" xfId="10238" xr:uid="{09E03AC4-0B54-4C8A-A099-B9B3C48FAB2F}"/>
    <cellStyle name="Normal 2 3 4 3 17" xfId="10239" xr:uid="{B88A0915-3BB5-498E-A2D7-625DB1242399}"/>
    <cellStyle name="Normal 2 3 4 3 18" xfId="10240" xr:uid="{BF9ACE04-19C6-423D-B5CB-4D8CCA44B88A}"/>
    <cellStyle name="Normal 2 3 4 3 19" xfId="10241" xr:uid="{B17518B6-F328-4CA0-9591-E2697D2611DE}"/>
    <cellStyle name="Normal 2 3 4 3 2" xfId="10242" xr:uid="{3698CA15-7820-41DF-9F11-141FC1627748}"/>
    <cellStyle name="Normal 2 3 4 3 2 10" xfId="10243" xr:uid="{EBB14672-F354-4080-A2AA-C272001336A1}"/>
    <cellStyle name="Normal 2 3 4 3 2 11" xfId="10244" xr:uid="{67FD00B2-1E98-44C7-BE5F-ACE93FA7C16A}"/>
    <cellStyle name="Normal 2 3 4 3 2 12" xfId="10245" xr:uid="{075C5867-EB1F-49DB-B2DE-AA2051D612F7}"/>
    <cellStyle name="Normal 2 3 4 3 2 13" xfId="10246" xr:uid="{9A95FF65-418F-4EE6-BCF8-5A83E349164A}"/>
    <cellStyle name="Normal 2 3 4 3 2 14" xfId="10247" xr:uid="{5D15B4CC-8B2D-4A2A-ACBD-ADCE1D16ABC0}"/>
    <cellStyle name="Normal 2 3 4 3 2 15" xfId="10248" xr:uid="{99FDEDFC-259A-4FD7-A9AD-291B8351D612}"/>
    <cellStyle name="Normal 2 3 4 3 2 16" xfId="10249" xr:uid="{2930D422-3147-44E3-BBBF-9E767E0C48F3}"/>
    <cellStyle name="Normal 2 3 4 3 2 17" xfId="10250" xr:uid="{4DFF7C2E-3DE3-4C14-AE22-2AA9CB58F24D}"/>
    <cellStyle name="Normal 2 3 4 3 2 18" xfId="10251" xr:uid="{50A54CF8-F024-446A-B0DD-6937AD1CF524}"/>
    <cellStyle name="Normal 2 3 4 3 2 19" xfId="10252" xr:uid="{D9B3E71E-22C2-43B5-BE5C-D874B0146D0D}"/>
    <cellStyle name="Normal 2 3 4 3 2 2" xfId="10253" xr:uid="{44A87154-A896-4E63-9792-DC0EBE4DABFD}"/>
    <cellStyle name="Normal 2 3 4 3 2 20" xfId="10254" xr:uid="{3E7DDDF1-CB41-43EE-AC1E-FAD623EB6C39}"/>
    <cellStyle name="Normal 2 3 4 3 2 21" xfId="10255" xr:uid="{07371F7A-F4F6-47E9-B18E-06561DF704DE}"/>
    <cellStyle name="Normal 2 3 4 3 2 22" xfId="10256" xr:uid="{43E05086-FAC9-4206-804C-D35110728C58}"/>
    <cellStyle name="Normal 2 3 4 3 2 23" xfId="10257" xr:uid="{E8FCB301-BBCC-4F9D-A256-3ECB6BBFD405}"/>
    <cellStyle name="Normal 2 3 4 3 2 24" xfId="10258" xr:uid="{84C7384B-5A23-4E08-B24A-E2C8525874CD}"/>
    <cellStyle name="Normal 2 3 4 3 2 25" xfId="10259" xr:uid="{26638655-759F-4C9C-A1AB-CF4C0DC22E75}"/>
    <cellStyle name="Normal 2 3 4 3 2 26" xfId="10260" xr:uid="{DCB7733C-44E0-4FA7-BB98-D3731FDED58C}"/>
    <cellStyle name="Normal 2 3 4 3 2 27" xfId="10261" xr:uid="{EE170603-7D87-4DFD-8380-1B411320682E}"/>
    <cellStyle name="Normal 2 3 4 3 2 28" xfId="10262" xr:uid="{EEF2BA96-CDA5-47E6-AB70-B233A75F2EFA}"/>
    <cellStyle name="Normal 2 3 4 3 2 29" xfId="10263" xr:uid="{3B30492A-8434-4B24-BFFE-94ED5BC55916}"/>
    <cellStyle name="Normal 2 3 4 3 2 3" xfId="10264" xr:uid="{99B10088-6CFB-42AD-A08B-5A0615D6F916}"/>
    <cellStyle name="Normal 2 3 4 3 2 30" xfId="10265" xr:uid="{34849206-BB91-45D1-A3A6-E3257EB3B224}"/>
    <cellStyle name="Normal 2 3 4 3 2 31" xfId="10266" xr:uid="{B3A24B5E-5340-475E-9DC9-988BC80901DB}"/>
    <cellStyle name="Normal 2 3 4 3 2 32" xfId="10267" xr:uid="{CA911103-644A-4C90-8BA0-28AB84D7DD7C}"/>
    <cellStyle name="Normal 2 3 4 3 2 33" xfId="10268" xr:uid="{0448824B-B785-46AB-806B-99454D780D6C}"/>
    <cellStyle name="Normal 2 3 4 3 2 34" xfId="10269" xr:uid="{3FF7D87A-D2C1-4E06-A5F6-B576A03A763C}"/>
    <cellStyle name="Normal 2 3 4 3 2 35" xfId="10270" xr:uid="{53E0B730-F238-4A86-A427-4A68E0F70789}"/>
    <cellStyle name="Normal 2 3 4 3 2 36" xfId="10271" xr:uid="{57E21304-1244-4EE8-8A51-BF4DDC1D1AF8}"/>
    <cellStyle name="Normal 2 3 4 3 2 37" xfId="10272" xr:uid="{2F5246EE-CF5E-4DE2-9C3B-A92ED8E71313}"/>
    <cellStyle name="Normal 2 3 4 3 2 38" xfId="10273" xr:uid="{3F53B349-227C-4D93-B504-9ED6F82ADBAF}"/>
    <cellStyle name="Normal 2 3 4 3 2 4" xfId="10274" xr:uid="{868F93DE-A17B-4179-87AF-7FD1360DD0D1}"/>
    <cellStyle name="Normal 2 3 4 3 2 5" xfId="10275" xr:uid="{E48932E2-2CF7-464E-865B-FBB5C832FC8C}"/>
    <cellStyle name="Normal 2 3 4 3 2 6" xfId="10276" xr:uid="{25CAA371-B26B-460B-AE88-9CBD796A49E8}"/>
    <cellStyle name="Normal 2 3 4 3 2 7" xfId="10277" xr:uid="{53BD31DC-1092-4209-B180-8471D9213AE8}"/>
    <cellStyle name="Normal 2 3 4 3 2 8" xfId="10278" xr:uid="{C0422BF0-3B74-496F-9953-2BB4A3A90EBC}"/>
    <cellStyle name="Normal 2 3 4 3 2 9" xfId="10279" xr:uid="{48A3AC48-F17F-4E0B-9D5E-12042B3E8F09}"/>
    <cellStyle name="Normal 2 3 4 3 20" xfId="10280" xr:uid="{29156705-881A-4A45-946C-6B0473ACAAAB}"/>
    <cellStyle name="Normal 2 3 4 3 21" xfId="10281" xr:uid="{41BC9292-C656-48CC-B991-EA243538A3D7}"/>
    <cellStyle name="Normal 2 3 4 3 22" xfId="10282" xr:uid="{CE3CDC72-EF6D-4EEE-B431-58A93049A166}"/>
    <cellStyle name="Normal 2 3 4 3 23" xfId="10283" xr:uid="{66891470-334D-4D5F-A3A4-C39AEE83A63D}"/>
    <cellStyle name="Normal 2 3 4 3 24" xfId="10284" xr:uid="{679D665C-90F5-449B-AA52-91E15B1D687C}"/>
    <cellStyle name="Normal 2 3 4 3 25" xfId="10285" xr:uid="{2176F384-90E4-4223-82D9-30598C9BE7F1}"/>
    <cellStyle name="Normal 2 3 4 3 26" xfId="10286" xr:uid="{7BA680CF-B33C-46DA-93FA-791DB388FD28}"/>
    <cellStyle name="Normal 2 3 4 3 27" xfId="10287" xr:uid="{5B6440B5-4B75-4F03-B612-894C8CE2A29B}"/>
    <cellStyle name="Normal 2 3 4 3 28" xfId="10288" xr:uid="{A3B4E3C6-5723-4FAC-8C4E-C761C9024FA2}"/>
    <cellStyle name="Normal 2 3 4 3 29" xfId="10289" xr:uid="{6FA40AFF-3B7C-4285-B6BF-4E86EF822DDC}"/>
    <cellStyle name="Normal 2 3 4 3 3" xfId="10290" xr:uid="{F3A99A4C-9A31-4C7C-AC83-910B4327448F}"/>
    <cellStyle name="Normal 2 3 4 3 30" xfId="10291" xr:uid="{9C1418A6-207F-4F22-8E0F-3A0778FD6119}"/>
    <cellStyle name="Normal 2 3 4 3 31" xfId="10292" xr:uid="{DC13CA83-982D-4E98-9AFB-28199F0DE0E8}"/>
    <cellStyle name="Normal 2 3 4 3 32" xfId="10293" xr:uid="{6A7CDEF3-7406-4B67-8538-0580F5FBD53D}"/>
    <cellStyle name="Normal 2 3 4 3 33" xfId="10294" xr:uid="{86CC2749-055C-45C4-9096-4151B26D3D98}"/>
    <cellStyle name="Normal 2 3 4 3 34" xfId="10295" xr:uid="{7ACC27DF-9734-49D5-9B7E-BAAA439095AD}"/>
    <cellStyle name="Normal 2 3 4 3 35" xfId="10296" xr:uid="{28E9EFD2-0E41-42FE-889D-02AD5058864E}"/>
    <cellStyle name="Normal 2 3 4 3 36" xfId="10297" xr:uid="{1792735C-9A5D-4034-B9D8-FCA4457D2908}"/>
    <cellStyle name="Normal 2 3 4 3 37" xfId="10298" xr:uid="{9C97846A-B5EF-4262-865F-AFF039D62EBA}"/>
    <cellStyle name="Normal 2 3 4 3 38" xfId="10299" xr:uid="{D37EA7F7-CED4-43DD-9CE5-BA4862A06592}"/>
    <cellStyle name="Normal 2 3 4 3 4" xfId="10300" xr:uid="{BA635716-5B26-4109-BB80-744A83D26EDD}"/>
    <cellStyle name="Normal 2 3 4 3 5" xfId="10301" xr:uid="{AA79EDD0-6360-4D05-9B94-91650909E0F1}"/>
    <cellStyle name="Normal 2 3 4 3 6" xfId="10302" xr:uid="{7582120B-9AA2-41D8-A07C-204132175F27}"/>
    <cellStyle name="Normal 2 3 4 3 7" xfId="10303" xr:uid="{16A1BCE1-3436-46C2-9A23-BDD926A2F076}"/>
    <cellStyle name="Normal 2 3 4 3 8" xfId="10304" xr:uid="{22C473BF-62BA-405B-B183-078ADB434163}"/>
    <cellStyle name="Normal 2 3 4 3 9" xfId="10305" xr:uid="{1F143FBC-91A2-4572-9E46-5F8486694C82}"/>
    <cellStyle name="Normal 2 3 4 30" xfId="10306" xr:uid="{FB02FA03-C35E-47E7-8C2E-25E8F58755A6}"/>
    <cellStyle name="Normal 2 3 4 31" xfId="10307" xr:uid="{6EAA8F93-638F-4734-AE42-35152A9F4901}"/>
    <cellStyle name="Normal 2 3 4 32" xfId="10308" xr:uid="{950AF1CD-0755-4A3C-B7CA-E03E098D1819}"/>
    <cellStyle name="Normal 2 3 4 33" xfId="10309" xr:uid="{228D7EFE-82EE-4113-A40D-74EAC61E3FBC}"/>
    <cellStyle name="Normal 2 3 4 34" xfId="10310" xr:uid="{6748F616-4002-4FE4-9099-3BED8203AAAD}"/>
    <cellStyle name="Normal 2 3 4 35" xfId="10311" xr:uid="{804EF6B5-8B07-429D-AA49-015B681F8BA8}"/>
    <cellStyle name="Normal 2 3 4 36" xfId="10312" xr:uid="{13BC39B8-AECB-4B48-9FB9-083458DDD3E1}"/>
    <cellStyle name="Normal 2 3 4 37" xfId="10313" xr:uid="{87995C75-17AA-495A-82F4-70EBB2F6F6AD}"/>
    <cellStyle name="Normal 2 3 4 38" xfId="10314" xr:uid="{D10988AA-3C5B-4936-BD84-5F026F6E893F}"/>
    <cellStyle name="Normal 2 3 4 39" xfId="10315" xr:uid="{1771E599-EABC-4BDD-9391-D7F6FFA3AAEF}"/>
    <cellStyle name="Normal 2 3 4 4" xfId="10316" xr:uid="{1FB88BDE-B0F0-4176-BCA0-46D7C9E9605D}"/>
    <cellStyle name="Normal 2 3 4 40" xfId="10317" xr:uid="{50602E6D-B4DF-4C62-8094-CB7CEC17D888}"/>
    <cellStyle name="Normal 2 3 4 5" xfId="10318" xr:uid="{F4F3976C-A999-4C0F-A50B-D85C20EE3D9E}"/>
    <cellStyle name="Normal 2 3 4 6" xfId="10319" xr:uid="{6BE1BDB6-3525-4074-B22B-ADFB1C12DB1D}"/>
    <cellStyle name="Normal 2 3 4 7" xfId="10320" xr:uid="{E15F7271-F330-4145-8587-0243A2251343}"/>
    <cellStyle name="Normal 2 3 4 8" xfId="10321" xr:uid="{6FF205BE-4469-4780-A5E7-2AA340AFE00D}"/>
    <cellStyle name="Normal 2 3 4 9" xfId="10322" xr:uid="{2E7717B6-A22D-426E-9FCB-60847AE318A2}"/>
    <cellStyle name="Normal 2 3 40" xfId="10323" xr:uid="{B723E504-63BD-433E-B610-2966ADA30263}"/>
    <cellStyle name="Normal 2 3 40 2" xfId="10324" xr:uid="{89465323-8403-4851-895A-EE93C7244323}"/>
    <cellStyle name="Normal 2 3 40 3" xfId="10325" xr:uid="{C4E8019F-36D5-437E-BCC6-A324364CAF3E}"/>
    <cellStyle name="Normal 2 3 40 4" xfId="10326" xr:uid="{87666C4B-9665-4DE8-8AA7-615DCE11CE0A}"/>
    <cellStyle name="Normal 2 3 40 5" xfId="10327" xr:uid="{9BFC4E10-B232-4702-80A4-F8C10B7B2172}"/>
    <cellStyle name="Normal 2 3 40 6" xfId="10328" xr:uid="{68DC8358-F2FB-4C3F-BAC4-EA274F6527F7}"/>
    <cellStyle name="Normal 2 3 41" xfId="10329" xr:uid="{5012307B-84FA-41DF-9B83-6CECD72D91C9}"/>
    <cellStyle name="Normal 2 3 41 2" xfId="10330" xr:uid="{07DED3CB-35DE-4875-9DB0-84B200560D8C}"/>
    <cellStyle name="Normal 2 3 41 3" xfId="10331" xr:uid="{883BCE1E-8189-4EF8-A3F9-9B1E782CF2A2}"/>
    <cellStyle name="Normal 2 3 41 4" xfId="10332" xr:uid="{7987A6B1-5AA3-466D-890F-52672DEA7936}"/>
    <cellStyle name="Normal 2 3 41 5" xfId="10333" xr:uid="{01FC1C13-3337-4DE2-8381-093874F3AA68}"/>
    <cellStyle name="Normal 2 3 41 6" xfId="10334" xr:uid="{07E48830-9B5E-44DD-8630-0B80E41EFF58}"/>
    <cellStyle name="Normal 2 3 42" xfId="10335" xr:uid="{9F2657B1-B783-4742-8CBB-F02AD67C2B2C}"/>
    <cellStyle name="Normal 2 3 42 2" xfId="10336" xr:uid="{8006F03B-BDDC-4925-8E59-E090FF2DD6A9}"/>
    <cellStyle name="Normal 2 3 42 3" xfId="10337" xr:uid="{60066FF9-300F-4067-837F-9FD1296517F1}"/>
    <cellStyle name="Normal 2 3 42 4" xfId="10338" xr:uid="{6E1CFFE6-FC9D-48C7-8E0C-1A856E92D81C}"/>
    <cellStyle name="Normal 2 3 42 5" xfId="10339" xr:uid="{6FF037BB-8265-4977-8EEB-95AFC7A43523}"/>
    <cellStyle name="Normal 2 3 42 6" xfId="10340" xr:uid="{6969AD45-BF5A-43AC-90A2-740996A9D92B}"/>
    <cellStyle name="Normal 2 3 43" xfId="10341" xr:uid="{23C9FC75-BDA8-4469-B2BA-C0E618AE9143}"/>
    <cellStyle name="Normal 2 3 43 2" xfId="10342" xr:uid="{33C32059-EECF-4AC1-860C-6FDE6D6BABB8}"/>
    <cellStyle name="Normal 2 3 43 3" xfId="10343" xr:uid="{9EAD9AC8-61B5-4C73-9774-571DCA0235A1}"/>
    <cellStyle name="Normal 2 3 43 4" xfId="10344" xr:uid="{3A2BFCD8-CC26-478F-ACEA-081AD6ECB69B}"/>
    <cellStyle name="Normal 2 3 43 5" xfId="10345" xr:uid="{4CE1C3D9-98A8-4321-8BF9-61BA355081D9}"/>
    <cellStyle name="Normal 2 3 43 6" xfId="10346" xr:uid="{FA5521FD-0E24-4B8A-B109-B3CBB51E64D4}"/>
    <cellStyle name="Normal 2 3 44" xfId="10347" xr:uid="{95BA5184-8C91-4096-A389-DC4C36F718AB}"/>
    <cellStyle name="Normal 2 3 44 2" xfId="10348" xr:uid="{9753AE9F-3B04-47C8-AB34-00F47DAF49C7}"/>
    <cellStyle name="Normal 2 3 44 3" xfId="10349" xr:uid="{BE995DD8-DE4F-4ABB-8896-1F7D857A8B35}"/>
    <cellStyle name="Normal 2 3 44 4" xfId="10350" xr:uid="{61D1F888-86D3-45AF-84D8-E2708988A1C8}"/>
    <cellStyle name="Normal 2 3 44 5" xfId="10351" xr:uid="{26C907F3-53A4-459D-8642-3CB414166F87}"/>
    <cellStyle name="Normal 2 3 44 6" xfId="10352" xr:uid="{48BB0389-FCDE-4CEE-8380-CB8A9646B392}"/>
    <cellStyle name="Normal 2 3 45" xfId="10353" xr:uid="{B99F2FDA-D23E-4A88-804B-D5AE2A94A06C}"/>
    <cellStyle name="Normal 2 3 45 2" xfId="10354" xr:uid="{F4289B23-3422-4B66-B18C-D17FA289FB15}"/>
    <cellStyle name="Normal 2 3 45 3" xfId="10355" xr:uid="{BC098BA9-0C9D-43DB-825A-86A9F6BA6D9B}"/>
    <cellStyle name="Normal 2 3 45 4" xfId="10356" xr:uid="{24D028FA-CDE7-4619-9929-DA3CAEEBFE19}"/>
    <cellStyle name="Normal 2 3 45 5" xfId="10357" xr:uid="{4F8F5E06-AE31-400C-BE79-E2776B5295EB}"/>
    <cellStyle name="Normal 2 3 45 6" xfId="10358" xr:uid="{C191D2B5-BEC0-43A3-B9EE-951CFA6ED1AB}"/>
    <cellStyle name="Normal 2 3 46" xfId="10359" xr:uid="{649B0C6D-75E3-4F0F-9968-AD87B0E20B01}"/>
    <cellStyle name="Normal 2 3 46 2" xfId="10360" xr:uid="{2D175A40-E5CE-4FFF-ACB0-7D83A680BF17}"/>
    <cellStyle name="Normal 2 3 46 3" xfId="10361" xr:uid="{623C1526-DA72-40D4-B409-CB8BD60F5A83}"/>
    <cellStyle name="Normal 2 3 46 4" xfId="10362" xr:uid="{80CB2FB6-9F10-48C7-949C-2DAB492568AF}"/>
    <cellStyle name="Normal 2 3 46 5" xfId="10363" xr:uid="{E794141A-EEF7-4705-8F73-16CAD46A32C9}"/>
    <cellStyle name="Normal 2 3 46 6" xfId="10364" xr:uid="{703FCA67-686F-4966-B9C6-8268374AB792}"/>
    <cellStyle name="Normal 2 3 47" xfId="10365" xr:uid="{E680C215-DD71-44F5-82A9-A3DBC32CC939}"/>
    <cellStyle name="Normal 2 3 47 2" xfId="10366" xr:uid="{2523EDFD-4DE2-43C7-B1EE-71410CD3B554}"/>
    <cellStyle name="Normal 2 3 47 3" xfId="10367" xr:uid="{EEC51831-312E-43E0-AF07-0C96F96535F7}"/>
    <cellStyle name="Normal 2 3 47 4" xfId="10368" xr:uid="{8CBC8E86-73CD-4DB1-B0A8-89D6F47F9317}"/>
    <cellStyle name="Normal 2 3 47 5" xfId="10369" xr:uid="{6B2AEB58-0DD2-4714-ABC2-1D9A1F0555B8}"/>
    <cellStyle name="Normal 2 3 47 6" xfId="10370" xr:uid="{E577A918-2031-4066-A34B-F47AC4FEA589}"/>
    <cellStyle name="Normal 2 3 48" xfId="10371" xr:uid="{74A4BFDF-6155-4BB2-8B7E-433EE2968426}"/>
    <cellStyle name="Normal 2 3 48 2" xfId="10372" xr:uid="{6D630FCE-C217-4DA0-ABD1-0F568A811636}"/>
    <cellStyle name="Normal 2 3 48 3" xfId="10373" xr:uid="{9F8ED82D-82CC-40DB-BF26-615307165152}"/>
    <cellStyle name="Normal 2 3 48 4" xfId="10374" xr:uid="{3FDFC674-2636-4B2C-9E63-C0A523C91EF3}"/>
    <cellStyle name="Normal 2 3 48 5" xfId="10375" xr:uid="{73397A34-BA42-4752-914E-ECB08E47BD00}"/>
    <cellStyle name="Normal 2 3 48 6" xfId="10376" xr:uid="{B1A0147D-1417-4BEC-B9E9-FC2D349564C9}"/>
    <cellStyle name="Normal 2 3 49" xfId="10377" xr:uid="{868A2279-9EAD-4BDA-A28A-61F237369E72}"/>
    <cellStyle name="Normal 2 3 49 2" xfId="10378" xr:uid="{488C9B4B-E821-4686-AE77-449CADD5DD33}"/>
    <cellStyle name="Normal 2 3 49 3" xfId="10379" xr:uid="{2EA66211-1B07-49FC-8B97-602D2607B0BE}"/>
    <cellStyle name="Normal 2 3 49 4" xfId="10380" xr:uid="{5E01C3DB-EDAC-400D-AA87-FF4DB1156C85}"/>
    <cellStyle name="Normal 2 3 49 5" xfId="10381" xr:uid="{D84F48D8-3B1B-4963-920D-F517B539177F}"/>
    <cellStyle name="Normal 2 3 49 6" xfId="10382" xr:uid="{087A43B2-4A5B-438F-8132-D1C40829F10F}"/>
    <cellStyle name="Normal 2 3 5" xfId="10383" xr:uid="{367D30B6-37D8-41A0-B674-DAB264A19948}"/>
    <cellStyle name="Normal 2 3 5 10" xfId="10384" xr:uid="{6A5E12AF-F2C0-46CE-A0CC-8C8619732975}"/>
    <cellStyle name="Normal 2 3 5 11" xfId="10385" xr:uid="{60FEFE49-A296-44B3-8A36-6A22E0902725}"/>
    <cellStyle name="Normal 2 3 5 12" xfId="10386" xr:uid="{BDFC6ED4-266A-418B-B1F5-10539ED4232C}"/>
    <cellStyle name="Normal 2 3 5 13" xfId="10387" xr:uid="{CBF6EFC6-32B5-4CDD-BF87-7C2604F64D12}"/>
    <cellStyle name="Normal 2 3 5 14" xfId="10388" xr:uid="{13468A41-1E3C-41F5-B65E-70DE86EDC6E6}"/>
    <cellStyle name="Normal 2 3 5 15" xfId="10389" xr:uid="{0B693893-3EED-493D-9401-91F8653AD558}"/>
    <cellStyle name="Normal 2 3 5 16" xfId="10390" xr:uid="{69A715BF-69A3-4056-81F4-5AA413CC0CDB}"/>
    <cellStyle name="Normal 2 3 5 17" xfId="10391" xr:uid="{F6B0F15E-E8CA-4824-A814-3094EEEBBF2E}"/>
    <cellStyle name="Normal 2 3 5 18" xfId="10392" xr:uid="{28EAD7CB-B4B2-4677-A799-F3F78D414FDF}"/>
    <cellStyle name="Normal 2 3 5 19" xfId="10393" xr:uid="{CC05C687-E0EB-46BE-9121-117862067785}"/>
    <cellStyle name="Normal 2 3 5 2" xfId="10394" xr:uid="{4AFA314E-A788-4C56-A1F4-5C354D692B9A}"/>
    <cellStyle name="Normal 2 3 5 2 10" xfId="10395" xr:uid="{6E783E44-F337-4853-835E-2406D54EA9DB}"/>
    <cellStyle name="Normal 2 3 5 2 11" xfId="10396" xr:uid="{29159958-5F90-4D32-BB93-F67ECEB014F2}"/>
    <cellStyle name="Normal 2 3 5 2 12" xfId="10397" xr:uid="{948F2A2D-8ECC-4659-A322-F5B9FAD88A11}"/>
    <cellStyle name="Normal 2 3 5 2 13" xfId="10398" xr:uid="{84648182-D3AB-4D3F-B240-0D81C3CC9519}"/>
    <cellStyle name="Normal 2 3 5 2 14" xfId="10399" xr:uid="{E7564939-0C85-47B1-88A6-705B348BB63D}"/>
    <cellStyle name="Normal 2 3 5 2 15" xfId="10400" xr:uid="{C600B2D5-33AD-4DDD-A927-4A42216C974E}"/>
    <cellStyle name="Normal 2 3 5 2 16" xfId="10401" xr:uid="{50CC13E1-2E51-4AC7-90B4-80A316AF6B79}"/>
    <cellStyle name="Normal 2 3 5 2 17" xfId="10402" xr:uid="{CCDA6557-63FD-4BED-BB19-43AC7D68411B}"/>
    <cellStyle name="Normal 2 3 5 2 18" xfId="10403" xr:uid="{D1ACC423-686D-4AD2-94B3-588491C052A1}"/>
    <cellStyle name="Normal 2 3 5 2 19" xfId="10404" xr:uid="{D222C9D7-E6D5-4CC7-9FA5-CD2E4810022C}"/>
    <cellStyle name="Normal 2 3 5 2 2" xfId="10405" xr:uid="{A09DB12F-62F5-4CA4-98F1-61E6B8DB3EB5}"/>
    <cellStyle name="Normal 2 3 5 2 2 10" xfId="10406" xr:uid="{4CABE946-9EF1-4E63-ABF8-2E6C24943D67}"/>
    <cellStyle name="Normal 2 3 5 2 2 11" xfId="10407" xr:uid="{541EB09C-630F-4A1C-9FEE-70827ABC3D98}"/>
    <cellStyle name="Normal 2 3 5 2 2 12" xfId="10408" xr:uid="{D46C092E-556C-45C1-876F-974A9417D73E}"/>
    <cellStyle name="Normal 2 3 5 2 2 13" xfId="10409" xr:uid="{94A5D347-1518-41B3-BDF2-CC589D6CFFB0}"/>
    <cellStyle name="Normal 2 3 5 2 2 14" xfId="10410" xr:uid="{7A40E253-229E-4556-978F-C7A8599CE7DD}"/>
    <cellStyle name="Normal 2 3 5 2 2 15" xfId="10411" xr:uid="{67AA43DD-5A3A-4067-AE83-329371734F0D}"/>
    <cellStyle name="Normal 2 3 5 2 2 16" xfId="10412" xr:uid="{29BF6F20-C624-4594-966F-1D0D4C5B804F}"/>
    <cellStyle name="Normal 2 3 5 2 2 17" xfId="10413" xr:uid="{0917E25E-3BD0-4852-B360-525F2385ED42}"/>
    <cellStyle name="Normal 2 3 5 2 2 18" xfId="10414" xr:uid="{2F4361AE-929E-4824-94DB-DE02AB38C8E6}"/>
    <cellStyle name="Normal 2 3 5 2 2 19" xfId="10415" xr:uid="{807C9352-8ABB-4205-8ADE-0969C669FFCC}"/>
    <cellStyle name="Normal 2 3 5 2 2 2" xfId="10416" xr:uid="{A1004032-0CC7-4E3A-AFDD-AE049F58E607}"/>
    <cellStyle name="Normal 2 3 5 2 2 2 10" xfId="10417" xr:uid="{8DC29E78-F46A-46FD-A9B5-8612B84CDDFB}"/>
    <cellStyle name="Normal 2 3 5 2 2 2 11" xfId="10418" xr:uid="{A3E38751-2F56-4E55-B213-719009AF6FDA}"/>
    <cellStyle name="Normal 2 3 5 2 2 2 12" xfId="10419" xr:uid="{3928A83D-4CAB-4A8E-B1D8-907FB2AFCDE9}"/>
    <cellStyle name="Normal 2 3 5 2 2 2 13" xfId="10420" xr:uid="{2E953D46-C663-4F9A-A260-261260C9964C}"/>
    <cellStyle name="Normal 2 3 5 2 2 2 14" xfId="10421" xr:uid="{6F7C14C4-BFD6-418B-BE2B-54D4FC0C60E2}"/>
    <cellStyle name="Normal 2 3 5 2 2 2 15" xfId="10422" xr:uid="{6ECCFC93-4A10-4730-83E2-11B803E5952F}"/>
    <cellStyle name="Normal 2 3 5 2 2 2 16" xfId="10423" xr:uid="{590F66EB-94FD-4CAA-B72F-AB3D738A33AA}"/>
    <cellStyle name="Normal 2 3 5 2 2 2 17" xfId="10424" xr:uid="{5118F488-BC01-47E8-9527-5C822E0DB55F}"/>
    <cellStyle name="Normal 2 3 5 2 2 2 18" xfId="10425" xr:uid="{12A09640-9152-4397-BE5F-8A4B869537EB}"/>
    <cellStyle name="Normal 2 3 5 2 2 2 19" xfId="10426" xr:uid="{8981D17B-252B-434B-8FDC-E825B6F3DCB5}"/>
    <cellStyle name="Normal 2 3 5 2 2 2 2" xfId="10427" xr:uid="{D30E78B0-95E0-4B2A-BA6C-CEBE9DCE0F60}"/>
    <cellStyle name="Normal 2 3 5 2 2 2 20" xfId="10428" xr:uid="{E3C311A9-A743-466B-B49F-850140E7F88F}"/>
    <cellStyle name="Normal 2 3 5 2 2 2 21" xfId="10429" xr:uid="{6309A920-8762-4682-B749-31E9D8CD620F}"/>
    <cellStyle name="Normal 2 3 5 2 2 2 22" xfId="10430" xr:uid="{E504FEC2-275A-4140-BC20-28A06848B905}"/>
    <cellStyle name="Normal 2 3 5 2 2 2 23" xfId="10431" xr:uid="{E4F26C87-BB63-437D-B914-C7AF1F1A45A0}"/>
    <cellStyle name="Normal 2 3 5 2 2 2 24" xfId="10432" xr:uid="{1FE073A0-F0B4-447A-8261-2A77FC93F9CE}"/>
    <cellStyle name="Normal 2 3 5 2 2 2 25" xfId="10433" xr:uid="{C0DE3366-9964-42E7-896E-BA6B571A3721}"/>
    <cellStyle name="Normal 2 3 5 2 2 2 26" xfId="10434" xr:uid="{C67AA633-37BA-41CF-A4F3-8A7331134F7B}"/>
    <cellStyle name="Normal 2 3 5 2 2 2 27" xfId="10435" xr:uid="{A4181054-5470-4522-A381-BDDAA8354A3C}"/>
    <cellStyle name="Normal 2 3 5 2 2 2 28" xfId="10436" xr:uid="{2114F921-5A35-4269-8333-BB3670D6C187}"/>
    <cellStyle name="Normal 2 3 5 2 2 2 29" xfId="10437" xr:uid="{B83BD36D-35D7-42E5-8867-015ED62721CD}"/>
    <cellStyle name="Normal 2 3 5 2 2 2 3" xfId="10438" xr:uid="{E6DF6742-D4FA-4587-AA38-84981A9AD9B7}"/>
    <cellStyle name="Normal 2 3 5 2 2 2 30" xfId="10439" xr:uid="{F52C155F-8D91-4405-83F7-6D1F6D68AEF6}"/>
    <cellStyle name="Normal 2 3 5 2 2 2 31" xfId="10440" xr:uid="{D445AF23-EF7E-4354-B1CD-A73716795450}"/>
    <cellStyle name="Normal 2 3 5 2 2 2 32" xfId="10441" xr:uid="{E6A61CB7-04FB-4129-B048-8BEFB64A6622}"/>
    <cellStyle name="Normal 2 3 5 2 2 2 33" xfId="10442" xr:uid="{B77D0D0D-CB5A-4E58-BD79-D8341333E2D4}"/>
    <cellStyle name="Normal 2 3 5 2 2 2 34" xfId="10443" xr:uid="{380F59A4-BB3B-4093-9BFF-5A515FAF37D4}"/>
    <cellStyle name="Normal 2 3 5 2 2 2 35" xfId="10444" xr:uid="{CF4D9724-A488-4E7E-AC02-E607523A3B1C}"/>
    <cellStyle name="Normal 2 3 5 2 2 2 36" xfId="10445" xr:uid="{3A7A1DBB-0068-49A5-A97A-E3AA84D63CC3}"/>
    <cellStyle name="Normal 2 3 5 2 2 2 37" xfId="10446" xr:uid="{64D5BD9B-64B1-4FAB-A0F8-3BFBF46E0926}"/>
    <cellStyle name="Normal 2 3 5 2 2 2 38" xfId="10447" xr:uid="{E33FA50B-CE74-4F3E-9970-711CD4819BE7}"/>
    <cellStyle name="Normal 2 3 5 2 2 2 4" xfId="10448" xr:uid="{8BE3C132-0042-4180-A7AA-368E1C5AC94C}"/>
    <cellStyle name="Normal 2 3 5 2 2 2 5" xfId="10449" xr:uid="{8E1EB00F-8684-4859-B135-D8B9A965D222}"/>
    <cellStyle name="Normal 2 3 5 2 2 2 6" xfId="10450" xr:uid="{137718F6-7011-4AE5-B997-9F5B4239DA88}"/>
    <cellStyle name="Normal 2 3 5 2 2 2 7" xfId="10451" xr:uid="{B6D107ED-9FE1-4BEC-B16E-63E02751EB39}"/>
    <cellStyle name="Normal 2 3 5 2 2 2 8" xfId="10452" xr:uid="{2E5F8D71-CE14-47E8-8B49-919E9C8FC9DB}"/>
    <cellStyle name="Normal 2 3 5 2 2 2 9" xfId="10453" xr:uid="{257C62DA-3915-4885-83E8-97AFD04E7888}"/>
    <cellStyle name="Normal 2 3 5 2 2 20" xfId="10454" xr:uid="{423C596C-D8F0-4686-86A6-0738E11670B4}"/>
    <cellStyle name="Normal 2 3 5 2 2 21" xfId="10455" xr:uid="{7FDC7EE9-8037-4583-BF6D-F9B8696B65B4}"/>
    <cellStyle name="Normal 2 3 5 2 2 22" xfId="10456" xr:uid="{10CBF53D-B395-42E3-A278-756C0A91EEBB}"/>
    <cellStyle name="Normal 2 3 5 2 2 23" xfId="10457" xr:uid="{18F1817F-F797-4F62-8482-88A7B8CCBE48}"/>
    <cellStyle name="Normal 2 3 5 2 2 24" xfId="10458" xr:uid="{6FB2CC9D-DB06-4EC0-9CE6-F0BC34ADD63F}"/>
    <cellStyle name="Normal 2 3 5 2 2 25" xfId="10459" xr:uid="{BD404AAE-95F2-4EEA-A28A-5510F0F55EE6}"/>
    <cellStyle name="Normal 2 3 5 2 2 26" xfId="10460" xr:uid="{D377C759-1196-4054-99F1-C2C1D6183FDF}"/>
    <cellStyle name="Normal 2 3 5 2 2 27" xfId="10461" xr:uid="{D8918989-CED1-442D-8095-AD220154BD72}"/>
    <cellStyle name="Normal 2 3 5 2 2 28" xfId="10462" xr:uid="{013EC115-965E-4274-8DB6-2895492E3E60}"/>
    <cellStyle name="Normal 2 3 5 2 2 29" xfId="10463" xr:uid="{B05D3AAE-00FE-420B-825D-51B62243E4EF}"/>
    <cellStyle name="Normal 2 3 5 2 2 3" xfId="10464" xr:uid="{622BD8E4-044D-4420-BB5E-B70BD91FB985}"/>
    <cellStyle name="Normal 2 3 5 2 2 30" xfId="10465" xr:uid="{1692FAFF-C4AD-4E5B-8153-7B1F5C6F31F7}"/>
    <cellStyle name="Normal 2 3 5 2 2 31" xfId="10466" xr:uid="{6CDA528D-1C33-4C9C-B10E-6B5AE8A0649E}"/>
    <cellStyle name="Normal 2 3 5 2 2 32" xfId="10467" xr:uid="{B6FFF27E-8B3C-4F07-A62D-4D349D00724E}"/>
    <cellStyle name="Normal 2 3 5 2 2 33" xfId="10468" xr:uid="{5DEA2E97-47C3-4C15-AE32-97F18F263033}"/>
    <cellStyle name="Normal 2 3 5 2 2 34" xfId="10469" xr:uid="{F7C26767-739E-4474-BD03-9FCA6C731836}"/>
    <cellStyle name="Normal 2 3 5 2 2 35" xfId="10470" xr:uid="{369069E2-FE4D-4653-A2AF-C3416B6452B1}"/>
    <cellStyle name="Normal 2 3 5 2 2 36" xfId="10471" xr:uid="{40AF4EC0-66A0-4950-96A7-BB75404A5979}"/>
    <cellStyle name="Normal 2 3 5 2 2 37" xfId="10472" xr:uid="{E54A3302-4E8F-4537-ADDA-DFE201C6F064}"/>
    <cellStyle name="Normal 2 3 5 2 2 38" xfId="10473" xr:uid="{9EF3D0C0-4F4A-4482-8BEE-A41CE6B572AC}"/>
    <cellStyle name="Normal 2 3 5 2 2 4" xfId="10474" xr:uid="{76251CC6-AA0C-4219-A57C-0AC20A4C4A7A}"/>
    <cellStyle name="Normal 2 3 5 2 2 5" xfId="10475" xr:uid="{30B73C39-1A5F-478C-96A2-6E20A63AAD1B}"/>
    <cellStyle name="Normal 2 3 5 2 2 6" xfId="10476" xr:uid="{D28E9567-1A21-4FAF-AA46-CC51F1205447}"/>
    <cellStyle name="Normal 2 3 5 2 2 7" xfId="10477" xr:uid="{1BD05461-79B3-40ED-B2A0-4E22BDF660B9}"/>
    <cellStyle name="Normal 2 3 5 2 2 8" xfId="10478" xr:uid="{A836E959-7723-48E0-9C5E-75DF0A67186B}"/>
    <cellStyle name="Normal 2 3 5 2 2 9" xfId="10479" xr:uid="{F14A325B-7B03-4E7A-AA6B-531738A99C56}"/>
    <cellStyle name="Normal 2 3 5 2 20" xfId="10480" xr:uid="{3282342C-C07A-4ABC-BE21-1A6D4343F1CE}"/>
    <cellStyle name="Normal 2 3 5 2 21" xfId="10481" xr:uid="{81A17C25-11EE-478B-8286-D5D7C07A3A07}"/>
    <cellStyle name="Normal 2 3 5 2 22" xfId="10482" xr:uid="{433FB813-6782-47D9-9ECF-04B1F12344CA}"/>
    <cellStyle name="Normal 2 3 5 2 23" xfId="10483" xr:uid="{1471323B-9854-4402-BA7B-0A27EC2289B2}"/>
    <cellStyle name="Normal 2 3 5 2 24" xfId="10484" xr:uid="{CDEC63C8-185F-4F82-A566-768AFB56545D}"/>
    <cellStyle name="Normal 2 3 5 2 25" xfId="10485" xr:uid="{D0C2106E-7572-4734-BA75-0772F7806DA5}"/>
    <cellStyle name="Normal 2 3 5 2 26" xfId="10486" xr:uid="{E950EAB8-E070-414A-80B2-4D053ACF634C}"/>
    <cellStyle name="Normal 2 3 5 2 27" xfId="10487" xr:uid="{F5B49E96-BDC6-45C2-B834-632AC9E12609}"/>
    <cellStyle name="Normal 2 3 5 2 28" xfId="10488" xr:uid="{2F582B66-292B-4405-927E-B4A13D9E5C66}"/>
    <cellStyle name="Normal 2 3 5 2 29" xfId="10489" xr:uid="{B77F8B3D-69A5-4002-8237-E6C293E57D89}"/>
    <cellStyle name="Normal 2 3 5 2 3" xfId="10490" xr:uid="{4D4F7F96-2E45-4046-B0ED-ED14AC577AC4}"/>
    <cellStyle name="Normal 2 3 5 2 30" xfId="10491" xr:uid="{09AE7B99-4C42-4878-A012-3A73A8439F75}"/>
    <cellStyle name="Normal 2 3 5 2 31" xfId="10492" xr:uid="{A3FD54C2-6C31-4F2E-AB13-066D8CF63125}"/>
    <cellStyle name="Normal 2 3 5 2 32" xfId="10493" xr:uid="{D08DA8FC-17BD-4068-AD91-8A986F637813}"/>
    <cellStyle name="Normal 2 3 5 2 33" xfId="10494" xr:uid="{4A509B32-50B8-429C-A8F9-BB4359E21D3A}"/>
    <cellStyle name="Normal 2 3 5 2 34" xfId="10495" xr:uid="{45B01070-42B5-44EE-8F81-F5625F30A4C9}"/>
    <cellStyle name="Normal 2 3 5 2 35" xfId="10496" xr:uid="{202086D7-674C-49CA-B739-6018FC56E340}"/>
    <cellStyle name="Normal 2 3 5 2 36" xfId="10497" xr:uid="{2AA83C40-600D-44A3-A7FD-D6ACBF4A9D37}"/>
    <cellStyle name="Normal 2 3 5 2 37" xfId="10498" xr:uid="{E242AB28-77B3-4371-847B-A459A6BCB4BF}"/>
    <cellStyle name="Normal 2 3 5 2 38" xfId="10499" xr:uid="{04A3485D-6284-4D92-ACE1-22942584A58D}"/>
    <cellStyle name="Normal 2 3 5 2 39" xfId="10500" xr:uid="{F19AE1C4-D311-40F3-BDC7-39722EB891B0}"/>
    <cellStyle name="Normal 2 3 5 2 4" xfId="10501" xr:uid="{B3CF9775-8474-420A-B26B-4E543EFF1B88}"/>
    <cellStyle name="Normal 2 3 5 2 40" xfId="10502" xr:uid="{D41A96CD-04FD-4D68-9553-96C95F1ECCD8}"/>
    <cellStyle name="Normal 2 3 5 2 5" xfId="10503" xr:uid="{250945D2-A93F-465B-9CB5-7F68E66531B9}"/>
    <cellStyle name="Normal 2 3 5 2 6" xfId="10504" xr:uid="{BE814D18-E4F9-461E-85DA-DF04AD6AC59D}"/>
    <cellStyle name="Normal 2 3 5 2 7" xfId="10505" xr:uid="{DE2D49DA-4E0F-44F0-B261-3B79EBD0B293}"/>
    <cellStyle name="Normal 2 3 5 2 8" xfId="10506" xr:uid="{DA070425-F557-41F0-9398-A57E81E9B943}"/>
    <cellStyle name="Normal 2 3 5 2 9" xfId="10507" xr:uid="{DC4F5B13-6E76-4129-914F-3E839AC520C9}"/>
    <cellStyle name="Normal 2 3 5 20" xfId="10508" xr:uid="{1D1DEBFC-348F-4E8B-849E-BC542A5D93BE}"/>
    <cellStyle name="Normal 2 3 5 21" xfId="10509" xr:uid="{A77ED642-58EB-4BFA-8D10-A8C59F9A958F}"/>
    <cellStyle name="Normal 2 3 5 22" xfId="10510" xr:uid="{D8CE0165-3A70-4B4C-9996-6E0DBAC3FDC9}"/>
    <cellStyle name="Normal 2 3 5 23" xfId="10511" xr:uid="{31213E87-DDA9-433B-B2CB-86601486FA97}"/>
    <cellStyle name="Normal 2 3 5 24" xfId="10512" xr:uid="{3C4A7469-D56C-4A47-BE0A-7744D55BACF9}"/>
    <cellStyle name="Normal 2 3 5 25" xfId="10513" xr:uid="{3B3DB10E-749C-4D96-86DD-1C213B2CCD50}"/>
    <cellStyle name="Normal 2 3 5 26" xfId="10514" xr:uid="{066B6AA7-ECF5-458E-80AD-C6CAE6FEEC37}"/>
    <cellStyle name="Normal 2 3 5 27" xfId="10515" xr:uid="{8AE3C0BF-4B65-4F1A-88F8-E6975907CB23}"/>
    <cellStyle name="Normal 2 3 5 28" xfId="10516" xr:uid="{2989F2F5-BFC2-4E2F-ADF0-9C441BA36260}"/>
    <cellStyle name="Normal 2 3 5 29" xfId="10517" xr:uid="{13DBD309-0CDF-4306-AF07-39F4F0DE8D74}"/>
    <cellStyle name="Normal 2 3 5 3" xfId="10518" xr:uid="{FFF8F338-527C-4E9E-A9AE-C4255D2AA7A7}"/>
    <cellStyle name="Normal 2 3 5 3 10" xfId="10519" xr:uid="{E57DFCFE-9B62-49F8-8895-B9713BFAD63D}"/>
    <cellStyle name="Normal 2 3 5 3 11" xfId="10520" xr:uid="{023E160B-83A7-4533-BE17-F4A3993C1316}"/>
    <cellStyle name="Normal 2 3 5 3 12" xfId="10521" xr:uid="{22E3ED96-3BF1-4624-9178-4F7CDAA701D4}"/>
    <cellStyle name="Normal 2 3 5 3 13" xfId="10522" xr:uid="{71068A5F-CA7D-4FCC-9159-72AAC3780E95}"/>
    <cellStyle name="Normal 2 3 5 3 14" xfId="10523" xr:uid="{ADD8BEFE-41ED-4BF8-B6D6-D653E78995CB}"/>
    <cellStyle name="Normal 2 3 5 3 15" xfId="10524" xr:uid="{8C8522BF-A5A5-4E97-9990-F45FC16AC82D}"/>
    <cellStyle name="Normal 2 3 5 3 16" xfId="10525" xr:uid="{53CA5007-BB9B-4717-9F9B-49CB805EF98E}"/>
    <cellStyle name="Normal 2 3 5 3 17" xfId="10526" xr:uid="{EB99FD72-D3F0-44AF-947D-52962DC692F7}"/>
    <cellStyle name="Normal 2 3 5 3 18" xfId="10527" xr:uid="{EB6FB665-0062-4D21-985D-050E9DED7593}"/>
    <cellStyle name="Normal 2 3 5 3 19" xfId="10528" xr:uid="{D9182116-8A83-469F-A091-2F1E2F367EE9}"/>
    <cellStyle name="Normal 2 3 5 3 2" xfId="10529" xr:uid="{BF24EEC2-F009-44B7-95B0-1F2864119D83}"/>
    <cellStyle name="Normal 2 3 5 3 2 10" xfId="10530" xr:uid="{B13B9AA2-9E4F-425F-8BB2-CF41431C66DD}"/>
    <cellStyle name="Normal 2 3 5 3 2 11" xfId="10531" xr:uid="{C7B445A7-07D5-42BC-BF96-B322D6DA8E69}"/>
    <cellStyle name="Normal 2 3 5 3 2 12" xfId="10532" xr:uid="{94368C7A-E97A-4253-B64B-117312D793B2}"/>
    <cellStyle name="Normal 2 3 5 3 2 13" xfId="10533" xr:uid="{BE7669C9-07C9-4AAA-A54F-C37FFFA13A34}"/>
    <cellStyle name="Normal 2 3 5 3 2 14" xfId="10534" xr:uid="{FEBC1AC4-14E5-480A-81F0-1B5A4B4A7832}"/>
    <cellStyle name="Normal 2 3 5 3 2 15" xfId="10535" xr:uid="{0B304557-0174-4B91-8B81-6837C4426BD5}"/>
    <cellStyle name="Normal 2 3 5 3 2 16" xfId="10536" xr:uid="{8C03C669-3C5A-4B68-8B9D-DAFFF2C8B66D}"/>
    <cellStyle name="Normal 2 3 5 3 2 17" xfId="10537" xr:uid="{38A06979-6F06-47C9-A3E7-D07FC69D9001}"/>
    <cellStyle name="Normal 2 3 5 3 2 18" xfId="10538" xr:uid="{F6B054EA-3D0F-4D47-A29D-945878E258CA}"/>
    <cellStyle name="Normal 2 3 5 3 2 19" xfId="10539" xr:uid="{D9CD3F87-005F-4FF2-AB1E-DDC5404386E6}"/>
    <cellStyle name="Normal 2 3 5 3 2 2" xfId="10540" xr:uid="{E3D76BCD-F1C5-49D4-B455-4187A26003A2}"/>
    <cellStyle name="Normal 2 3 5 3 2 20" xfId="10541" xr:uid="{6A046975-1042-416B-977A-B45F87363CC9}"/>
    <cellStyle name="Normal 2 3 5 3 2 21" xfId="10542" xr:uid="{65931F60-AAED-4C4B-8A09-BD1718BADB61}"/>
    <cellStyle name="Normal 2 3 5 3 2 22" xfId="10543" xr:uid="{64F17093-9412-4863-93C1-E0088B3D472D}"/>
    <cellStyle name="Normal 2 3 5 3 2 23" xfId="10544" xr:uid="{DD11D9DE-D0AD-4A0B-A8E3-F97AC5724B39}"/>
    <cellStyle name="Normal 2 3 5 3 2 24" xfId="10545" xr:uid="{85F95D50-98D2-4FB1-88CA-9C09D06F73B9}"/>
    <cellStyle name="Normal 2 3 5 3 2 25" xfId="10546" xr:uid="{0117F7F6-16D7-4276-A394-B002556D9A54}"/>
    <cellStyle name="Normal 2 3 5 3 2 26" xfId="10547" xr:uid="{482B4525-B8DE-410B-9D6F-08F9AEAE6BBF}"/>
    <cellStyle name="Normal 2 3 5 3 2 27" xfId="10548" xr:uid="{EC446DED-8DC4-4B2E-9D8B-EC59CCE393FB}"/>
    <cellStyle name="Normal 2 3 5 3 2 28" xfId="10549" xr:uid="{76C14665-8275-43E4-BB03-367BB5D38D9D}"/>
    <cellStyle name="Normal 2 3 5 3 2 29" xfId="10550" xr:uid="{0B520055-79F3-445D-BC10-88D1834CBE3A}"/>
    <cellStyle name="Normal 2 3 5 3 2 3" xfId="10551" xr:uid="{9B6955F9-C077-49F6-AFA3-A22674E8C228}"/>
    <cellStyle name="Normal 2 3 5 3 2 30" xfId="10552" xr:uid="{2B11FD54-4208-4022-A1B5-1E9F0B4588FC}"/>
    <cellStyle name="Normal 2 3 5 3 2 31" xfId="10553" xr:uid="{640DB694-9FA6-4BD0-81E5-D2559D541912}"/>
    <cellStyle name="Normal 2 3 5 3 2 32" xfId="10554" xr:uid="{E2DFDCEB-3894-4F5A-A6C7-AFC4BE6DA9BF}"/>
    <cellStyle name="Normal 2 3 5 3 2 33" xfId="10555" xr:uid="{425D516D-D00C-4778-94E5-14CFE9EB040D}"/>
    <cellStyle name="Normal 2 3 5 3 2 34" xfId="10556" xr:uid="{A1BCCE0E-A27F-4956-9DB3-74065A6EE02A}"/>
    <cellStyle name="Normal 2 3 5 3 2 35" xfId="10557" xr:uid="{6DA6F0DC-818C-4B9B-88E2-AC997DEC1FDC}"/>
    <cellStyle name="Normal 2 3 5 3 2 36" xfId="10558" xr:uid="{9CE953F8-7990-4812-A43D-B20B9806FC76}"/>
    <cellStyle name="Normal 2 3 5 3 2 37" xfId="10559" xr:uid="{2F3B8A5C-D951-4E8D-A209-75F86074837E}"/>
    <cellStyle name="Normal 2 3 5 3 2 38" xfId="10560" xr:uid="{1B32AE66-5104-4591-AA45-3872C3AA6BCE}"/>
    <cellStyle name="Normal 2 3 5 3 2 4" xfId="10561" xr:uid="{210417D0-184F-483C-9A09-CB69CE0B1737}"/>
    <cellStyle name="Normal 2 3 5 3 2 5" xfId="10562" xr:uid="{DF12AA82-A4B0-4A99-ABB3-67DC2F969631}"/>
    <cellStyle name="Normal 2 3 5 3 2 6" xfId="10563" xr:uid="{3900AE8D-BF5D-4647-8827-71BBBFE4A338}"/>
    <cellStyle name="Normal 2 3 5 3 2 7" xfId="10564" xr:uid="{B2BEE33C-F7A6-487C-BF2B-EE5A96BF761F}"/>
    <cellStyle name="Normal 2 3 5 3 2 8" xfId="10565" xr:uid="{FB36AEB0-6AFE-4FCE-B10B-E9DC08C6F102}"/>
    <cellStyle name="Normal 2 3 5 3 2 9" xfId="10566" xr:uid="{146F6F9F-B7CB-4AA7-9ED5-912FAD2337C1}"/>
    <cellStyle name="Normal 2 3 5 3 20" xfId="10567" xr:uid="{E2235300-449D-45DF-8456-4159DA0FBEE2}"/>
    <cellStyle name="Normal 2 3 5 3 21" xfId="10568" xr:uid="{B1E03640-0CC6-4F2E-84FE-D5CC67F9B59D}"/>
    <cellStyle name="Normal 2 3 5 3 22" xfId="10569" xr:uid="{F1602EB9-4DFA-479B-B5A8-7AB97D709B99}"/>
    <cellStyle name="Normal 2 3 5 3 23" xfId="10570" xr:uid="{E26FCCC7-872B-46A3-B407-1EBCA87222C7}"/>
    <cellStyle name="Normal 2 3 5 3 24" xfId="10571" xr:uid="{76BE8961-F9EC-44EC-8CDC-6F2DC9290AD5}"/>
    <cellStyle name="Normal 2 3 5 3 25" xfId="10572" xr:uid="{90B290F0-ED63-4BE1-9AAC-26C87A3DEBF9}"/>
    <cellStyle name="Normal 2 3 5 3 26" xfId="10573" xr:uid="{1F3FB1F6-DDBF-4894-A89F-C46F9C458B0D}"/>
    <cellStyle name="Normal 2 3 5 3 27" xfId="10574" xr:uid="{66B4C0A3-705D-4AA2-ABDE-7DED22D821DF}"/>
    <cellStyle name="Normal 2 3 5 3 28" xfId="10575" xr:uid="{738C49FB-DF74-4E72-A69F-07B078708716}"/>
    <cellStyle name="Normal 2 3 5 3 29" xfId="10576" xr:uid="{56F47AD9-DB0B-46AA-AB52-9900EBC0DA03}"/>
    <cellStyle name="Normal 2 3 5 3 3" xfId="10577" xr:uid="{1FF16127-A21E-45B8-A59E-F0E76FC07289}"/>
    <cellStyle name="Normal 2 3 5 3 30" xfId="10578" xr:uid="{852A4F2D-CB2C-4C89-8E7C-57BBC8EF5400}"/>
    <cellStyle name="Normal 2 3 5 3 31" xfId="10579" xr:uid="{DC761779-AC5A-44AC-9C8D-5E086B33DF34}"/>
    <cellStyle name="Normal 2 3 5 3 32" xfId="10580" xr:uid="{7C8B11CE-4290-46BC-9F6F-F66BF0F6A9AE}"/>
    <cellStyle name="Normal 2 3 5 3 33" xfId="10581" xr:uid="{291F1E67-ED2F-4B8F-BAE2-250DA6B5657A}"/>
    <cellStyle name="Normal 2 3 5 3 34" xfId="10582" xr:uid="{6A97B343-A49B-4F41-8103-5C3A5D14E0F3}"/>
    <cellStyle name="Normal 2 3 5 3 35" xfId="10583" xr:uid="{DC3E5597-142B-4E59-B450-85F84D4704F0}"/>
    <cellStyle name="Normal 2 3 5 3 36" xfId="10584" xr:uid="{7730821A-C4B0-49FC-9BE5-2BB0655FB830}"/>
    <cellStyle name="Normal 2 3 5 3 37" xfId="10585" xr:uid="{A11F6578-A0B5-4C6E-ABB0-3BF23635ED53}"/>
    <cellStyle name="Normal 2 3 5 3 38" xfId="10586" xr:uid="{E50687FC-269E-4917-A0E3-F2522581C19B}"/>
    <cellStyle name="Normal 2 3 5 3 4" xfId="10587" xr:uid="{489B05F6-401A-49D2-BBD2-8C31AB180EC5}"/>
    <cellStyle name="Normal 2 3 5 3 5" xfId="10588" xr:uid="{87F53B70-C742-46EC-91D8-C9030D82F2A8}"/>
    <cellStyle name="Normal 2 3 5 3 6" xfId="10589" xr:uid="{B41FA0E8-A8B9-43C6-8729-FFBF70FB8172}"/>
    <cellStyle name="Normal 2 3 5 3 7" xfId="10590" xr:uid="{14F47091-E0B8-453C-82BC-4E6E3D4BE5B3}"/>
    <cellStyle name="Normal 2 3 5 3 8" xfId="10591" xr:uid="{38D2AE79-7EC7-47E2-9775-437176D124E1}"/>
    <cellStyle name="Normal 2 3 5 3 9" xfId="10592" xr:uid="{73931BD4-49CF-4B10-99DC-190D628A9A43}"/>
    <cellStyle name="Normal 2 3 5 30" xfId="10593" xr:uid="{FDAD563A-6E11-470A-9E0B-D857A02DC9E7}"/>
    <cellStyle name="Normal 2 3 5 31" xfId="10594" xr:uid="{4DA5CAC2-E6CE-4E20-AC5C-83D4760167DF}"/>
    <cellStyle name="Normal 2 3 5 32" xfId="10595" xr:uid="{2130FDFF-FA63-4ED1-A0DF-1551827B443E}"/>
    <cellStyle name="Normal 2 3 5 33" xfId="10596" xr:uid="{764ACE52-F222-4E26-AC59-68F565DF6890}"/>
    <cellStyle name="Normal 2 3 5 34" xfId="10597" xr:uid="{03D6292C-CEF3-4E68-B1AC-92CF8D087C0E}"/>
    <cellStyle name="Normal 2 3 5 35" xfId="10598" xr:uid="{7F6B8307-4FF9-4189-A8B7-3B6EDDA24DC0}"/>
    <cellStyle name="Normal 2 3 5 36" xfId="10599" xr:uid="{D9CAF43B-245A-404E-944C-19A796201532}"/>
    <cellStyle name="Normal 2 3 5 37" xfId="10600" xr:uid="{1359E2D9-BC1C-4358-A36A-73876596C57B}"/>
    <cellStyle name="Normal 2 3 5 38" xfId="10601" xr:uid="{E6550662-38EB-4451-A732-8CFC731A5E40}"/>
    <cellStyle name="Normal 2 3 5 39" xfId="10602" xr:uid="{B800F2E8-F250-4CD2-8223-B337D20E8245}"/>
    <cellStyle name="Normal 2 3 5 4" xfId="10603" xr:uid="{BB9CCAB3-ACF2-4B91-A9A7-6B8C541097E2}"/>
    <cellStyle name="Normal 2 3 5 40" xfId="10604" xr:uid="{9A3CD047-6C1E-4D47-B3A9-A3CF7D6B4378}"/>
    <cellStyle name="Normal 2 3 5 5" xfId="10605" xr:uid="{141F7177-FE37-444B-BF70-01F2EFCA8B93}"/>
    <cellStyle name="Normal 2 3 5 6" xfId="10606" xr:uid="{7E237F89-47D2-4CEA-AE90-64D57BC5811E}"/>
    <cellStyle name="Normal 2 3 5 7" xfId="10607" xr:uid="{79CD4E10-02D2-45DA-8D1E-E76EE1D38290}"/>
    <cellStyle name="Normal 2 3 5 8" xfId="10608" xr:uid="{0A72A1B4-1828-41B0-A527-9E2492605AD4}"/>
    <cellStyle name="Normal 2 3 5 9" xfId="10609" xr:uid="{BABAD655-62C5-4B75-8D64-2F0777BFB0A8}"/>
    <cellStyle name="Normal 2 3 50" xfId="10610" xr:uid="{06324BAE-AC68-43D2-84BD-4307FA82D1F2}"/>
    <cellStyle name="Normal 2 3 51" xfId="10611" xr:uid="{4B4BC300-AE2E-433B-9A2C-28C89AE9F37D}"/>
    <cellStyle name="Normal 2 3 52" xfId="10612" xr:uid="{FC8123D0-6167-49B1-80B1-D753DDA7BF6E}"/>
    <cellStyle name="Normal 2 3 53" xfId="10613" xr:uid="{188463D7-34B8-4D68-ABD1-ACD0BC3368EB}"/>
    <cellStyle name="Normal 2 3 54" xfId="10614" xr:uid="{B330A83C-D27D-4B25-B30F-FB38D3ECE1CB}"/>
    <cellStyle name="Normal 2 3 55" xfId="10615" xr:uid="{8BBFF507-73B2-4C83-818A-4463A5ECBF32}"/>
    <cellStyle name="Normal 2 3 56" xfId="10616" xr:uid="{605C5DC7-2561-4C0A-9C62-73D74CC49324}"/>
    <cellStyle name="Normal 2 3 57" xfId="10617" xr:uid="{261F2065-E434-454E-B8DA-815084344828}"/>
    <cellStyle name="Normal 2 3 58" xfId="10618" xr:uid="{271E1A2F-EF56-4E61-887C-4EE76E61AFE2}"/>
    <cellStyle name="Normal 2 3 59" xfId="10619" xr:uid="{96C3E09A-D2FD-4F49-9C1C-6525FB5D50B9}"/>
    <cellStyle name="Normal 2 3 6" xfId="10620" xr:uid="{6DD01AA2-1A00-4DA9-A6D8-118910102F92}"/>
    <cellStyle name="Normal 2 3 6 2" xfId="10621" xr:uid="{7300718C-0D1E-45E3-B43B-DE5D1D52F809}"/>
    <cellStyle name="Normal 2 3 6 3" xfId="10622" xr:uid="{70E46742-E2A2-4A7C-BF5A-76A48D8332AA}"/>
    <cellStyle name="Normal 2 3 6 4" xfId="10623" xr:uid="{D05D6367-5EAA-4921-88DB-401B0A7D6E23}"/>
    <cellStyle name="Normal 2 3 6 5" xfId="10624" xr:uid="{585E619B-CAC5-4F67-B946-DFB5406BB6FE}"/>
    <cellStyle name="Normal 2 3 6 6" xfId="10625" xr:uid="{C510A576-FD00-4072-A68A-37BB7669F249}"/>
    <cellStyle name="Normal 2 3 60" xfId="10626" xr:uid="{90F049A6-965D-4791-BB10-4D5A2640AF8E}"/>
    <cellStyle name="Normal 2 3 61" xfId="10627" xr:uid="{AE5FB18D-EC54-4266-BE82-5E6FCF0624E1}"/>
    <cellStyle name="Normal 2 3 62" xfId="10628" xr:uid="{BFE474D4-78AD-4CB8-99F5-08A1EBCFEF67}"/>
    <cellStyle name="Normal 2 3 63" xfId="10629" xr:uid="{FAB765AD-25A6-43E4-97C2-2368BBE69A76}"/>
    <cellStyle name="Normal 2 3 64" xfId="10630" xr:uid="{CF26B040-39DB-416E-8CFA-186A513AFBF9}"/>
    <cellStyle name="Normal 2 3 65" xfId="10631" xr:uid="{36E6FA5C-51A8-49A6-915A-EA1EF9FDB62D}"/>
    <cellStyle name="Normal 2 3 66" xfId="10632" xr:uid="{61CCA309-A0D4-4D31-AF71-DEFE8D8872C1}"/>
    <cellStyle name="Normal 2 3 67" xfId="10633" xr:uid="{471AA494-AD1F-4083-BE52-001FF7A8797D}"/>
    <cellStyle name="Normal 2 3 68" xfId="10634" xr:uid="{0BD598AA-DE91-4FB8-A623-B90EE0DFB147}"/>
    <cellStyle name="Normal 2 3 69" xfId="10635" xr:uid="{6857A5B1-9549-4635-962C-937BACC84040}"/>
    <cellStyle name="Normal 2 3 7" xfId="10636" xr:uid="{378F211C-81FF-457F-BB8A-0BA4C20A190F}"/>
    <cellStyle name="Normal 2 3 7 2" xfId="10637" xr:uid="{8E363135-948B-4208-A9C8-5A161E333A68}"/>
    <cellStyle name="Normal 2 3 7 3" xfId="10638" xr:uid="{CF4AD1DF-EAA4-4080-958F-9D1D2837C55B}"/>
    <cellStyle name="Normal 2 3 7 4" xfId="10639" xr:uid="{5D8E94F0-5902-44B4-A045-7C9DCB5DF6DB}"/>
    <cellStyle name="Normal 2 3 7 5" xfId="10640" xr:uid="{D283DEEA-89EB-49C1-8004-EE5498F3B5F6}"/>
    <cellStyle name="Normal 2 3 7 6" xfId="10641" xr:uid="{6DD16668-6A8B-4378-B4D4-C1C677702C58}"/>
    <cellStyle name="Normal 2 3 70" xfId="10642" xr:uid="{E7274FF4-F4D3-4D78-A8BC-CD8FE8F01F9B}"/>
    <cellStyle name="Normal 2 3 71" xfId="10643" xr:uid="{23A0C5E1-33E6-4E98-8242-1FCB7F6A2EE4}"/>
    <cellStyle name="Normal 2 3 72" xfId="10644" xr:uid="{2E5B8179-FB99-400A-9763-717E4532B80B}"/>
    <cellStyle name="Normal 2 3 73" xfId="10645" xr:uid="{DE48F41F-F3DC-4CD4-8877-1361B1DC34B6}"/>
    <cellStyle name="Normal 2 3 74" xfId="10646" xr:uid="{A06F6E76-849C-4495-92D6-418CE5AD9B9C}"/>
    <cellStyle name="Normal 2 3 75" xfId="10647" xr:uid="{E9AFB489-70ED-45D1-A857-E16833ACB828}"/>
    <cellStyle name="Normal 2 3 76" xfId="10648" xr:uid="{85B34947-9F29-4148-A65B-97FC2B27D885}"/>
    <cellStyle name="Normal 2 3 77" xfId="10649" xr:uid="{461154E4-8A31-4499-9F18-DD38F76C8B7A}"/>
    <cellStyle name="Normal 2 3 78" xfId="10650" xr:uid="{14CD01EA-1D66-43F4-A11B-C354E73943D8}"/>
    <cellStyle name="Normal 2 3 79" xfId="10651" xr:uid="{7316B1E9-7092-46BF-811C-5D10788D305B}"/>
    <cellStyle name="Normal 2 3 8" xfId="10652" xr:uid="{E88DA3BA-EFEB-400E-98C6-675249280FFE}"/>
    <cellStyle name="Normal 2 3 8 2" xfId="10653" xr:uid="{77199D55-94CB-4F53-8645-85BE65552ADC}"/>
    <cellStyle name="Normal 2 3 8 3" xfId="10654" xr:uid="{7BB30286-37DF-4335-9EF4-ADA7F269C856}"/>
    <cellStyle name="Normal 2 3 8 4" xfId="10655" xr:uid="{318CA00C-16DE-45A0-981E-D63164B7E110}"/>
    <cellStyle name="Normal 2 3 8 5" xfId="10656" xr:uid="{CD1372B8-A16A-4784-84F9-A062E8E22085}"/>
    <cellStyle name="Normal 2 3 8 6" xfId="10657" xr:uid="{EC7A8434-99C2-400A-A627-D752AA241857}"/>
    <cellStyle name="Normal 2 3 80" xfId="10658" xr:uid="{099916E4-C1A4-4212-A038-615196F9529E}"/>
    <cellStyle name="Normal 2 3 81" xfId="10659" xr:uid="{CFEE371D-A129-45F3-97C0-248E83CEBFE8}"/>
    <cellStyle name="Normal 2 3 82" xfId="10660" xr:uid="{788EA999-1D31-45A7-9B8A-4DE4B5558B4F}"/>
    <cellStyle name="Normal 2 3 83" xfId="10661" xr:uid="{010F1701-086C-4F00-8924-1BC3EA494DF9}"/>
    <cellStyle name="Normal 2 3 84" xfId="10662" xr:uid="{AFF997EC-5812-4020-BB27-E70FAF278B09}"/>
    <cellStyle name="Normal 2 3 85" xfId="10663" xr:uid="{8DC3D936-3189-4366-8257-E29CBCBD12D3}"/>
    <cellStyle name="Normal 2 3 86" xfId="10664" xr:uid="{324684F1-02B2-41DA-90F4-AE2C54A1E7D4}"/>
    <cellStyle name="Normal 2 3 87" xfId="10665" xr:uid="{BF3D15B7-0CD2-4C6A-98E0-CC4244D33402}"/>
    <cellStyle name="Normal 2 3 88" xfId="10666" xr:uid="{7C57FC64-9C48-4132-B17D-07F0F4A62DC0}"/>
    <cellStyle name="Normal 2 3 89" xfId="10667" xr:uid="{3E44D523-3840-4836-A722-F373DB36073E}"/>
    <cellStyle name="Normal 2 3 9" xfId="10668" xr:uid="{6C95EC94-DCB1-454F-8D76-333B57A3B77E}"/>
    <cellStyle name="Normal 2 3 9 2" xfId="10669" xr:uid="{60E0C06F-1FCF-48F8-868F-D1062F49C4BF}"/>
    <cellStyle name="Normal 2 3 9 3" xfId="10670" xr:uid="{0694DD42-7A33-4024-A10D-3592A2A1114F}"/>
    <cellStyle name="Normal 2 3 9 4" xfId="10671" xr:uid="{E5179502-2C5B-4DFE-B4E6-B907E055FDA6}"/>
    <cellStyle name="Normal 2 3 9 5" xfId="10672" xr:uid="{9AE6C124-F048-43C0-91AE-DC2A883CC53C}"/>
    <cellStyle name="Normal 2 3 9 6" xfId="10673" xr:uid="{74583C88-821A-4267-BDD1-3D9B3BCE3AC4}"/>
    <cellStyle name="Normal 2 3 90" xfId="10674" xr:uid="{AF069E3D-4281-463D-8F9C-672940707D40}"/>
    <cellStyle name="Normal 2 3 91" xfId="10675" xr:uid="{8E5D3C02-0692-42ED-8279-862930EA51EA}"/>
    <cellStyle name="Normal 2 3 92" xfId="10676" xr:uid="{27633CE0-BEC9-4702-ABA7-3D6D2182DF11}"/>
    <cellStyle name="Normal 2 3 93" xfId="10677" xr:uid="{4B625088-F39F-4147-9587-B1B7C68A8174}"/>
    <cellStyle name="Normal 2 3 94" xfId="10678" xr:uid="{93FA0E14-FA09-4C7A-8AA9-E7AA7B40441E}"/>
    <cellStyle name="Normal 2 3 95" xfId="10679" xr:uid="{713A5183-C032-436B-B27C-69DBA7472288}"/>
    <cellStyle name="Normal 2 3 96" xfId="10680" xr:uid="{83059464-3D30-4E4B-9F23-F60ED073EBBC}"/>
    <cellStyle name="Normal 2 3 97" xfId="10681" xr:uid="{78AEF398-1B9B-47FD-88E2-4225097A77FF}"/>
    <cellStyle name="Normal 2 3 98" xfId="10682" xr:uid="{19D061D9-5600-4C31-A144-6AE8F6F78769}"/>
    <cellStyle name="Normal 2 3 99" xfId="10683" xr:uid="{5500CAFF-F447-4FE1-BFED-B867D11A8828}"/>
    <cellStyle name="Normal 2 30" xfId="10684" xr:uid="{C3D39C19-1998-4EA6-9081-4CBAFCF23693}"/>
    <cellStyle name="Normal 2 31" xfId="10685" xr:uid="{21D3BEB5-2309-4F21-8987-624BF5750CD2}"/>
    <cellStyle name="Normal 2 32" xfId="10686" xr:uid="{3CCDD49B-9C71-43DC-93CF-D815D1E51322}"/>
    <cellStyle name="Normal 2 33" xfId="10687" xr:uid="{E292450C-EE57-4BFC-B1F5-C5646021E25A}"/>
    <cellStyle name="Normal 2 34" xfId="10688" xr:uid="{DB46DFBF-0763-4F48-9488-96430B9A1302}"/>
    <cellStyle name="Normal 2 35" xfId="10689" xr:uid="{46DAE902-B985-48B7-B65A-F562E6ACE363}"/>
    <cellStyle name="Normal 2 36" xfId="10690" xr:uid="{8D522643-B00C-42AE-A7B1-17A2687E84E6}"/>
    <cellStyle name="Normal 2 37" xfId="10691" xr:uid="{0CB7E514-9428-4C47-86B6-A256B6EA940D}"/>
    <cellStyle name="Normal 2 38" xfId="10692" xr:uid="{94417A34-CFD0-4D36-AC91-091252D189A5}"/>
    <cellStyle name="Normal 2 39" xfId="10693" xr:uid="{9940A789-BE4C-4362-BB81-BD0A1659F56A}"/>
    <cellStyle name="Normal 2 4" xfId="10694" xr:uid="{4912CC15-A87B-4AE0-BB48-272EF92142C3}"/>
    <cellStyle name="Normal 2 4 10" xfId="10695" xr:uid="{DAC6AD28-5FBC-4BB7-A6FF-129F4B31948C}"/>
    <cellStyle name="Normal 2 4 11" xfId="10696" xr:uid="{52FDA1B2-EC13-48F4-8E09-EBC20C19D2C2}"/>
    <cellStyle name="Normal 2 4 12" xfId="10697" xr:uid="{012E013A-EAD2-48DA-B38D-D31FA560EC66}"/>
    <cellStyle name="Normal 2 4 13" xfId="10698" xr:uid="{76B434F7-C80C-4DDB-AD54-E3CC75C405A5}"/>
    <cellStyle name="Normal 2 4 14" xfId="10699" xr:uid="{631DC6E2-0F48-46BE-ABB4-A01232104CC9}"/>
    <cellStyle name="Normal 2 4 15" xfId="10700" xr:uid="{170E4719-9BF5-42AE-B0A6-A43E6A784EFC}"/>
    <cellStyle name="Normal 2 4 16" xfId="10701" xr:uid="{6E8647EE-3DAF-4C62-9D28-24DEF481ECC5}"/>
    <cellStyle name="Normal 2 4 17" xfId="10702" xr:uid="{D185CEE0-E03C-415A-B636-D6647E03A6B0}"/>
    <cellStyle name="Normal 2 4 18" xfId="10703" xr:uid="{DDADF037-7174-4A13-AA83-0B90ACFACFA4}"/>
    <cellStyle name="Normal 2 4 19" xfId="10704" xr:uid="{BEB8B036-7378-4080-B72B-466633218F3E}"/>
    <cellStyle name="Normal 2 4 2" xfId="10705" xr:uid="{1FFE175B-5A3D-4C85-95E5-BE98D59DA495}"/>
    <cellStyle name="Normal 2 4 2 10" xfId="10706" xr:uid="{9467DDC6-AA1D-4C97-B98D-F3FB4AA9E99C}"/>
    <cellStyle name="Normal 2 4 2 11" xfId="10707" xr:uid="{B95D0E92-7451-4979-8819-88FC5259032E}"/>
    <cellStyle name="Normal 2 4 2 12" xfId="10708" xr:uid="{40A08DF6-BEF2-4BB9-A7C8-241380ABDE54}"/>
    <cellStyle name="Normal 2 4 2 13" xfId="10709" xr:uid="{AA6DA6B2-3AC7-40C1-9CC5-01FEACAE5B4C}"/>
    <cellStyle name="Normal 2 4 2 14" xfId="10710" xr:uid="{6C25F71E-DF75-4826-B3A2-EA1ECDA02EE9}"/>
    <cellStyle name="Normal 2 4 2 15" xfId="10711" xr:uid="{F3016595-A36D-4D7A-B241-4A8AEA22A47A}"/>
    <cellStyle name="Normal 2 4 2 16" xfId="10712" xr:uid="{D5470AF9-0D91-42D6-AB2F-7F249EF80A22}"/>
    <cellStyle name="Normal 2 4 2 17" xfId="10713" xr:uid="{C5F29585-E847-42FA-97D7-3370B044ABF4}"/>
    <cellStyle name="Normal 2 4 2 18" xfId="10714" xr:uid="{73429ADB-80EE-4D07-8E58-53B16821997D}"/>
    <cellStyle name="Normal 2 4 2 19" xfId="10715" xr:uid="{9832E692-8F8F-4B73-A8AB-6C78008DC2F6}"/>
    <cellStyle name="Normal 2 4 2 2" xfId="10716" xr:uid="{1109D3A4-4D6A-48D0-8523-5B4F4C2201DF}"/>
    <cellStyle name="Normal 2 4 2 2 10" xfId="10717" xr:uid="{5F40E850-E873-48CD-A69E-0F36F59BE306}"/>
    <cellStyle name="Normal 2 4 2 2 11" xfId="10718" xr:uid="{5F9240D0-3B64-4A86-A428-D4526994BF17}"/>
    <cellStyle name="Normal 2 4 2 2 12" xfId="10719" xr:uid="{4C76BAB0-369B-4C76-BFED-685BCF2DC7C3}"/>
    <cellStyle name="Normal 2 4 2 2 13" xfId="10720" xr:uid="{E77C1B4E-5968-437A-B5E0-36F2F425A34C}"/>
    <cellStyle name="Normal 2 4 2 2 14" xfId="10721" xr:uid="{2D423B86-A0BD-48CF-95E1-91B12D42F17B}"/>
    <cellStyle name="Normal 2 4 2 2 15" xfId="10722" xr:uid="{E03B397E-18E7-4FBA-BE4E-F433B276496C}"/>
    <cellStyle name="Normal 2 4 2 2 16" xfId="10723" xr:uid="{14758E00-C696-4222-BF33-48A9BF6929BA}"/>
    <cellStyle name="Normal 2 4 2 2 17" xfId="10724" xr:uid="{DC23DF7D-CE44-46F6-B6DC-3B97FCCB9876}"/>
    <cellStyle name="Normal 2 4 2 2 18" xfId="10725" xr:uid="{5ACDEAA1-D0E8-4D8C-A23F-CA240952BC20}"/>
    <cellStyle name="Normal 2 4 2 2 19" xfId="10726" xr:uid="{E52DAAB8-81B3-4C46-B255-158F5BEEFB31}"/>
    <cellStyle name="Normal 2 4 2 2 2" xfId="10727" xr:uid="{55E3BB86-E56A-4E39-8A38-2C355E49830E}"/>
    <cellStyle name="Normal 2 4 2 2 2 10" xfId="10728" xr:uid="{4979FA69-8FCE-4C6A-A235-B0DC48D3C0FF}"/>
    <cellStyle name="Normal 2 4 2 2 2 11" xfId="10729" xr:uid="{491574B2-012A-4629-8AE6-8AF63B7F8847}"/>
    <cellStyle name="Normal 2 4 2 2 2 12" xfId="10730" xr:uid="{85ED6648-C9C7-4854-9F78-E414624DB2DC}"/>
    <cellStyle name="Normal 2 4 2 2 2 13" xfId="10731" xr:uid="{5368636C-6C9E-4803-A710-6DDFD3FF5559}"/>
    <cellStyle name="Normal 2 4 2 2 2 14" xfId="10732" xr:uid="{84899213-EE96-454D-9016-C1B9D1B81F1A}"/>
    <cellStyle name="Normal 2 4 2 2 2 15" xfId="10733" xr:uid="{A586C59B-A8EA-4D4D-B0AD-2D140511DB8D}"/>
    <cellStyle name="Normal 2 4 2 2 2 16" xfId="10734" xr:uid="{5EA9B8C7-1F61-44BD-AC25-DA4CC1451376}"/>
    <cellStyle name="Normal 2 4 2 2 2 17" xfId="10735" xr:uid="{26518A7E-ABE6-4F3F-A851-F064550933B9}"/>
    <cellStyle name="Normal 2 4 2 2 2 18" xfId="10736" xr:uid="{D84C8A38-AC39-4418-B541-1438CBC93955}"/>
    <cellStyle name="Normal 2 4 2 2 2 19" xfId="10737" xr:uid="{9CD07B42-F452-433C-9C91-96A6D02E11BE}"/>
    <cellStyle name="Normal 2 4 2 2 2 2" xfId="10738" xr:uid="{47584A03-E97F-401C-8E87-056D6E057510}"/>
    <cellStyle name="Normal 2 4 2 2 2 2 10" xfId="10739" xr:uid="{E09476D7-D562-40CC-B76A-C5C03EA90C45}"/>
    <cellStyle name="Normal 2 4 2 2 2 2 11" xfId="10740" xr:uid="{1D7E5377-2E0B-4E67-8275-C7AE4A2D479B}"/>
    <cellStyle name="Normal 2 4 2 2 2 2 12" xfId="10741" xr:uid="{5F09EE62-3996-4B39-819F-9BB65BAB54B1}"/>
    <cellStyle name="Normal 2 4 2 2 2 2 13" xfId="10742" xr:uid="{D600C02A-D0A1-4E17-88B8-317101B5B25A}"/>
    <cellStyle name="Normal 2 4 2 2 2 2 14" xfId="10743" xr:uid="{2ABD35F1-3128-4079-9CFA-980E05E5AB89}"/>
    <cellStyle name="Normal 2 4 2 2 2 2 15" xfId="10744" xr:uid="{6ACDBCA7-B992-4ABA-84E4-5B899859A992}"/>
    <cellStyle name="Normal 2 4 2 2 2 2 16" xfId="10745" xr:uid="{5E4C8205-2975-488C-BE2C-E714DB8BD5F1}"/>
    <cellStyle name="Normal 2 4 2 2 2 2 17" xfId="10746" xr:uid="{F16166F9-5BC5-471E-8F51-D81DA06C4AA7}"/>
    <cellStyle name="Normal 2 4 2 2 2 2 18" xfId="10747" xr:uid="{912248A5-7C96-4CDC-88EC-97C49D757AC8}"/>
    <cellStyle name="Normal 2 4 2 2 2 2 19" xfId="10748" xr:uid="{E065B036-467F-4B82-B237-B8FFF3FF4322}"/>
    <cellStyle name="Normal 2 4 2 2 2 2 2" xfId="10749" xr:uid="{8B925A95-B2BB-45F8-8937-1B67B940D128}"/>
    <cellStyle name="Normal 2 4 2 2 2 2 20" xfId="10750" xr:uid="{1A28FD8D-809D-47DB-A738-8A1BA9923075}"/>
    <cellStyle name="Normal 2 4 2 2 2 2 21" xfId="10751" xr:uid="{3F9FF2CA-1DA8-464E-92A2-7DABF4DB2376}"/>
    <cellStyle name="Normal 2 4 2 2 2 2 22" xfId="10752" xr:uid="{BD790A26-13A2-4F40-AFCC-84E815E5C846}"/>
    <cellStyle name="Normal 2 4 2 2 2 2 23" xfId="10753" xr:uid="{43D3DA9F-84C0-4C0B-B2B0-5FE7647C6853}"/>
    <cellStyle name="Normal 2 4 2 2 2 2 24" xfId="10754" xr:uid="{1ED98B2F-BB86-42C6-811B-278CE9EA7059}"/>
    <cellStyle name="Normal 2 4 2 2 2 2 25" xfId="10755" xr:uid="{CD03ED82-009B-4B28-9902-16A22BFD4ADF}"/>
    <cellStyle name="Normal 2 4 2 2 2 2 26" xfId="10756" xr:uid="{BD25C8D7-D329-4B9C-9054-E3E85A13E96C}"/>
    <cellStyle name="Normal 2 4 2 2 2 2 27" xfId="10757" xr:uid="{2F8F2F6C-7A4A-4118-B86F-D12A58C43DBA}"/>
    <cellStyle name="Normal 2 4 2 2 2 2 28" xfId="10758" xr:uid="{536642D5-4DED-4F49-B64D-D5E6EFEF887A}"/>
    <cellStyle name="Normal 2 4 2 2 2 2 29" xfId="10759" xr:uid="{C8EBCE1F-A0CD-4A87-89B4-F994D703F05C}"/>
    <cellStyle name="Normal 2 4 2 2 2 2 3" xfId="10760" xr:uid="{87382F4E-07E7-4B52-B905-664588303CC7}"/>
    <cellStyle name="Normal 2 4 2 2 2 2 30" xfId="10761" xr:uid="{B57907C0-74BB-4BCF-9A37-18EB868218A0}"/>
    <cellStyle name="Normal 2 4 2 2 2 2 31" xfId="10762" xr:uid="{747C2443-12A5-4960-BC38-822D5CCD3671}"/>
    <cellStyle name="Normal 2 4 2 2 2 2 32" xfId="10763" xr:uid="{D9CA004D-E7E8-4520-ABD4-3E332C379BFF}"/>
    <cellStyle name="Normal 2 4 2 2 2 2 33" xfId="10764" xr:uid="{70786268-F2EF-406C-BE5C-4D78A778D5DA}"/>
    <cellStyle name="Normal 2 4 2 2 2 2 34" xfId="10765" xr:uid="{8385EAE7-F68C-403F-9377-1498F3AB5CDE}"/>
    <cellStyle name="Normal 2 4 2 2 2 2 35" xfId="10766" xr:uid="{22DD0255-F8D1-4834-BBFE-6A4D085B95CC}"/>
    <cellStyle name="Normal 2 4 2 2 2 2 36" xfId="10767" xr:uid="{A866FC06-AE4E-4C71-B0F5-DDF9749C35FD}"/>
    <cellStyle name="Normal 2 4 2 2 2 2 37" xfId="10768" xr:uid="{1B7B9BD8-3E79-44F9-A7ED-252C40F227C7}"/>
    <cellStyle name="Normal 2 4 2 2 2 2 38" xfId="10769" xr:uid="{F354C11A-14D8-4937-996F-D953AAAFD6FE}"/>
    <cellStyle name="Normal 2 4 2 2 2 2 4" xfId="10770" xr:uid="{2BDCEC40-BD78-44A6-963B-3B5D4EA5FB6F}"/>
    <cellStyle name="Normal 2 4 2 2 2 2 5" xfId="10771" xr:uid="{06312907-93D7-4F4C-840F-9D8F5D79781A}"/>
    <cellStyle name="Normal 2 4 2 2 2 2 6" xfId="10772" xr:uid="{314703E8-6CF7-4FCD-8844-E96C354110FF}"/>
    <cellStyle name="Normal 2 4 2 2 2 2 7" xfId="10773" xr:uid="{9F84F6BE-A215-409C-A86F-9EEBC68447BB}"/>
    <cellStyle name="Normal 2 4 2 2 2 2 8" xfId="10774" xr:uid="{9F45FD32-82DF-42A1-B97C-54E7C890D4B1}"/>
    <cellStyle name="Normal 2 4 2 2 2 2 9" xfId="10775" xr:uid="{E431C00F-FC5F-411C-8630-1A963026831A}"/>
    <cellStyle name="Normal 2 4 2 2 2 20" xfId="10776" xr:uid="{86702F45-A8CE-4A3D-A174-402FF2BA01C5}"/>
    <cellStyle name="Normal 2 4 2 2 2 21" xfId="10777" xr:uid="{78DFBA8D-A993-4CA5-BF80-9AB5A1158722}"/>
    <cellStyle name="Normal 2 4 2 2 2 22" xfId="10778" xr:uid="{48ED3D3F-1A30-4B28-B2C0-786BE1A1971A}"/>
    <cellStyle name="Normal 2 4 2 2 2 23" xfId="10779" xr:uid="{2206E093-62CD-4F87-841D-49D5D279B9AA}"/>
    <cellStyle name="Normal 2 4 2 2 2 24" xfId="10780" xr:uid="{C73C5AA4-2D7B-408C-A0E6-376E8D672978}"/>
    <cellStyle name="Normal 2 4 2 2 2 25" xfId="10781" xr:uid="{1488D83E-FF59-4539-8B35-949371AAE537}"/>
    <cellStyle name="Normal 2 4 2 2 2 26" xfId="10782" xr:uid="{6BB3FE69-493C-41FD-97AA-F443BDF5D1A6}"/>
    <cellStyle name="Normal 2 4 2 2 2 27" xfId="10783" xr:uid="{CEB1A2EC-34AE-443E-BF36-F865965798FF}"/>
    <cellStyle name="Normal 2 4 2 2 2 28" xfId="10784" xr:uid="{BEB48534-7841-4C43-A209-6307472BD72F}"/>
    <cellStyle name="Normal 2 4 2 2 2 29" xfId="10785" xr:uid="{B226EF8B-3367-4A49-A571-E53AFC531C2A}"/>
    <cellStyle name="Normal 2 4 2 2 2 3" xfId="10786" xr:uid="{B122C1D1-E279-410C-A431-0B6BC54FDD4B}"/>
    <cellStyle name="Normal 2 4 2 2 2 30" xfId="10787" xr:uid="{426D05AA-EB25-4C09-A6B8-1DCF81C14995}"/>
    <cellStyle name="Normal 2 4 2 2 2 31" xfId="10788" xr:uid="{65F22358-1BB8-4368-9CB1-B362E76289B1}"/>
    <cellStyle name="Normal 2 4 2 2 2 32" xfId="10789" xr:uid="{3A54A0F6-997B-482B-A020-235C96BF6173}"/>
    <cellStyle name="Normal 2 4 2 2 2 33" xfId="10790" xr:uid="{E7FBCE23-52E1-4E28-96B5-055ACB116B2E}"/>
    <cellStyle name="Normal 2 4 2 2 2 34" xfId="10791" xr:uid="{FC78A63F-308E-4B9A-BC72-DA355189211C}"/>
    <cellStyle name="Normal 2 4 2 2 2 35" xfId="10792" xr:uid="{9DEA5A07-7C7A-4E55-95D3-B99FFA3A0115}"/>
    <cellStyle name="Normal 2 4 2 2 2 36" xfId="10793" xr:uid="{EABFA7EA-24FE-4B9F-A1A3-E2DFAD453EDB}"/>
    <cellStyle name="Normal 2 4 2 2 2 37" xfId="10794" xr:uid="{047CD1E4-5F61-4814-BC3D-2C295E250008}"/>
    <cellStyle name="Normal 2 4 2 2 2 38" xfId="10795" xr:uid="{789391EE-E050-43C3-BCFA-1B3686DF1190}"/>
    <cellStyle name="Normal 2 4 2 2 2 4" xfId="10796" xr:uid="{B0352F90-1B6C-4F5E-87D3-B41BC912650F}"/>
    <cellStyle name="Normal 2 4 2 2 2 5" xfId="10797" xr:uid="{967650B4-06F8-49E3-8AE6-8C0EEF4A1EB8}"/>
    <cellStyle name="Normal 2 4 2 2 2 6" xfId="10798" xr:uid="{007ABBE0-EEC3-4EF8-91C4-72AD4D321A1D}"/>
    <cellStyle name="Normal 2 4 2 2 2 7" xfId="10799" xr:uid="{6ECAD47C-47B7-4C0C-B244-977C20307DEA}"/>
    <cellStyle name="Normal 2 4 2 2 2 8" xfId="10800" xr:uid="{E9A564F9-5CD9-466D-B8B7-1AE0FE701508}"/>
    <cellStyle name="Normal 2 4 2 2 2 9" xfId="10801" xr:uid="{1FB3ABFD-67E0-41D7-BC5B-857DD17BD73E}"/>
    <cellStyle name="Normal 2 4 2 2 20" xfId="10802" xr:uid="{56B9B026-6362-49D1-B611-19FE41CFAFDD}"/>
    <cellStyle name="Normal 2 4 2 2 21" xfId="10803" xr:uid="{21B4D09D-B85B-4F08-AF36-CC37C54AC379}"/>
    <cellStyle name="Normal 2 4 2 2 22" xfId="10804" xr:uid="{BE738FED-1066-49C6-9578-3CF9F62BE387}"/>
    <cellStyle name="Normal 2 4 2 2 23" xfId="10805" xr:uid="{D5DC10C7-2567-44BF-8105-9D9D7704B913}"/>
    <cellStyle name="Normal 2 4 2 2 24" xfId="10806" xr:uid="{79B17855-7F80-4734-9162-BCC006398070}"/>
    <cellStyle name="Normal 2 4 2 2 25" xfId="10807" xr:uid="{DAE76EBB-7E75-41FE-A865-AA19D62AEBF3}"/>
    <cellStyle name="Normal 2 4 2 2 26" xfId="10808" xr:uid="{14295D51-C0E5-4CA5-92B8-2B249FD220CF}"/>
    <cellStyle name="Normal 2 4 2 2 27" xfId="10809" xr:uid="{E81FBCA1-7DD1-44D9-A785-BD302B81F112}"/>
    <cellStyle name="Normal 2 4 2 2 28" xfId="10810" xr:uid="{0A28F105-FAD5-41C7-863D-08E654C47BBF}"/>
    <cellStyle name="Normal 2 4 2 2 29" xfId="10811" xr:uid="{F0DA0E29-7C7F-4348-AEDB-3862917946D5}"/>
    <cellStyle name="Normal 2 4 2 2 3" xfId="10812" xr:uid="{84AADBC3-3592-42C7-BF8B-191B98901682}"/>
    <cellStyle name="Normal 2 4 2 2 30" xfId="10813" xr:uid="{B6C124F2-A1CC-4731-B933-A1F4226711DD}"/>
    <cellStyle name="Normal 2 4 2 2 31" xfId="10814" xr:uid="{7E10DD87-6029-48DD-8891-2DE4DB28D540}"/>
    <cellStyle name="Normal 2 4 2 2 32" xfId="10815" xr:uid="{8C009AAD-5169-435E-AC1C-35FCAFFFF109}"/>
    <cellStyle name="Normal 2 4 2 2 33" xfId="10816" xr:uid="{0FBD45B6-1B0D-4ABB-8C09-66C936653580}"/>
    <cellStyle name="Normal 2 4 2 2 34" xfId="10817" xr:uid="{6585005A-B7E1-455A-84B2-37D48CC7F5CF}"/>
    <cellStyle name="Normal 2 4 2 2 35" xfId="10818" xr:uid="{D024C1AD-3F91-4CD1-809D-862A14D8D606}"/>
    <cellStyle name="Normal 2 4 2 2 36" xfId="10819" xr:uid="{DA9F6B95-31CD-42DF-B56E-DB01BB1BB0C6}"/>
    <cellStyle name="Normal 2 4 2 2 37" xfId="10820" xr:uid="{57EA330E-F70A-4D84-A356-100C3D640803}"/>
    <cellStyle name="Normal 2 4 2 2 38" xfId="10821" xr:uid="{8EA3050D-5B2E-455A-8460-9955B7DFB936}"/>
    <cellStyle name="Normal 2 4 2 2 39" xfId="10822" xr:uid="{B183A1DB-50AE-4728-AC0E-E3D25DC03F01}"/>
    <cellStyle name="Normal 2 4 2 2 4" xfId="10823" xr:uid="{01809DF0-3AEA-45BC-AB5B-1D2FDB0702A3}"/>
    <cellStyle name="Normal 2 4 2 2 40" xfId="10824" xr:uid="{4BC560C9-95A8-4ECB-AEA5-72D34427E9E3}"/>
    <cellStyle name="Normal 2 4 2 2 5" xfId="10825" xr:uid="{903D1EFF-EA94-440B-B19C-1838478FCFB0}"/>
    <cellStyle name="Normal 2 4 2 2 6" xfId="10826" xr:uid="{FCB5A350-5FD9-49BD-BCFE-CB7F9A17EA16}"/>
    <cellStyle name="Normal 2 4 2 2 7" xfId="10827" xr:uid="{11C6F888-C5A6-4B8B-8CB4-29DBE04BFDF8}"/>
    <cellStyle name="Normal 2 4 2 2 8" xfId="10828" xr:uid="{2E59CC75-58C8-412F-A501-D9F6A89F3C9E}"/>
    <cellStyle name="Normal 2 4 2 2 9" xfId="10829" xr:uid="{372B61F9-CF11-455D-89DC-E77A5798ED53}"/>
    <cellStyle name="Normal 2 4 2 20" xfId="10830" xr:uid="{C3902AC3-B1EA-4A81-8AD1-DD2663CA653C}"/>
    <cellStyle name="Normal 2 4 2 21" xfId="10831" xr:uid="{D3DC2030-5770-4467-BC96-8FBDC2DF8DE5}"/>
    <cellStyle name="Normal 2 4 2 22" xfId="10832" xr:uid="{A548CF79-21DD-4B9D-B652-42E2CB94BE36}"/>
    <cellStyle name="Normal 2 4 2 23" xfId="10833" xr:uid="{1BCA98B9-BBC4-4985-A9E9-099D04F2CE30}"/>
    <cellStyle name="Normal 2 4 2 24" xfId="10834" xr:uid="{BD95C83F-1995-487D-80BF-287C7180F9C7}"/>
    <cellStyle name="Normal 2 4 2 25" xfId="10835" xr:uid="{73067C54-B561-4C0C-88B8-6E2238D6B618}"/>
    <cellStyle name="Normal 2 4 2 26" xfId="10836" xr:uid="{4B96890C-9D97-4915-B09C-C3D164D2AFF5}"/>
    <cellStyle name="Normal 2 4 2 27" xfId="10837" xr:uid="{257E97A3-5224-41A3-8FD8-D2EC0A9F47AB}"/>
    <cellStyle name="Normal 2 4 2 28" xfId="10838" xr:uid="{05FB8932-2829-4B56-81CA-77AF3CC939FC}"/>
    <cellStyle name="Normal 2 4 2 29" xfId="10839" xr:uid="{0320A5D9-8BC7-4444-B741-C78B4BAE2825}"/>
    <cellStyle name="Normal 2 4 2 3" xfId="10840" xr:uid="{2C2368B1-D296-4CE6-8A3C-F685E6FBF864}"/>
    <cellStyle name="Normal 2 4 2 3 10" xfId="10841" xr:uid="{16FFCFA4-058F-4712-B54E-F5E017CA9AEF}"/>
    <cellStyle name="Normal 2 4 2 3 11" xfId="10842" xr:uid="{303441DE-1EEF-486A-9D8E-BFB39581DEEA}"/>
    <cellStyle name="Normal 2 4 2 3 12" xfId="10843" xr:uid="{E780BB94-F402-4416-BB96-6F6F84333DCB}"/>
    <cellStyle name="Normal 2 4 2 3 13" xfId="10844" xr:uid="{7B1CE06E-FDFD-4057-AD8E-570D486C7ADE}"/>
    <cellStyle name="Normal 2 4 2 3 14" xfId="10845" xr:uid="{6408E2B1-77A0-4499-B96A-A1C1A25071BF}"/>
    <cellStyle name="Normal 2 4 2 3 15" xfId="10846" xr:uid="{B55AEC5F-B474-4A9E-86B7-8344D5F316DE}"/>
    <cellStyle name="Normal 2 4 2 3 16" xfId="10847" xr:uid="{7FA4A22A-FBC0-43B9-A7E7-A0E5E362DA6E}"/>
    <cellStyle name="Normal 2 4 2 3 17" xfId="10848" xr:uid="{B8BCAEAC-316F-4C39-9311-146DEADC38F1}"/>
    <cellStyle name="Normal 2 4 2 3 18" xfId="10849" xr:uid="{9CF49FC7-DDE5-4319-9B23-E1E389935C1D}"/>
    <cellStyle name="Normal 2 4 2 3 19" xfId="10850" xr:uid="{F07E52C2-EA1C-48D2-A07E-D937A5999E07}"/>
    <cellStyle name="Normal 2 4 2 3 2" xfId="10851" xr:uid="{47AB9A28-70A3-4EF5-A65C-893B32D0E8ED}"/>
    <cellStyle name="Normal 2 4 2 3 2 10" xfId="10852" xr:uid="{39BBFC27-8B24-45C5-BD88-D567872BBC92}"/>
    <cellStyle name="Normal 2 4 2 3 2 11" xfId="10853" xr:uid="{00B97E5A-5339-4E8E-A0B1-5A5B4660C00A}"/>
    <cellStyle name="Normal 2 4 2 3 2 12" xfId="10854" xr:uid="{A08E7FC4-FFA7-4BEE-A326-16337E8C8FC5}"/>
    <cellStyle name="Normal 2 4 2 3 2 13" xfId="10855" xr:uid="{586B4779-4F8A-4573-A907-D0314E2BB3BC}"/>
    <cellStyle name="Normal 2 4 2 3 2 14" xfId="10856" xr:uid="{38A2CEFD-252C-4CC1-9A4A-9789538EC310}"/>
    <cellStyle name="Normal 2 4 2 3 2 15" xfId="10857" xr:uid="{6428F157-A5BA-4EC7-B080-FC985E3CF0EC}"/>
    <cellStyle name="Normal 2 4 2 3 2 16" xfId="10858" xr:uid="{B3546295-A7E6-4911-B957-9DAF9E1EE8E1}"/>
    <cellStyle name="Normal 2 4 2 3 2 17" xfId="10859" xr:uid="{9EB70413-76D0-4D6F-96D4-00BA9E97286E}"/>
    <cellStyle name="Normal 2 4 2 3 2 18" xfId="10860" xr:uid="{C4D646A3-6CD7-4514-95D5-E6D657BDEE40}"/>
    <cellStyle name="Normal 2 4 2 3 2 19" xfId="10861" xr:uid="{104D1BAF-1047-4545-B92F-0368D1D0D4D1}"/>
    <cellStyle name="Normal 2 4 2 3 2 2" xfId="10862" xr:uid="{7D0B4E7B-D535-425B-A37C-E5024399DFA7}"/>
    <cellStyle name="Normal 2 4 2 3 2 20" xfId="10863" xr:uid="{ADCA71E8-F56A-42E5-B514-A101ADA50930}"/>
    <cellStyle name="Normal 2 4 2 3 2 21" xfId="10864" xr:uid="{DB25B71D-A718-4F0C-ABC5-8CAF79E94F22}"/>
    <cellStyle name="Normal 2 4 2 3 2 22" xfId="10865" xr:uid="{54E94A4B-82DF-41A0-9C86-6662248E78BE}"/>
    <cellStyle name="Normal 2 4 2 3 2 23" xfId="10866" xr:uid="{C03FFFB0-47CB-44DC-B60F-98EB9D6F5DAF}"/>
    <cellStyle name="Normal 2 4 2 3 2 24" xfId="10867" xr:uid="{8B647CF5-10D6-4F32-BD1F-E26B30907B41}"/>
    <cellStyle name="Normal 2 4 2 3 2 25" xfId="10868" xr:uid="{10BFF39B-FFC8-4DBA-880A-CABA39FA7B8A}"/>
    <cellStyle name="Normal 2 4 2 3 2 26" xfId="10869" xr:uid="{4FF8A687-AB25-4505-9A48-59D78CA4B025}"/>
    <cellStyle name="Normal 2 4 2 3 2 27" xfId="10870" xr:uid="{1F9B18A4-9D47-4FB0-92C8-E2709EC08B56}"/>
    <cellStyle name="Normal 2 4 2 3 2 28" xfId="10871" xr:uid="{835339D2-0ED6-4CB6-8154-D0319134E677}"/>
    <cellStyle name="Normal 2 4 2 3 2 29" xfId="10872" xr:uid="{6133B463-924D-4863-80A9-ECD7BFCB22D9}"/>
    <cellStyle name="Normal 2 4 2 3 2 3" xfId="10873" xr:uid="{3752D67E-A4E4-4C01-AC74-36D3E4187EFC}"/>
    <cellStyle name="Normal 2 4 2 3 2 30" xfId="10874" xr:uid="{E02BCD8E-F262-44D9-9414-02CE4BDC20FE}"/>
    <cellStyle name="Normal 2 4 2 3 2 31" xfId="10875" xr:uid="{90550B2D-E978-4A5F-961B-6A6BC949E25F}"/>
    <cellStyle name="Normal 2 4 2 3 2 32" xfId="10876" xr:uid="{97813A1B-9BAD-4624-A514-B8E55E0A5A84}"/>
    <cellStyle name="Normal 2 4 2 3 2 33" xfId="10877" xr:uid="{638A2161-AC77-4216-B442-98AF94F4F686}"/>
    <cellStyle name="Normal 2 4 2 3 2 34" xfId="10878" xr:uid="{BEC0CB9A-4C0F-476F-9B5B-093250129C47}"/>
    <cellStyle name="Normal 2 4 2 3 2 35" xfId="10879" xr:uid="{158DFE60-3CFD-4E5C-94DC-45DF107F0F00}"/>
    <cellStyle name="Normal 2 4 2 3 2 36" xfId="10880" xr:uid="{13B1E9FA-4AA2-40FB-97AD-05DA050B10C7}"/>
    <cellStyle name="Normal 2 4 2 3 2 37" xfId="10881" xr:uid="{536671CC-2E31-4887-A05F-049517ADA99A}"/>
    <cellStyle name="Normal 2 4 2 3 2 38" xfId="10882" xr:uid="{34FE7437-42B4-49CA-BE7D-AE77A00A19F6}"/>
    <cellStyle name="Normal 2 4 2 3 2 4" xfId="10883" xr:uid="{AC8E2D41-E3BF-414D-B944-9602DD0DE004}"/>
    <cellStyle name="Normal 2 4 2 3 2 5" xfId="10884" xr:uid="{2B441D42-ED97-4C78-A8B3-A146F9AAB619}"/>
    <cellStyle name="Normal 2 4 2 3 2 6" xfId="10885" xr:uid="{0C2D813C-5C29-41A8-91E3-F86C00A2A95B}"/>
    <cellStyle name="Normal 2 4 2 3 2 7" xfId="10886" xr:uid="{70A7DBB5-95AE-4FC1-80EF-45C844D2EAAD}"/>
    <cellStyle name="Normal 2 4 2 3 2 8" xfId="10887" xr:uid="{1EFBC5EF-A501-4913-8DB2-12F229ABC38B}"/>
    <cellStyle name="Normal 2 4 2 3 2 9" xfId="10888" xr:uid="{6D8D33FD-CF7F-408A-9FBE-A0C264D4D4ED}"/>
    <cellStyle name="Normal 2 4 2 3 20" xfId="10889" xr:uid="{FDA5B94B-C6FA-421A-A8C7-4BE038C7B023}"/>
    <cellStyle name="Normal 2 4 2 3 21" xfId="10890" xr:uid="{CDF0B920-6238-4103-9379-8741D6C04CB7}"/>
    <cellStyle name="Normal 2 4 2 3 22" xfId="10891" xr:uid="{DB3537DB-247A-4078-80EE-2D35BA100946}"/>
    <cellStyle name="Normal 2 4 2 3 23" xfId="10892" xr:uid="{66E54F07-6668-4C02-8565-334490336328}"/>
    <cellStyle name="Normal 2 4 2 3 24" xfId="10893" xr:uid="{AEA40262-AB14-441F-BCB5-773A299DCC05}"/>
    <cellStyle name="Normal 2 4 2 3 25" xfId="10894" xr:uid="{0A982C77-A825-4C46-ABE0-1DC62A490351}"/>
    <cellStyle name="Normal 2 4 2 3 26" xfId="10895" xr:uid="{62397208-9BEC-4D3A-AE2B-08610560FD65}"/>
    <cellStyle name="Normal 2 4 2 3 27" xfId="10896" xr:uid="{97E4CBB0-8954-4C52-B8CB-7567F41BF7D4}"/>
    <cellStyle name="Normal 2 4 2 3 28" xfId="10897" xr:uid="{34032711-3338-4BAE-950C-C4E6D40FA71D}"/>
    <cellStyle name="Normal 2 4 2 3 29" xfId="10898" xr:uid="{0D27C8AD-9676-40E5-A9C9-8B91E4FCDC7A}"/>
    <cellStyle name="Normal 2 4 2 3 3" xfId="10899" xr:uid="{E75704BD-6AE1-4A6D-BB3E-3905C9502750}"/>
    <cellStyle name="Normal 2 4 2 3 30" xfId="10900" xr:uid="{17006CA4-090B-4AED-8792-A334A9A4174C}"/>
    <cellStyle name="Normal 2 4 2 3 31" xfId="10901" xr:uid="{EDC67D1E-8C65-445C-983F-81D29E1BDBF7}"/>
    <cellStyle name="Normal 2 4 2 3 32" xfId="10902" xr:uid="{9DCD134E-AE75-4905-AE8D-F03A527470C4}"/>
    <cellStyle name="Normal 2 4 2 3 33" xfId="10903" xr:uid="{9843A4ED-4E6B-40EB-99DC-9B98AE0441F2}"/>
    <cellStyle name="Normal 2 4 2 3 34" xfId="10904" xr:uid="{E8F74D41-F591-40B4-AFC2-DFFB85B1AB6A}"/>
    <cellStyle name="Normal 2 4 2 3 35" xfId="10905" xr:uid="{D76D17D6-BB3C-4028-8659-D21E47870DA0}"/>
    <cellStyle name="Normal 2 4 2 3 36" xfId="10906" xr:uid="{4AE518AA-A200-492F-BD57-425BF65B3335}"/>
    <cellStyle name="Normal 2 4 2 3 37" xfId="10907" xr:uid="{89EFD90E-2254-4449-A2FC-EFF26056008D}"/>
    <cellStyle name="Normal 2 4 2 3 38" xfId="10908" xr:uid="{41EC6C7A-F997-4A4D-B87A-FFC5C9A0DBC7}"/>
    <cellStyle name="Normal 2 4 2 3 4" xfId="10909" xr:uid="{9E57AF0D-9E77-4007-96ED-736F12973DC1}"/>
    <cellStyle name="Normal 2 4 2 3 5" xfId="10910" xr:uid="{8AF05D13-A2F6-4BE6-91A6-21DD7CABAE97}"/>
    <cellStyle name="Normal 2 4 2 3 6" xfId="10911" xr:uid="{9D03F92F-8085-41E7-B0DF-C644484F799C}"/>
    <cellStyle name="Normal 2 4 2 3 7" xfId="10912" xr:uid="{DEA64C73-61E0-448B-A480-72155B1B6D7E}"/>
    <cellStyle name="Normal 2 4 2 3 8" xfId="10913" xr:uid="{02C305B4-5D8F-434A-BD47-F424F92B7558}"/>
    <cellStyle name="Normal 2 4 2 3 9" xfId="10914" xr:uid="{B10AB0EE-4E88-43B8-A681-C1904EF5C9E2}"/>
    <cellStyle name="Normal 2 4 2 30" xfId="10915" xr:uid="{4AE745B0-E71B-4E68-8CBB-DFE4A5DA6A21}"/>
    <cellStyle name="Normal 2 4 2 31" xfId="10916" xr:uid="{913DD144-4F30-4C88-B7CB-45C605D4EAF0}"/>
    <cellStyle name="Normal 2 4 2 32" xfId="10917" xr:uid="{C243757C-7934-48FB-A81B-E1249C4EB482}"/>
    <cellStyle name="Normal 2 4 2 33" xfId="10918" xr:uid="{F7B317DB-0661-4928-9FE3-E36E20144684}"/>
    <cellStyle name="Normal 2 4 2 34" xfId="10919" xr:uid="{D529F437-D262-4D99-BDF6-F8CF796EE6F9}"/>
    <cellStyle name="Normal 2 4 2 35" xfId="10920" xr:uid="{7F062B95-66C9-4291-BCBA-38D081FCFC65}"/>
    <cellStyle name="Normal 2 4 2 36" xfId="10921" xr:uid="{37C3211A-7C9B-48A2-BACE-C5AB7FA1EB8A}"/>
    <cellStyle name="Normal 2 4 2 37" xfId="10922" xr:uid="{436737C9-CC63-40A5-A09B-4835958662C3}"/>
    <cellStyle name="Normal 2 4 2 38" xfId="10923" xr:uid="{E62F883D-221B-468A-9952-7B688EE3C8A2}"/>
    <cellStyle name="Normal 2 4 2 39" xfId="10924" xr:uid="{4E07B3F5-BCF6-4BB8-88C3-E5997495EFD2}"/>
    <cellStyle name="Normal 2 4 2 4" xfId="10925" xr:uid="{1D39C9A9-C1BF-4384-9CB4-92DE6F297518}"/>
    <cellStyle name="Normal 2 4 2 40" xfId="10926" xr:uid="{45693194-BD2B-40A6-9C1A-538DBB17C035}"/>
    <cellStyle name="Normal 2 4 2 5" xfId="10927" xr:uid="{7384A9F4-5AA5-4720-9650-39ADE092FE51}"/>
    <cellStyle name="Normal 2 4 2 6" xfId="10928" xr:uid="{CF5EBBC5-9303-4E7C-9F18-24CF036BDB01}"/>
    <cellStyle name="Normal 2 4 2 7" xfId="10929" xr:uid="{28435D54-FA33-49CA-9D89-20A416C1DD23}"/>
    <cellStyle name="Normal 2 4 2 8" xfId="10930" xr:uid="{2FC98FF6-3846-4C30-B046-1342FE9AD86E}"/>
    <cellStyle name="Normal 2 4 2 9" xfId="10931" xr:uid="{100408C5-8B61-476D-B2DD-014CC0DE7FF4}"/>
    <cellStyle name="Normal 2 4 20" xfId="10932" xr:uid="{5274F1CC-6C5A-490B-97E8-D725B345443B}"/>
    <cellStyle name="Normal 2 4 21" xfId="10933" xr:uid="{B88B54F8-58B9-4D57-B236-E8817FC6F7E4}"/>
    <cellStyle name="Normal 2 4 22" xfId="10934" xr:uid="{988BA404-42B9-4C8E-94F1-079216849C14}"/>
    <cellStyle name="Normal 2 4 23" xfId="10935" xr:uid="{E3F93657-8EE2-4FBF-88C6-AF725A39A569}"/>
    <cellStyle name="Normal 2 4 24" xfId="10936" xr:uid="{3CA71EBF-9ECC-4D5A-B5B6-0AC81DC58199}"/>
    <cellStyle name="Normal 2 4 25" xfId="10937" xr:uid="{8680AFD5-BA85-4526-8B4D-EC865D08C1F3}"/>
    <cellStyle name="Normal 2 4 26" xfId="10938" xr:uid="{40685182-0A22-42CA-B44E-00B1F451DBBA}"/>
    <cellStyle name="Normal 2 4 27" xfId="10939" xr:uid="{1D7BC9B9-9AD8-457F-A3BA-420DE561EA89}"/>
    <cellStyle name="Normal 2 4 28" xfId="10940" xr:uid="{F717DFF6-D986-4BDB-A85E-3A05EBC1448F}"/>
    <cellStyle name="Normal 2 4 29" xfId="10941" xr:uid="{920BB1AB-618A-4370-B079-8F017C9A2AD6}"/>
    <cellStyle name="Normal 2 4 3" xfId="10942" xr:uid="{ECED86DD-F256-48DB-99F1-15D858EB4451}"/>
    <cellStyle name="Normal 2 4 30" xfId="10943" xr:uid="{A3CAED1D-CAC7-4E9F-BD43-3A3B06301A14}"/>
    <cellStyle name="Normal 2 4 31" xfId="10944" xr:uid="{13F1DC34-6008-4225-9397-60E4D1D47FC9}"/>
    <cellStyle name="Normal 2 4 32" xfId="10945" xr:uid="{2B531BB7-6403-44A1-A82D-98C5A16AF117}"/>
    <cellStyle name="Normal 2 4 33" xfId="10946" xr:uid="{0680B1F0-2708-48E0-811C-C986D8889878}"/>
    <cellStyle name="Normal 2 4 34" xfId="10947" xr:uid="{F4A38E09-D75A-4329-9714-81CE8C8BF4B7}"/>
    <cellStyle name="Normal 2 4 35" xfId="10948" xr:uid="{B120A30D-9E9C-4B76-8E43-31CA9EF6034D}"/>
    <cellStyle name="Normal 2 4 36" xfId="10949" xr:uid="{51FBBC9C-7F92-482A-B8E3-5017F5A21705}"/>
    <cellStyle name="Normal 2 4 37" xfId="10950" xr:uid="{4CFBA993-5834-4AF7-BBB7-78937C66CF3F}"/>
    <cellStyle name="Normal 2 4 38" xfId="10951" xr:uid="{33225B84-85C2-4C30-AE8C-46E2A1ED21A6}"/>
    <cellStyle name="Normal 2 4 39" xfId="10952" xr:uid="{E1D38A06-4662-4CF2-96E9-A88B11D8863F}"/>
    <cellStyle name="Normal 2 4 4" xfId="10953" xr:uid="{0545BEDF-AD68-4358-86AE-E721FFDCDAA8}"/>
    <cellStyle name="Normal 2 4 40" xfId="10954" xr:uid="{F3B1E7C8-8C72-4D39-9DBB-0B582459EDD6}"/>
    <cellStyle name="Normal 2 4 41" xfId="10955" xr:uid="{10CDA404-E0D2-4F33-9C78-BD049FD419DF}"/>
    <cellStyle name="Normal 2 4 42" xfId="10956" xr:uid="{79AD5917-FEAA-4343-A9DF-1C5CFAA50E5C}"/>
    <cellStyle name="Normal 2 4 43" xfId="10957" xr:uid="{6932F7E7-978C-48A8-B50C-2A91478E06D8}"/>
    <cellStyle name="Normal 2 4 44" xfId="10958" xr:uid="{8E6CD0BF-D197-476E-94C9-AD697C6F3005}"/>
    <cellStyle name="Normal 2 4 5" xfId="10959" xr:uid="{0AC8087A-2950-42EB-A9C4-07FB2BD0D57D}"/>
    <cellStyle name="Normal 2 4 6" xfId="10960" xr:uid="{738D8F91-2125-4987-A647-26F15374DE4B}"/>
    <cellStyle name="Normal 2 4 6 10" xfId="10961" xr:uid="{621B4C38-94C4-46A5-9659-3950ACA275D9}"/>
    <cellStyle name="Normal 2 4 6 11" xfId="10962" xr:uid="{80E80CF9-B5C7-4685-8DFD-01927502FC37}"/>
    <cellStyle name="Normal 2 4 6 12" xfId="10963" xr:uid="{380DADDB-6F51-402C-A328-D0DFB7D73DC5}"/>
    <cellStyle name="Normal 2 4 6 13" xfId="10964" xr:uid="{7517A4AF-6C96-4D4B-B094-702B0F28F16B}"/>
    <cellStyle name="Normal 2 4 6 14" xfId="10965" xr:uid="{DC45BC2C-E620-40E4-A662-3418D1907C8F}"/>
    <cellStyle name="Normal 2 4 6 15" xfId="10966" xr:uid="{B2D42C77-7496-4B7F-8CFD-891E0967F6E2}"/>
    <cellStyle name="Normal 2 4 6 16" xfId="10967" xr:uid="{EC0C22CC-0115-4370-BDFC-F503D84AC419}"/>
    <cellStyle name="Normal 2 4 6 17" xfId="10968" xr:uid="{576E9C96-82C0-49A6-B4B8-51E7A33B84EF}"/>
    <cellStyle name="Normal 2 4 6 18" xfId="10969" xr:uid="{85C2A349-CC60-4D9C-B903-D9D25A207E25}"/>
    <cellStyle name="Normal 2 4 6 19" xfId="10970" xr:uid="{667770D2-3B33-4B30-924A-E7A74B316A0A}"/>
    <cellStyle name="Normal 2 4 6 2" xfId="10971" xr:uid="{4EF7064D-230A-46BF-AAA3-094B904AEF63}"/>
    <cellStyle name="Normal 2 4 6 2 10" xfId="10972" xr:uid="{5C5B79E6-0618-4027-8C45-49EAE972B61E}"/>
    <cellStyle name="Normal 2 4 6 2 11" xfId="10973" xr:uid="{DF9FFD04-2A86-40EE-8D64-7D5AB354E2DF}"/>
    <cellStyle name="Normal 2 4 6 2 12" xfId="10974" xr:uid="{C766815D-5003-46C1-933D-3090F9C92804}"/>
    <cellStyle name="Normal 2 4 6 2 13" xfId="10975" xr:uid="{66B1EB84-6545-4480-B231-6F67B5061419}"/>
    <cellStyle name="Normal 2 4 6 2 14" xfId="10976" xr:uid="{D65DB3C6-E354-402B-A882-08B973884292}"/>
    <cellStyle name="Normal 2 4 6 2 15" xfId="10977" xr:uid="{A32D7271-043A-4653-8B7C-56DA47B0CB3F}"/>
    <cellStyle name="Normal 2 4 6 2 16" xfId="10978" xr:uid="{7852B525-16EB-47D6-9090-B2BA2C4B2F81}"/>
    <cellStyle name="Normal 2 4 6 2 17" xfId="10979" xr:uid="{5FF000FB-C290-4B42-84E4-04064C14001E}"/>
    <cellStyle name="Normal 2 4 6 2 18" xfId="10980" xr:uid="{0AF52D74-F5C9-4933-9586-BC6424A02596}"/>
    <cellStyle name="Normal 2 4 6 2 19" xfId="10981" xr:uid="{6246BBAA-9060-4804-8FA2-F1FCA8842679}"/>
    <cellStyle name="Normal 2 4 6 2 2" xfId="10982" xr:uid="{90CFF159-0464-41D3-84FC-43611B0EBE1E}"/>
    <cellStyle name="Normal 2 4 6 2 20" xfId="10983" xr:uid="{92D4DA39-9AF9-4A3D-A44C-D85015FF598C}"/>
    <cellStyle name="Normal 2 4 6 2 21" xfId="10984" xr:uid="{9AA96BB3-887D-404B-AAAE-8969171AE698}"/>
    <cellStyle name="Normal 2 4 6 2 22" xfId="10985" xr:uid="{F3D56703-C5A5-40E1-9A54-87A57E22221D}"/>
    <cellStyle name="Normal 2 4 6 2 23" xfId="10986" xr:uid="{9BDB799B-6E93-4A53-A080-5092747FC590}"/>
    <cellStyle name="Normal 2 4 6 2 24" xfId="10987" xr:uid="{DEDF78A7-EAA8-4EA6-A97C-AC9D19DF43BE}"/>
    <cellStyle name="Normal 2 4 6 2 25" xfId="10988" xr:uid="{833C7D2B-2829-45F2-9FE9-0ED28B25950E}"/>
    <cellStyle name="Normal 2 4 6 2 26" xfId="10989" xr:uid="{A4B877B6-AC43-463F-A2BC-8BA925080BCA}"/>
    <cellStyle name="Normal 2 4 6 2 27" xfId="10990" xr:uid="{9D48717C-8F7C-4F98-9CA7-787767B44FB1}"/>
    <cellStyle name="Normal 2 4 6 2 28" xfId="10991" xr:uid="{03FCA73F-34AF-441B-8718-7545B2269EAC}"/>
    <cellStyle name="Normal 2 4 6 2 29" xfId="10992" xr:uid="{F9D73263-BDCC-49BB-9D78-C68025E34A57}"/>
    <cellStyle name="Normal 2 4 6 2 3" xfId="10993" xr:uid="{C957717F-69FC-4BDA-ADBA-E42CDAB7C4E5}"/>
    <cellStyle name="Normal 2 4 6 2 30" xfId="10994" xr:uid="{59A9259C-5706-44B6-AC7D-9CE71327449C}"/>
    <cellStyle name="Normal 2 4 6 2 31" xfId="10995" xr:uid="{012947B4-2884-4845-BBE2-81750F49E06D}"/>
    <cellStyle name="Normal 2 4 6 2 32" xfId="10996" xr:uid="{3D795092-C110-4021-BE57-09358C530186}"/>
    <cellStyle name="Normal 2 4 6 2 33" xfId="10997" xr:uid="{8360DACC-738F-4451-B184-F63CC09AD8F2}"/>
    <cellStyle name="Normal 2 4 6 2 34" xfId="10998" xr:uid="{C6CC6308-F3C9-4F87-8873-B93C20FA1B0E}"/>
    <cellStyle name="Normal 2 4 6 2 35" xfId="10999" xr:uid="{0612955C-81AB-4DF6-936F-CB4BCDB097EE}"/>
    <cellStyle name="Normal 2 4 6 2 36" xfId="11000" xr:uid="{AE0CA940-EDF6-4160-A012-335B1F48B87D}"/>
    <cellStyle name="Normal 2 4 6 2 37" xfId="11001" xr:uid="{77F24CA7-7B6A-4161-8257-827648390BC9}"/>
    <cellStyle name="Normal 2 4 6 2 38" xfId="11002" xr:uid="{68FBD4E1-B12A-4D28-A8B8-0C83E20EA5AB}"/>
    <cellStyle name="Normal 2 4 6 2 4" xfId="11003" xr:uid="{D41A3864-9F75-403D-B49B-1F27DA862EA9}"/>
    <cellStyle name="Normal 2 4 6 2 5" xfId="11004" xr:uid="{C264371C-312F-45C8-B279-A279220B722F}"/>
    <cellStyle name="Normal 2 4 6 2 6" xfId="11005" xr:uid="{092F4878-EC44-4572-99BA-435479FEEA76}"/>
    <cellStyle name="Normal 2 4 6 2 7" xfId="11006" xr:uid="{0B74E0E7-A3CD-44ED-A1C3-B8392A755146}"/>
    <cellStyle name="Normal 2 4 6 2 8" xfId="11007" xr:uid="{676E458F-B19E-48C1-B7A8-E89C951AB6B6}"/>
    <cellStyle name="Normal 2 4 6 2 9" xfId="11008" xr:uid="{3C78FC21-26C2-489C-B1D5-65E637F51855}"/>
    <cellStyle name="Normal 2 4 6 20" xfId="11009" xr:uid="{DD5F26C3-A62C-40EC-85D4-2C76679D9E9F}"/>
    <cellStyle name="Normal 2 4 6 21" xfId="11010" xr:uid="{4F3CDFB1-51C9-4E3D-B385-D168B77E3663}"/>
    <cellStyle name="Normal 2 4 6 22" xfId="11011" xr:uid="{86448150-AE90-43F2-B79C-44FAAAC64178}"/>
    <cellStyle name="Normal 2 4 6 23" xfId="11012" xr:uid="{5ADA248B-395E-4FD8-869F-370503F97165}"/>
    <cellStyle name="Normal 2 4 6 24" xfId="11013" xr:uid="{8A753E53-8ECD-49B8-A048-B0D04D4845F2}"/>
    <cellStyle name="Normal 2 4 6 25" xfId="11014" xr:uid="{B251068E-BF88-42FA-AECA-2C86B821E9FB}"/>
    <cellStyle name="Normal 2 4 6 26" xfId="11015" xr:uid="{DB076E01-ACB3-4A19-9E25-4A475BFCF5E3}"/>
    <cellStyle name="Normal 2 4 6 27" xfId="11016" xr:uid="{34C09565-7F8A-4B06-B810-632A21C3CFD4}"/>
    <cellStyle name="Normal 2 4 6 28" xfId="11017" xr:uid="{D51DA58B-F1AF-497D-8ED2-4D540677B628}"/>
    <cellStyle name="Normal 2 4 6 29" xfId="11018" xr:uid="{31AAEEB8-82C8-4315-9F5C-3E6B20D1631E}"/>
    <cellStyle name="Normal 2 4 6 3" xfId="11019" xr:uid="{764DEE0E-AE8D-44E1-9500-47B6CC5A0E02}"/>
    <cellStyle name="Normal 2 4 6 30" xfId="11020" xr:uid="{6AFB2179-E41A-4AA5-B7D6-A5179598642A}"/>
    <cellStyle name="Normal 2 4 6 31" xfId="11021" xr:uid="{CB848B40-DE7F-4844-A171-523ECACC70F6}"/>
    <cellStyle name="Normal 2 4 6 32" xfId="11022" xr:uid="{BE823F1E-736D-441D-B295-DD777ACE51A8}"/>
    <cellStyle name="Normal 2 4 6 33" xfId="11023" xr:uid="{0189F12A-396B-4A36-9419-45291D520F61}"/>
    <cellStyle name="Normal 2 4 6 34" xfId="11024" xr:uid="{2F13694C-3860-4ABC-B326-97FC873E50DF}"/>
    <cellStyle name="Normal 2 4 6 35" xfId="11025" xr:uid="{36107078-B8C9-4817-854A-7FFAB7846E52}"/>
    <cellStyle name="Normal 2 4 6 36" xfId="11026" xr:uid="{53D62297-D0CE-4C48-9112-67D36C32CA6B}"/>
    <cellStyle name="Normal 2 4 6 37" xfId="11027" xr:uid="{B721ED41-D900-4BCD-90F7-1F7AC5C5682B}"/>
    <cellStyle name="Normal 2 4 6 38" xfId="11028" xr:uid="{C48478C3-A264-40DE-BE00-B2B7D7E7E982}"/>
    <cellStyle name="Normal 2 4 6 4" xfId="11029" xr:uid="{C63F3756-0E19-421D-BE10-0CAA320CD3C4}"/>
    <cellStyle name="Normal 2 4 6 5" xfId="11030" xr:uid="{431E6EC0-1B3A-41F8-BCDE-CE394866328F}"/>
    <cellStyle name="Normal 2 4 6 6" xfId="11031" xr:uid="{51CADA8E-3AE9-40CD-9B8A-8B910709A0E7}"/>
    <cellStyle name="Normal 2 4 6 7" xfId="11032" xr:uid="{20FF0C1A-B2DC-40E5-B091-18C5AAD90E16}"/>
    <cellStyle name="Normal 2 4 6 8" xfId="11033" xr:uid="{E87391C7-1A5A-4EE3-860E-E354BE25E4B5}"/>
    <cellStyle name="Normal 2 4 6 9" xfId="11034" xr:uid="{F2323FA5-7A62-45B5-B2C9-34A598FE7CCC}"/>
    <cellStyle name="Normal 2 4 7" xfId="11035" xr:uid="{94D2C792-5490-4473-87A2-74AA9CCBF1F0}"/>
    <cellStyle name="Normal 2 4 8" xfId="11036" xr:uid="{B33DF54D-B706-44C9-8D0A-73E2D9F23C00}"/>
    <cellStyle name="Normal 2 4 9" xfId="11037" xr:uid="{7E79426F-9CE1-4AA6-85A4-83775CC76978}"/>
    <cellStyle name="Normal 2 40" xfId="11038" xr:uid="{BA7CFC26-2E59-4A87-92FB-47803DFAD0C1}"/>
    <cellStyle name="Normal 2 41" xfId="11039" xr:uid="{5A0DFB4F-B33F-4B9A-A4F8-CD8620DCD489}"/>
    <cellStyle name="Normal 2 42" xfId="11040" xr:uid="{323F8472-FD0A-4595-BF9F-2851C25BBAD1}"/>
    <cellStyle name="Normal 2 43" xfId="11041" xr:uid="{2A992023-4A68-4B74-9C42-40829762DCE7}"/>
    <cellStyle name="Normal 2 44" xfId="11042" xr:uid="{C3FA543B-AD9A-4F79-9659-CFEF27FA9177}"/>
    <cellStyle name="Normal 2 45" xfId="11043" xr:uid="{23DF7580-2D0B-4155-A417-B49E319C1AFF}"/>
    <cellStyle name="Normal 2 46" xfId="11044" xr:uid="{09B28F9C-B6AD-4B85-AED8-5663A99EB7DB}"/>
    <cellStyle name="Normal 2 47" xfId="11045" xr:uid="{5C6D62B3-EF98-4F80-8A8A-65F6067C0AA1}"/>
    <cellStyle name="Normal 2 48" xfId="11046" xr:uid="{AC9C1D18-309C-42F7-9A1B-29421F596204}"/>
    <cellStyle name="Normal 2 49" xfId="11047" xr:uid="{85BCFA9D-B67E-42A6-B333-C799582E0467}"/>
    <cellStyle name="Normal 2 5" xfId="11048" xr:uid="{59FEA5AA-A589-4E7E-9EB5-80A24D67F999}"/>
    <cellStyle name="Normal 2 5 10" xfId="11049" xr:uid="{C004BBE8-FBF7-4DA3-B56A-F3BA8201508F}"/>
    <cellStyle name="Normal 2 5 11" xfId="11050" xr:uid="{C0D242B3-028F-44E5-89A0-793A55BE7EDB}"/>
    <cellStyle name="Normal 2 5 12" xfId="11051" xr:uid="{DF3E8D2B-8DC7-4005-BB8B-1D9841F45244}"/>
    <cellStyle name="Normal 2 5 13" xfId="11052" xr:uid="{E1BE2B6B-2695-4A08-8171-CDA12CF24896}"/>
    <cellStyle name="Normal 2 5 14" xfId="11053" xr:uid="{178B7122-8D4B-4FA3-ABEC-BD8B6B94B5EE}"/>
    <cellStyle name="Normal 2 5 15" xfId="11054" xr:uid="{EDFBEE50-0230-4A88-98D7-C73A116F407A}"/>
    <cellStyle name="Normal 2 5 16" xfId="11055" xr:uid="{5697C26F-7E48-43CC-BD34-4BC4C2454736}"/>
    <cellStyle name="Normal 2 5 17" xfId="11056" xr:uid="{CBA0949D-F3A2-4656-AF82-28AAB1A5CC0A}"/>
    <cellStyle name="Normal 2 5 18" xfId="11057" xr:uid="{030C9E42-DA78-4190-A770-E70389F4F27F}"/>
    <cellStyle name="Normal 2 5 19" xfId="11058" xr:uid="{DC354065-208C-4259-B6BC-3F35903FB0EE}"/>
    <cellStyle name="Normal 2 5 2" xfId="11059" xr:uid="{A2D3084C-16B5-4C8C-A58D-B193B2D5D396}"/>
    <cellStyle name="Normal 2 5 2 10" xfId="11060" xr:uid="{ABA9C5D7-528B-49D9-BB68-5A9DAE2C0B2E}"/>
    <cellStyle name="Normal 2 5 2 11" xfId="11061" xr:uid="{9AA29B92-9572-4C56-8309-F982B915A42A}"/>
    <cellStyle name="Normal 2 5 2 12" xfId="11062" xr:uid="{A2940E69-AA8C-4F3F-9A02-194E4790CF53}"/>
    <cellStyle name="Normal 2 5 2 13" xfId="11063" xr:uid="{88980DB5-CF76-4EA2-9C5B-56AD6D2A5BDA}"/>
    <cellStyle name="Normal 2 5 2 14" xfId="11064" xr:uid="{A8370D1F-33F0-46CD-8544-179E8C4F2AE0}"/>
    <cellStyle name="Normal 2 5 2 15" xfId="11065" xr:uid="{C4747CC0-44F2-4AB9-9D64-8B38BE8CE6C2}"/>
    <cellStyle name="Normal 2 5 2 16" xfId="11066" xr:uid="{019D0CE3-C2FD-4B4C-ACF4-91A93C6D45EB}"/>
    <cellStyle name="Normal 2 5 2 17" xfId="11067" xr:uid="{4E0019FF-1635-4219-951C-166FC52AB065}"/>
    <cellStyle name="Normal 2 5 2 18" xfId="11068" xr:uid="{1D334A1D-42A9-4B86-B382-A61DB968380B}"/>
    <cellStyle name="Normal 2 5 2 19" xfId="11069" xr:uid="{674522AF-D61D-4744-BD27-7AB2FF223255}"/>
    <cellStyle name="Normal 2 5 2 2" xfId="11070" xr:uid="{82EE8917-06D3-4C2D-A724-7B34D2341DEF}"/>
    <cellStyle name="Normal 2 5 2 20" xfId="11071" xr:uid="{1F44E071-18DC-40E5-8B62-A98BDB02D06F}"/>
    <cellStyle name="Normal 2 5 2 21" xfId="11072" xr:uid="{C93053A5-F893-4F46-9076-516EFAA46D28}"/>
    <cellStyle name="Normal 2 5 2 22" xfId="11073" xr:uid="{C8680E4F-3A6C-4B22-969C-D3A0E7DA6878}"/>
    <cellStyle name="Normal 2 5 2 23" xfId="11074" xr:uid="{F78E2CF5-0411-4509-9379-E9E4D929D697}"/>
    <cellStyle name="Normal 2 5 2 24" xfId="11075" xr:uid="{D08969E4-CCC9-4845-B294-24DC8F570888}"/>
    <cellStyle name="Normal 2 5 2 25" xfId="11076" xr:uid="{F2E59486-9BB9-4809-985F-6C3C62726571}"/>
    <cellStyle name="Normal 2 5 2 26" xfId="11077" xr:uid="{AC86F353-06A5-4FA9-9FA7-D10177F0C033}"/>
    <cellStyle name="Normal 2 5 2 27" xfId="11078" xr:uid="{605C747C-3963-44D0-8E04-6E9A967346F3}"/>
    <cellStyle name="Normal 2 5 2 28" xfId="11079" xr:uid="{C57587E7-D72F-4A30-BC98-6A8C2E579CD7}"/>
    <cellStyle name="Normal 2 5 2 29" xfId="11080" xr:uid="{B1E31F76-D9FF-4588-A366-FDF2227DF335}"/>
    <cellStyle name="Normal 2 5 2 3" xfId="11081" xr:uid="{A872FEF9-499A-40F4-AAE3-99D768B3AA8A}"/>
    <cellStyle name="Normal 2 5 2 30" xfId="11082" xr:uid="{7AF00B0D-14D4-4D33-8F1E-17E672CB430A}"/>
    <cellStyle name="Normal 2 5 2 31" xfId="11083" xr:uid="{58E8AA5D-C03B-41F2-9578-CF311F2BC740}"/>
    <cellStyle name="Normal 2 5 2 32" xfId="11084" xr:uid="{67E09145-E3C6-406B-AC10-2ACAFBE859E4}"/>
    <cellStyle name="Normal 2 5 2 4" xfId="11085" xr:uid="{2A37CFA1-C6CF-4663-AF3B-25FFBFC762E3}"/>
    <cellStyle name="Normal 2 5 2 5" xfId="11086" xr:uid="{F630BA9A-D464-41CD-90DB-528FB96EE2D4}"/>
    <cellStyle name="Normal 2 5 2 6" xfId="11087" xr:uid="{B46A365B-4B3C-4336-A1C2-D36C498D3DF5}"/>
    <cellStyle name="Normal 2 5 2 7" xfId="11088" xr:uid="{58AEE770-6C34-4131-B31F-BEEDDEA0C4A0}"/>
    <cellStyle name="Normal 2 5 2 8" xfId="11089" xr:uid="{CAE2C3D9-A981-4414-A3E3-5E47AE9A0609}"/>
    <cellStyle name="Normal 2 5 2 9" xfId="11090" xr:uid="{7D201CF5-C2AD-4961-AF80-70B8D5249D27}"/>
    <cellStyle name="Normal 2 5 20" xfId="11091" xr:uid="{8E96A607-4432-442B-B0FD-76F5A17D4ECC}"/>
    <cellStyle name="Normal 2 5 21" xfId="11092" xr:uid="{422E7901-C216-47D1-BEED-DE3AE58AF723}"/>
    <cellStyle name="Normal 2 5 22" xfId="11093" xr:uid="{3D0D6DBC-6EE0-4163-88FE-DCB892EB26B9}"/>
    <cellStyle name="Normal 2 5 23" xfId="11094" xr:uid="{D63A7C7B-DC28-4DFE-B33D-CFDE60A59C8F}"/>
    <cellStyle name="Normal 2 5 24" xfId="11095" xr:uid="{9552288F-705B-49F9-AF81-ED9C2B18B584}"/>
    <cellStyle name="Normal 2 5 25" xfId="11096" xr:uid="{35E7BB66-A621-41E1-826E-82468CCC54C2}"/>
    <cellStyle name="Normal 2 5 26" xfId="11097" xr:uid="{941B20CD-993E-480A-BD7F-146968B7F07C}"/>
    <cellStyle name="Normal 2 5 27" xfId="11098" xr:uid="{CA351E97-8E0B-4D94-B2FF-36090E89BB93}"/>
    <cellStyle name="Normal 2 5 28" xfId="11099" xr:uid="{FCEC7E62-F9E5-4C1F-9D68-A0C839D723CB}"/>
    <cellStyle name="Normal 2 5 29" xfId="11100" xr:uid="{AEAFE118-7FCE-4DAB-BFFF-EE4F07C70D97}"/>
    <cellStyle name="Normal 2 5 3" xfId="11101" xr:uid="{B8C6998D-A9B0-4EA2-97EB-67AC56AB5E67}"/>
    <cellStyle name="Normal 2 5 30" xfId="11102" xr:uid="{6396714F-A664-4910-88AF-330C84FB4AF2}"/>
    <cellStyle name="Normal 2 5 31" xfId="11103" xr:uid="{C27D60B1-220E-4976-8CEC-BDDD2D929093}"/>
    <cellStyle name="Normal 2 5 32" xfId="11104" xr:uid="{9C151F66-26C8-463A-BC58-33ACE2832970}"/>
    <cellStyle name="Normal 2 5 33" xfId="11105" xr:uid="{CA19FA7C-1459-4148-A81E-CAD33A9B84B1}"/>
    <cellStyle name="Normal 2 5 34" xfId="11106" xr:uid="{63348698-D3AD-4D2A-BBBE-CC44D4383354}"/>
    <cellStyle name="Normal 2 5 35" xfId="11107" xr:uid="{5F4310A9-C611-4AFC-9CB7-BD5D4F336F91}"/>
    <cellStyle name="Normal 2 5 4" xfId="11108" xr:uid="{06B78DED-6814-41F4-AC84-013D756F49A6}"/>
    <cellStyle name="Normal 2 5 5" xfId="11109" xr:uid="{2AFC9ABB-8C4C-4BC0-956C-ADE0FEC02717}"/>
    <cellStyle name="Normal 2 5 6" xfId="11110" xr:uid="{F21EFB71-A16C-4A82-9126-4CCED44FE83D}"/>
    <cellStyle name="Normal 2 5 7" xfId="11111" xr:uid="{10E76E20-1C88-405B-951A-7D00F32B5A50}"/>
    <cellStyle name="Normal 2 5 8" xfId="11112" xr:uid="{EC48076F-9308-438F-B3E7-47EC44ACB7F1}"/>
    <cellStyle name="Normal 2 5 9" xfId="11113" xr:uid="{904B0CC7-E74F-4C7C-B04F-210BA42F31D1}"/>
    <cellStyle name="Normal 2 50" xfId="11114" xr:uid="{6D57811E-1D9E-49B9-A392-BDEB5484E456}"/>
    <cellStyle name="Normal 2 51" xfId="11115" xr:uid="{53B249CB-5812-4BDC-B64C-C842C1E0797F}"/>
    <cellStyle name="Normal 2 52" xfId="11116" xr:uid="{9665D02D-BBF7-4E8C-95FD-A3F8D499D117}"/>
    <cellStyle name="Normal 2 53" xfId="11117" xr:uid="{79B5DAB5-C8F6-4AF1-BF3E-22739D035EAF}"/>
    <cellStyle name="Normal 2 54" xfId="11118" xr:uid="{207A171E-8E49-4956-BD68-126131BFC34A}"/>
    <cellStyle name="Normal 2 55" xfId="5443" xr:uid="{3066FE9C-8221-432F-BD20-ECBF5FEBF4E0}"/>
    <cellStyle name="Normal 2 56" xfId="16759" xr:uid="{0419015E-B9EF-4B25-8142-1EE50DB2C6C2}"/>
    <cellStyle name="Normal 2 57" xfId="16760" xr:uid="{7EFB31DE-36B2-40FF-B236-2538886D527C}"/>
    <cellStyle name="Normal 2 58" xfId="16780" xr:uid="{9122C8FC-4DE8-4918-A86D-D7F4293CB6D1}"/>
    <cellStyle name="Normal 2 59" xfId="16777" xr:uid="{0D728BB6-2BB8-448C-AB39-6AD7D3FC07A3}"/>
    <cellStyle name="Normal 2 6" xfId="11119" xr:uid="{3400E2D7-6286-40B4-9431-C3DAE13CF98F}"/>
    <cellStyle name="Normal 2 6 10" xfId="11120" xr:uid="{6DD01C42-5E65-40AA-803D-432D2CCFA790}"/>
    <cellStyle name="Normal 2 6 11" xfId="11121" xr:uid="{D3D8BDD7-9432-4452-B9FA-4E73996688FB}"/>
    <cellStyle name="Normal 2 6 12" xfId="11122" xr:uid="{26BA532C-F57C-4E3C-A33B-8D4E9C4F66DA}"/>
    <cellStyle name="Normal 2 6 13" xfId="11123" xr:uid="{6855B999-FE42-42CF-B513-5D29C8949D05}"/>
    <cellStyle name="Normal 2 6 14" xfId="11124" xr:uid="{C24C9B15-D317-425A-AE9E-787EB11A1C3B}"/>
    <cellStyle name="Normal 2 6 15" xfId="11125" xr:uid="{BB55B4A1-87D4-4ACB-9345-A53321DAAD98}"/>
    <cellStyle name="Normal 2 6 16" xfId="11126" xr:uid="{FE7D657A-B2FB-4881-AD98-5E50149B8CED}"/>
    <cellStyle name="Normal 2 6 17" xfId="11127" xr:uid="{A1EF70FD-2490-43B4-B4A8-CF65E59DE341}"/>
    <cellStyle name="Normal 2 6 18" xfId="11128" xr:uid="{D51BDC47-DBB3-4E66-B534-3618E5E26E11}"/>
    <cellStyle name="Normal 2 6 19" xfId="11129" xr:uid="{2582D635-ECA2-4181-BEEA-09DF8F859BC0}"/>
    <cellStyle name="Normal 2 6 2" xfId="11130" xr:uid="{5CF1C27F-3CCF-42E2-AECA-BF3AB2131587}"/>
    <cellStyle name="Normal 2 6 2 10" xfId="11131" xr:uid="{710F9E5C-66F0-4324-BA41-FD95E9750A80}"/>
    <cellStyle name="Normal 2 6 2 11" xfId="11132" xr:uid="{7DC5D4BE-8095-4F59-A4E4-AA0318AC54CB}"/>
    <cellStyle name="Normal 2 6 2 12" xfId="11133" xr:uid="{A0291DF9-F265-4B03-AD60-A4F371972DF9}"/>
    <cellStyle name="Normal 2 6 2 13" xfId="11134" xr:uid="{6C31D32C-1DBB-4B2A-84D9-EE80DBDEDB4D}"/>
    <cellStyle name="Normal 2 6 2 14" xfId="11135" xr:uid="{06E74925-6102-4E6E-9165-61E1A1F6A2F3}"/>
    <cellStyle name="Normal 2 6 2 15" xfId="11136" xr:uid="{92E81AD2-090A-406B-8568-9D6233EDD3B5}"/>
    <cellStyle name="Normal 2 6 2 16" xfId="11137" xr:uid="{45FF1352-B366-4F9D-AE65-2FACBBC960E7}"/>
    <cellStyle name="Normal 2 6 2 17" xfId="11138" xr:uid="{34F953A8-F11F-44DB-8715-D75D5A08C0FA}"/>
    <cellStyle name="Normal 2 6 2 18" xfId="11139" xr:uid="{C836F2F6-CF35-4DD4-B122-9F3BB886AAD0}"/>
    <cellStyle name="Normal 2 6 2 19" xfId="11140" xr:uid="{65FBD048-CF2E-4A3E-89BD-36E6E37A34BF}"/>
    <cellStyle name="Normal 2 6 2 2" xfId="11141" xr:uid="{0B434CA3-17E9-4CCE-88B3-143DD9C04AF5}"/>
    <cellStyle name="Normal 2 6 2 2 10" xfId="11142" xr:uid="{4BD32B35-6787-4960-90E6-B2CE7CFE494A}"/>
    <cellStyle name="Normal 2 6 2 2 11" xfId="11143" xr:uid="{C6F57B85-308F-4734-BDED-3EABC0DD3639}"/>
    <cellStyle name="Normal 2 6 2 2 12" xfId="11144" xr:uid="{44E59C02-695F-47C9-88DD-ADA41EF16F2D}"/>
    <cellStyle name="Normal 2 6 2 2 13" xfId="11145" xr:uid="{7F2B821D-A148-4B46-BA7F-F424F77FB726}"/>
    <cellStyle name="Normal 2 6 2 2 14" xfId="11146" xr:uid="{F42EEC7C-0E54-45B0-847E-814399677F9D}"/>
    <cellStyle name="Normal 2 6 2 2 15" xfId="11147" xr:uid="{B54718CF-EEF3-4E45-81C6-6FBF68C83C53}"/>
    <cellStyle name="Normal 2 6 2 2 16" xfId="11148" xr:uid="{D3CFF569-F280-43AD-A7DC-B6C9EADF0D0D}"/>
    <cellStyle name="Normal 2 6 2 2 17" xfId="11149" xr:uid="{33B80331-D2D0-429C-85C2-1A6559017C2D}"/>
    <cellStyle name="Normal 2 6 2 2 18" xfId="11150" xr:uid="{4DDD7E32-4ECF-433A-9322-A70B97366C53}"/>
    <cellStyle name="Normal 2 6 2 2 19" xfId="11151" xr:uid="{72DD760B-4383-40F1-A8C1-86D37641443E}"/>
    <cellStyle name="Normal 2 6 2 2 2" xfId="11152" xr:uid="{B9CC8D35-ADD2-4381-B382-899C857ACC49}"/>
    <cellStyle name="Normal 2 6 2 2 2 10" xfId="11153" xr:uid="{1D68475C-6C4E-40CB-9C4F-E8D918408177}"/>
    <cellStyle name="Normal 2 6 2 2 2 11" xfId="11154" xr:uid="{39A8A3B8-6E10-4BEF-87D8-86BDA7AA07E4}"/>
    <cellStyle name="Normal 2 6 2 2 2 12" xfId="11155" xr:uid="{9350C8F8-BDEB-4076-A912-9AE5C027DC8A}"/>
    <cellStyle name="Normal 2 6 2 2 2 13" xfId="11156" xr:uid="{8C5804A2-4EE4-4AC0-A020-D7ECBEEBA1A4}"/>
    <cellStyle name="Normal 2 6 2 2 2 14" xfId="11157" xr:uid="{11B30F3F-E384-4E30-9067-842667637868}"/>
    <cellStyle name="Normal 2 6 2 2 2 15" xfId="11158" xr:uid="{D09852A5-36C4-4664-BBA0-E9E7B143E722}"/>
    <cellStyle name="Normal 2 6 2 2 2 16" xfId="11159" xr:uid="{D1337000-4DA8-4FC2-8303-81533F91FFC6}"/>
    <cellStyle name="Normal 2 6 2 2 2 17" xfId="11160" xr:uid="{AD8004B6-A548-447E-9042-57377F239384}"/>
    <cellStyle name="Normal 2 6 2 2 2 18" xfId="11161" xr:uid="{79380BB3-5574-40A8-92AF-1CDBCDB91607}"/>
    <cellStyle name="Normal 2 6 2 2 2 19" xfId="11162" xr:uid="{2A5CFCE3-1928-4E78-97C6-4226D5B52384}"/>
    <cellStyle name="Normal 2 6 2 2 2 2" xfId="11163" xr:uid="{AEFE379F-7C99-484F-9781-6C85E414BA2E}"/>
    <cellStyle name="Normal 2 6 2 2 2 20" xfId="11164" xr:uid="{4C96E4CB-1CA8-41FC-AB4B-A7E514B545CF}"/>
    <cellStyle name="Normal 2 6 2 2 2 21" xfId="11165" xr:uid="{AA6ABE56-6930-41D6-95C3-92AFFCEC2885}"/>
    <cellStyle name="Normal 2 6 2 2 2 22" xfId="11166" xr:uid="{F7A898A9-20FB-439E-9D4B-4E018640A3CB}"/>
    <cellStyle name="Normal 2 6 2 2 2 23" xfId="11167" xr:uid="{B282BA88-25B1-4544-B718-EABD789F0049}"/>
    <cellStyle name="Normal 2 6 2 2 2 24" xfId="11168" xr:uid="{45BFA3FA-6E2B-4DAA-9EC7-56A25242B66D}"/>
    <cellStyle name="Normal 2 6 2 2 2 25" xfId="11169" xr:uid="{D8414D37-F0C4-4EA9-8DBC-53B6FE0CA644}"/>
    <cellStyle name="Normal 2 6 2 2 2 26" xfId="11170" xr:uid="{26703936-4640-4EA7-8FC4-730836AF61CE}"/>
    <cellStyle name="Normal 2 6 2 2 2 27" xfId="11171" xr:uid="{9D1C5B42-8941-4693-8730-8257F8DF1B8C}"/>
    <cellStyle name="Normal 2 6 2 2 2 28" xfId="11172" xr:uid="{6D76B6EB-E025-454E-B9DD-CC6ECB77E29A}"/>
    <cellStyle name="Normal 2 6 2 2 2 29" xfId="11173" xr:uid="{B0CC1D20-BF45-4AE8-9C9C-B8CF58BE4AA0}"/>
    <cellStyle name="Normal 2 6 2 2 2 3" xfId="11174" xr:uid="{66205C99-2C57-4919-8F98-4E32E09CD80A}"/>
    <cellStyle name="Normal 2 6 2 2 2 30" xfId="11175" xr:uid="{63DB09C4-6AC7-4BB5-BBDB-989071D7E5CE}"/>
    <cellStyle name="Normal 2 6 2 2 2 31" xfId="11176" xr:uid="{4559D6D0-3D59-46C8-B9B9-49A254881072}"/>
    <cellStyle name="Normal 2 6 2 2 2 32" xfId="11177" xr:uid="{755BB63F-5103-4A5F-AF3F-9C89AE65CC96}"/>
    <cellStyle name="Normal 2 6 2 2 2 33" xfId="11178" xr:uid="{F170311A-D693-43BD-B095-0E1E470E48B8}"/>
    <cellStyle name="Normal 2 6 2 2 2 34" xfId="11179" xr:uid="{AB63755A-F782-4D6B-B1D5-DCE9637EB052}"/>
    <cellStyle name="Normal 2 6 2 2 2 35" xfId="11180" xr:uid="{05AF17B4-56C2-43C0-9CC6-C328AEFDBA43}"/>
    <cellStyle name="Normal 2 6 2 2 2 36" xfId="11181" xr:uid="{769BFDA7-6F3E-48E4-A149-3C1D73145053}"/>
    <cellStyle name="Normal 2 6 2 2 2 37" xfId="11182" xr:uid="{81C0C38F-38FC-4C27-9F6F-A89D0EC23231}"/>
    <cellStyle name="Normal 2 6 2 2 2 38" xfId="11183" xr:uid="{34E413F7-1188-469D-878A-B87B196DCBA4}"/>
    <cellStyle name="Normal 2 6 2 2 2 4" xfId="11184" xr:uid="{8EA3E79E-5C17-4DE1-8728-F9BFBAF82881}"/>
    <cellStyle name="Normal 2 6 2 2 2 5" xfId="11185" xr:uid="{6CB7F8D1-0BD2-45B1-A3E4-D351DF0511CC}"/>
    <cellStyle name="Normal 2 6 2 2 2 6" xfId="11186" xr:uid="{10D7D833-65B6-4783-A6FB-CE0ED71D9399}"/>
    <cellStyle name="Normal 2 6 2 2 2 7" xfId="11187" xr:uid="{252414C6-5FAC-4F31-9E52-7F18DFB9D96E}"/>
    <cellStyle name="Normal 2 6 2 2 2 8" xfId="11188" xr:uid="{D31C73EC-3E7B-446E-BEA4-7F36A57CF3B6}"/>
    <cellStyle name="Normal 2 6 2 2 2 9" xfId="11189" xr:uid="{28AB588C-3214-4319-9DEC-BCD8C336E2BC}"/>
    <cellStyle name="Normal 2 6 2 2 20" xfId="11190" xr:uid="{9012DA0E-C951-45CD-A992-94ADC855FC91}"/>
    <cellStyle name="Normal 2 6 2 2 21" xfId="11191" xr:uid="{992DDFD7-AC66-46EE-84C8-983C77143ED6}"/>
    <cellStyle name="Normal 2 6 2 2 22" xfId="11192" xr:uid="{76A9F6D2-C753-47AC-AF26-7F11F15B9C71}"/>
    <cellStyle name="Normal 2 6 2 2 23" xfId="11193" xr:uid="{37498ACE-A83D-4CB4-89D3-F426A099A853}"/>
    <cellStyle name="Normal 2 6 2 2 24" xfId="11194" xr:uid="{50A57BC8-24DC-4767-9B01-4FDEE9E3329D}"/>
    <cellStyle name="Normal 2 6 2 2 25" xfId="11195" xr:uid="{80DAA22A-52C2-45BD-A30E-5D0E3101D87B}"/>
    <cellStyle name="Normal 2 6 2 2 26" xfId="11196" xr:uid="{1F78233E-3F1E-406A-8508-182C7F0F283A}"/>
    <cellStyle name="Normal 2 6 2 2 27" xfId="11197" xr:uid="{12E73344-11A3-4447-B833-570AE8DF10B6}"/>
    <cellStyle name="Normal 2 6 2 2 28" xfId="11198" xr:uid="{20B384F1-F4F0-450B-BF8F-4F3DA2286807}"/>
    <cellStyle name="Normal 2 6 2 2 29" xfId="11199" xr:uid="{8ADE6E60-D1F7-4D29-A1EE-533D9E76BCE0}"/>
    <cellStyle name="Normal 2 6 2 2 3" xfId="11200" xr:uid="{9A83322C-7B82-4CB0-988C-095056A76C65}"/>
    <cellStyle name="Normal 2 6 2 2 30" xfId="11201" xr:uid="{8ABD49C5-2601-40FB-A525-41F73D9064E3}"/>
    <cellStyle name="Normal 2 6 2 2 31" xfId="11202" xr:uid="{5E959733-E56D-415C-80BA-30A7F69567B9}"/>
    <cellStyle name="Normal 2 6 2 2 32" xfId="11203" xr:uid="{F7E56475-9197-40DB-BC2D-192A4977089A}"/>
    <cellStyle name="Normal 2 6 2 2 33" xfId="11204" xr:uid="{B2BCA89F-E55D-49F8-B32C-1DCB5D6BDFA4}"/>
    <cellStyle name="Normal 2 6 2 2 34" xfId="11205" xr:uid="{5F432693-DEC6-4585-8B89-D277D4B21ACD}"/>
    <cellStyle name="Normal 2 6 2 2 35" xfId="11206" xr:uid="{69D8E926-9C50-495E-A4EA-1332795F72AF}"/>
    <cellStyle name="Normal 2 6 2 2 36" xfId="11207" xr:uid="{BA5F1CDC-8CF6-4DF2-A0DE-0ADC50254792}"/>
    <cellStyle name="Normal 2 6 2 2 37" xfId="11208" xr:uid="{9C92E95B-D80B-417C-91FC-C756E4B7EC01}"/>
    <cellStyle name="Normal 2 6 2 2 38" xfId="11209" xr:uid="{E673B939-005D-4C67-B73A-E10DA68529D8}"/>
    <cellStyle name="Normal 2 6 2 2 4" xfId="11210" xr:uid="{FFF1688D-4D06-4AC9-AB5B-FF79A76C4733}"/>
    <cellStyle name="Normal 2 6 2 2 5" xfId="11211" xr:uid="{0CCF130F-A892-4C76-95AA-ED4E9C3CA45E}"/>
    <cellStyle name="Normal 2 6 2 2 6" xfId="11212" xr:uid="{9836F5F1-7BE7-45BB-A31E-E420D7A62E54}"/>
    <cellStyle name="Normal 2 6 2 2 7" xfId="11213" xr:uid="{77F32EAF-A0C0-4551-9BE2-15466BE3B29B}"/>
    <cellStyle name="Normal 2 6 2 2 8" xfId="11214" xr:uid="{15CC638B-8B67-490D-B0A9-0EE8CAA6B218}"/>
    <cellStyle name="Normal 2 6 2 2 9" xfId="11215" xr:uid="{377BC6A2-3F85-4EC9-A750-7762A734B455}"/>
    <cellStyle name="Normal 2 6 2 20" xfId="11216" xr:uid="{F0BFF3B0-7A67-4CD9-BC23-6F3FA37D6700}"/>
    <cellStyle name="Normal 2 6 2 21" xfId="11217" xr:uid="{3498C320-46D8-4650-A6E1-848D504DCE3E}"/>
    <cellStyle name="Normal 2 6 2 22" xfId="11218" xr:uid="{C00482E9-1191-4E07-A385-C062D5DB1CB4}"/>
    <cellStyle name="Normal 2 6 2 23" xfId="11219" xr:uid="{25AA1DE8-3ABF-4E5B-8976-9DD6F27E6619}"/>
    <cellStyle name="Normal 2 6 2 24" xfId="11220" xr:uid="{7F566FAF-6961-4D6C-B7BA-DD550AAD3A55}"/>
    <cellStyle name="Normal 2 6 2 25" xfId="11221" xr:uid="{19F8C185-80D7-410A-A146-43E0A96AD57B}"/>
    <cellStyle name="Normal 2 6 2 26" xfId="11222" xr:uid="{61213258-2101-444A-8911-F399EEA2C1CD}"/>
    <cellStyle name="Normal 2 6 2 27" xfId="11223" xr:uid="{5D52F31E-F6F9-47D8-8DB1-65C61405EA59}"/>
    <cellStyle name="Normal 2 6 2 28" xfId="11224" xr:uid="{57C2235A-DE29-4AA4-AD8D-E04F19858CBA}"/>
    <cellStyle name="Normal 2 6 2 29" xfId="11225" xr:uid="{94FCABC5-2B3D-498F-A958-49345A6CA7D4}"/>
    <cellStyle name="Normal 2 6 2 3" xfId="11226" xr:uid="{EA704C7B-4E9F-46FA-ADA1-58B371D8BC25}"/>
    <cellStyle name="Normal 2 6 2 30" xfId="11227" xr:uid="{FC7A1843-6148-4F1F-8C31-034FBDC82997}"/>
    <cellStyle name="Normal 2 6 2 31" xfId="11228" xr:uid="{68F8F556-D9D5-4AA5-A204-F8DC32537451}"/>
    <cellStyle name="Normal 2 6 2 32" xfId="11229" xr:uid="{EF75B41B-4CC8-4448-85B4-388602498152}"/>
    <cellStyle name="Normal 2 6 2 33" xfId="11230" xr:uid="{B3271844-1035-4F4F-B656-361A6FC7FD20}"/>
    <cellStyle name="Normal 2 6 2 34" xfId="11231" xr:uid="{6611AFD7-989C-457B-8DD8-EF050314FC23}"/>
    <cellStyle name="Normal 2 6 2 35" xfId="11232" xr:uid="{2E934004-8986-4484-9DCD-0DD584312C44}"/>
    <cellStyle name="Normal 2 6 2 36" xfId="11233" xr:uid="{61D9A398-6C49-43C2-92E7-CF4E1D7BEDFE}"/>
    <cellStyle name="Normal 2 6 2 37" xfId="11234" xr:uid="{843B18E6-CD0C-479C-98EE-CFA070ACD137}"/>
    <cellStyle name="Normal 2 6 2 38" xfId="11235" xr:uid="{DB2AF9E3-7755-4420-B19B-945E6D4B172E}"/>
    <cellStyle name="Normal 2 6 2 39" xfId="11236" xr:uid="{8905DF19-9FC2-4DFC-9B63-78D50AAFE7FD}"/>
    <cellStyle name="Normal 2 6 2 4" xfId="11237" xr:uid="{63496A53-6A5F-4689-B77D-2140CAA023E2}"/>
    <cellStyle name="Normal 2 6 2 40" xfId="11238" xr:uid="{5B3A8407-D469-4DB1-A49A-EDFE0702FB21}"/>
    <cellStyle name="Normal 2 6 2 5" xfId="11239" xr:uid="{078C9ADE-43D0-4A1A-9783-08FBBA921679}"/>
    <cellStyle name="Normal 2 6 2 6" xfId="11240" xr:uid="{1AAF450F-42E4-4A8E-B965-35C86C211452}"/>
    <cellStyle name="Normal 2 6 2 7" xfId="11241" xr:uid="{FC14EE4E-6DC6-484A-9275-6CE3D2A8FE76}"/>
    <cellStyle name="Normal 2 6 2 8" xfId="11242" xr:uid="{F1597DE8-46AE-4B1B-A01E-04A3231D8EE4}"/>
    <cellStyle name="Normal 2 6 2 9" xfId="11243" xr:uid="{DBF669F5-A3B3-489C-9E50-C84BFB3B7D35}"/>
    <cellStyle name="Normal 2 6 20" xfId="11244" xr:uid="{AE60C482-14AC-4E48-A487-81E605C65BD8}"/>
    <cellStyle name="Normal 2 6 21" xfId="11245" xr:uid="{A59423D7-F67F-4DE3-8C94-F741E2CABEBE}"/>
    <cellStyle name="Normal 2 6 22" xfId="11246" xr:uid="{D83B4E5E-0C5A-4F70-BAF0-AAC5AACE21E2}"/>
    <cellStyle name="Normal 2 6 23" xfId="11247" xr:uid="{3E5EB7B3-3A73-42B8-9300-51BACB8E7416}"/>
    <cellStyle name="Normal 2 6 24" xfId="11248" xr:uid="{CB99F554-394E-4287-9B08-3BCF383820EE}"/>
    <cellStyle name="Normal 2 6 25" xfId="11249" xr:uid="{32B699EF-E0A1-445B-936C-F5649DCED4D6}"/>
    <cellStyle name="Normal 2 6 26" xfId="11250" xr:uid="{559A2145-8553-4AF8-A5A0-CDD216715FB5}"/>
    <cellStyle name="Normal 2 6 27" xfId="11251" xr:uid="{DECCF75A-6559-407B-AC00-2CE811E45DC8}"/>
    <cellStyle name="Normal 2 6 28" xfId="11252" xr:uid="{20A02088-2715-4A32-9485-0941A5C8DCB4}"/>
    <cellStyle name="Normal 2 6 29" xfId="11253" xr:uid="{283D9862-4DA2-437A-854C-F5DDD5F63454}"/>
    <cellStyle name="Normal 2 6 3" xfId="11254" xr:uid="{673963C6-AE5B-4DA3-9A21-17FA78142B6F}"/>
    <cellStyle name="Normal 2 6 3 10" xfId="11255" xr:uid="{9BDF9CD8-34D9-490F-8F07-70350FBF21B6}"/>
    <cellStyle name="Normal 2 6 3 11" xfId="11256" xr:uid="{803C52EA-9FD1-4BBC-B8EC-9C64BD55B295}"/>
    <cellStyle name="Normal 2 6 3 12" xfId="11257" xr:uid="{86CD13A5-2957-47CF-B138-A80E17298ED4}"/>
    <cellStyle name="Normal 2 6 3 13" xfId="11258" xr:uid="{641A5803-397B-49FD-B2BB-16A8D519E1B1}"/>
    <cellStyle name="Normal 2 6 3 14" xfId="11259" xr:uid="{CFAC5F93-4934-4AC5-94B0-BCA58ED5A394}"/>
    <cellStyle name="Normal 2 6 3 15" xfId="11260" xr:uid="{0C2C6A00-7933-42A9-AEFD-8471D73626E0}"/>
    <cellStyle name="Normal 2 6 3 16" xfId="11261" xr:uid="{62FBC34A-F0A5-4DDC-8170-F886FD0D54F3}"/>
    <cellStyle name="Normal 2 6 3 17" xfId="11262" xr:uid="{1A9832E9-EB1E-49B5-8CE7-663BCD78F754}"/>
    <cellStyle name="Normal 2 6 3 18" xfId="11263" xr:uid="{65D8AB17-8BD7-4849-999D-0A1C0DEE1AAD}"/>
    <cellStyle name="Normal 2 6 3 19" xfId="11264" xr:uid="{80E5A431-6406-4A79-9EFE-C337F4D2E669}"/>
    <cellStyle name="Normal 2 6 3 2" xfId="11265" xr:uid="{4E5F02B8-BD7A-4B9F-A911-3FFD02E0AE4B}"/>
    <cellStyle name="Normal 2 6 3 2 10" xfId="11266" xr:uid="{E115B383-28D0-4614-9C44-C20570CD7624}"/>
    <cellStyle name="Normal 2 6 3 2 11" xfId="11267" xr:uid="{02D5BCB4-0C43-42F2-BE8D-83D88F495297}"/>
    <cellStyle name="Normal 2 6 3 2 12" xfId="11268" xr:uid="{29CDEBDD-5319-4A95-AEDB-64CFC50365A3}"/>
    <cellStyle name="Normal 2 6 3 2 13" xfId="11269" xr:uid="{3C475F7B-46CD-4CDE-B8E8-D2DCECEEE165}"/>
    <cellStyle name="Normal 2 6 3 2 14" xfId="11270" xr:uid="{B4601C3F-964D-48A8-9FFF-CC8F71EF5D87}"/>
    <cellStyle name="Normal 2 6 3 2 15" xfId="11271" xr:uid="{9079C24D-E75C-4EB8-8306-B7F962AFDAD1}"/>
    <cellStyle name="Normal 2 6 3 2 16" xfId="11272" xr:uid="{E606FE7E-10E1-4C35-9D16-8C878A62C666}"/>
    <cellStyle name="Normal 2 6 3 2 17" xfId="11273" xr:uid="{09F384FF-3D89-4B7A-93B4-4C81937105E3}"/>
    <cellStyle name="Normal 2 6 3 2 18" xfId="11274" xr:uid="{732180A1-D9F7-4E78-8D58-774BBDB1E2F1}"/>
    <cellStyle name="Normal 2 6 3 2 19" xfId="11275" xr:uid="{4E86420A-BF49-49DD-91F7-85C595DBBE12}"/>
    <cellStyle name="Normal 2 6 3 2 2" xfId="11276" xr:uid="{3F97042A-280E-4D7F-A96C-EA38D963EA27}"/>
    <cellStyle name="Normal 2 6 3 2 20" xfId="11277" xr:uid="{6D0692E8-7ECC-4736-95EF-905FCA3726B5}"/>
    <cellStyle name="Normal 2 6 3 2 21" xfId="11278" xr:uid="{F9C8A816-C3F3-4DD3-836E-A91AC55A1640}"/>
    <cellStyle name="Normal 2 6 3 2 22" xfId="11279" xr:uid="{A8BA63DC-0844-4F79-8761-041B36AE496A}"/>
    <cellStyle name="Normal 2 6 3 2 23" xfId="11280" xr:uid="{9640969F-33D5-4B3F-931A-6A86DFE785AF}"/>
    <cellStyle name="Normal 2 6 3 2 24" xfId="11281" xr:uid="{BD650EAD-3126-4B24-A87D-1BA0F7DEFC15}"/>
    <cellStyle name="Normal 2 6 3 2 25" xfId="11282" xr:uid="{8355C96C-7124-4C6C-AA29-836788A5CBD0}"/>
    <cellStyle name="Normal 2 6 3 2 26" xfId="11283" xr:uid="{63635269-BDA3-45D3-91B9-CFD568CD4FE4}"/>
    <cellStyle name="Normal 2 6 3 2 27" xfId="11284" xr:uid="{ED9EB9E1-EC69-49E6-8560-B1F788C8C20F}"/>
    <cellStyle name="Normal 2 6 3 2 28" xfId="11285" xr:uid="{F58F6F1D-CDEF-42FC-B18C-B4CC2FEE1BA7}"/>
    <cellStyle name="Normal 2 6 3 2 29" xfId="11286" xr:uid="{7F75F303-90C3-4E3D-9E0A-2E890C1916E7}"/>
    <cellStyle name="Normal 2 6 3 2 3" xfId="11287" xr:uid="{5D23DC8E-2FC0-41F0-BCEE-D4323D3566C5}"/>
    <cellStyle name="Normal 2 6 3 2 30" xfId="11288" xr:uid="{B24878D1-F9B2-470B-8B46-B44BE7055814}"/>
    <cellStyle name="Normal 2 6 3 2 31" xfId="11289" xr:uid="{7C324C52-F0DD-4F09-B1E3-99A88A3670B6}"/>
    <cellStyle name="Normal 2 6 3 2 32" xfId="11290" xr:uid="{A08C6FAB-A227-40EA-AE01-DFE63681FF83}"/>
    <cellStyle name="Normal 2 6 3 2 33" xfId="11291" xr:uid="{F64531DC-534A-4E5F-9F41-BC49B59ECFE1}"/>
    <cellStyle name="Normal 2 6 3 2 34" xfId="11292" xr:uid="{69EC805F-076C-4469-9859-895C4A415C04}"/>
    <cellStyle name="Normal 2 6 3 2 35" xfId="11293" xr:uid="{02522276-7209-4F78-B10D-B2E6DC40E9AC}"/>
    <cellStyle name="Normal 2 6 3 2 36" xfId="11294" xr:uid="{75CF4329-EC3E-433D-827D-EEC1468F1B9B}"/>
    <cellStyle name="Normal 2 6 3 2 37" xfId="11295" xr:uid="{E78DD971-3E3C-44E2-8530-65F9224FAD82}"/>
    <cellStyle name="Normal 2 6 3 2 38" xfId="11296" xr:uid="{E0AF88E2-092A-4CEC-9D94-A79D4A477EC9}"/>
    <cellStyle name="Normal 2 6 3 2 4" xfId="11297" xr:uid="{62161C89-DA95-46CB-8F35-E0BFA2247F57}"/>
    <cellStyle name="Normal 2 6 3 2 5" xfId="11298" xr:uid="{118C7CA2-34C9-4680-B556-35238106D66A}"/>
    <cellStyle name="Normal 2 6 3 2 6" xfId="11299" xr:uid="{1B022D85-DC52-41E7-8513-003B42345DE9}"/>
    <cellStyle name="Normal 2 6 3 2 7" xfId="11300" xr:uid="{D34574BF-F589-4142-851C-823C2E4F3E72}"/>
    <cellStyle name="Normal 2 6 3 2 8" xfId="11301" xr:uid="{6AEDE1E1-21BA-4D9C-8373-63457795A8EF}"/>
    <cellStyle name="Normal 2 6 3 2 9" xfId="11302" xr:uid="{10391DA0-5892-4522-B6F9-CBAF98FD7F2B}"/>
    <cellStyle name="Normal 2 6 3 20" xfId="11303" xr:uid="{9FCB546B-AC80-4F01-90C8-7DC4136BD3F1}"/>
    <cellStyle name="Normal 2 6 3 21" xfId="11304" xr:uid="{FAE6E0F8-8CBE-403F-AB5A-BCB861A0387C}"/>
    <cellStyle name="Normal 2 6 3 22" xfId="11305" xr:uid="{FB55DB5F-110F-435B-A8B6-8E09655DE1CC}"/>
    <cellStyle name="Normal 2 6 3 23" xfId="11306" xr:uid="{5E308E2C-CE48-4060-9133-2A5F7B99DF1C}"/>
    <cellStyle name="Normal 2 6 3 24" xfId="11307" xr:uid="{B9C4E40C-B298-4076-B982-E801642689C8}"/>
    <cellStyle name="Normal 2 6 3 25" xfId="11308" xr:uid="{9959C10E-9AF6-4605-8C7A-5CC399658F39}"/>
    <cellStyle name="Normal 2 6 3 26" xfId="11309" xr:uid="{E011A181-9FF5-4B37-9DB7-C36FAA59818A}"/>
    <cellStyle name="Normal 2 6 3 27" xfId="11310" xr:uid="{DA85F726-7BA8-4DCE-ABD9-C1FE8377FAE2}"/>
    <cellStyle name="Normal 2 6 3 28" xfId="11311" xr:uid="{0F4755D9-4841-4756-9520-9CA61D1FF64A}"/>
    <cellStyle name="Normal 2 6 3 29" xfId="11312" xr:uid="{661F4BBA-AE15-4049-8810-9B6CB3166B57}"/>
    <cellStyle name="Normal 2 6 3 3" xfId="11313" xr:uid="{853AB780-B865-41A1-BF58-0F78EB9B7A48}"/>
    <cellStyle name="Normal 2 6 3 30" xfId="11314" xr:uid="{1CA12C47-49B3-46B7-82B0-7E05148CDACD}"/>
    <cellStyle name="Normal 2 6 3 31" xfId="11315" xr:uid="{1935A8DD-8FA3-4991-8C17-A9B33C1247AB}"/>
    <cellStyle name="Normal 2 6 3 32" xfId="11316" xr:uid="{F56E12A3-30FF-4FF9-ADEF-F5B99F518866}"/>
    <cellStyle name="Normal 2 6 3 33" xfId="11317" xr:uid="{3268CE53-0087-4385-9FA8-9EC6F6F780A3}"/>
    <cellStyle name="Normal 2 6 3 34" xfId="11318" xr:uid="{B465717F-1A4A-4EB5-8176-B0BD5DFB5C74}"/>
    <cellStyle name="Normal 2 6 3 35" xfId="11319" xr:uid="{07733958-1C6E-4641-AAD3-5EA88E545769}"/>
    <cellStyle name="Normal 2 6 3 36" xfId="11320" xr:uid="{D341EFF8-F726-43A1-B6FB-64F0CF5166DE}"/>
    <cellStyle name="Normal 2 6 3 37" xfId="11321" xr:uid="{0AD38DDD-40BB-4423-8C02-1B70D3B7418E}"/>
    <cellStyle name="Normal 2 6 3 38" xfId="11322" xr:uid="{D2FA2ADF-2719-45D7-8A44-4A9CD4F059C6}"/>
    <cellStyle name="Normal 2 6 3 4" xfId="11323" xr:uid="{1BCA210E-F87C-426A-AA31-76515007C488}"/>
    <cellStyle name="Normal 2 6 3 5" xfId="11324" xr:uid="{A783FE57-51F4-4B01-B64E-52A6A18EDA5C}"/>
    <cellStyle name="Normal 2 6 3 6" xfId="11325" xr:uid="{6A8018F9-18F5-4E5B-AC51-701B6B4B92F0}"/>
    <cellStyle name="Normal 2 6 3 7" xfId="11326" xr:uid="{AD8DE848-9F3A-49BD-B582-8339ABB3DA5C}"/>
    <cellStyle name="Normal 2 6 3 8" xfId="11327" xr:uid="{A81F937D-144F-41E6-9478-C04D96101658}"/>
    <cellStyle name="Normal 2 6 3 9" xfId="11328" xr:uid="{A00915C7-B1C0-4B09-B108-A141BAB5B565}"/>
    <cellStyle name="Normal 2 6 30" xfId="11329" xr:uid="{A900E25C-E3CD-4462-98D0-44A4147052A9}"/>
    <cellStyle name="Normal 2 6 31" xfId="11330" xr:uid="{EE7C159F-5E87-4C90-B95F-5240C56BD868}"/>
    <cellStyle name="Normal 2 6 32" xfId="11331" xr:uid="{A8C7C433-B9C5-4EE6-A8FF-D8B4532F7D53}"/>
    <cellStyle name="Normal 2 6 33" xfId="11332" xr:uid="{C72EFAF0-4E68-41C7-93EC-22D9D53B20B5}"/>
    <cellStyle name="Normal 2 6 34" xfId="11333" xr:uid="{DF92F3D5-4D5E-4763-9529-0777BE4B0E72}"/>
    <cellStyle name="Normal 2 6 35" xfId="11334" xr:uid="{98687159-631A-4939-9EB8-FC4ED0B7040A}"/>
    <cellStyle name="Normal 2 6 36" xfId="11335" xr:uid="{AE171BE3-6608-4B2D-A18F-3BB92C8B551D}"/>
    <cellStyle name="Normal 2 6 37" xfId="11336" xr:uid="{20B506B4-0438-4216-8C74-5E5BFE650C95}"/>
    <cellStyle name="Normal 2 6 38" xfId="11337" xr:uid="{DA8613E3-6CE8-42E0-8688-314B6AF44405}"/>
    <cellStyle name="Normal 2 6 39" xfId="11338" xr:uid="{7D2D3D12-EEE2-4014-8FA2-600F26EBEF0F}"/>
    <cellStyle name="Normal 2 6 4" xfId="11339" xr:uid="{2209A1F4-42D7-4A5A-B28B-8EDF8F9EB8BE}"/>
    <cellStyle name="Normal 2 6 40" xfId="11340" xr:uid="{936379E4-ED29-460B-B868-B953800CA182}"/>
    <cellStyle name="Normal 2 6 5" xfId="11341" xr:uid="{C6459142-9780-4133-8114-C477F49B1461}"/>
    <cellStyle name="Normal 2 6 6" xfId="11342" xr:uid="{D40419DA-8052-43F5-A9E1-C99B465F20A2}"/>
    <cellStyle name="Normal 2 6 7" xfId="11343" xr:uid="{3DC7BCB5-CC19-49B2-BD13-C0C43F50EB12}"/>
    <cellStyle name="Normal 2 6 8" xfId="11344" xr:uid="{F859B297-EE51-42DB-8544-D898645B0693}"/>
    <cellStyle name="Normal 2 6 9" xfId="11345" xr:uid="{EDB13305-ECDE-49FF-97E3-54A15D9AF0A3}"/>
    <cellStyle name="Normal 2 7" xfId="11346" xr:uid="{C01FF9F0-29D2-4601-AAA3-6363EDF058E1}"/>
    <cellStyle name="Normal 2 7 10" xfId="11347" xr:uid="{CB416CF0-201F-4939-8963-BC9A1D1A1DD7}"/>
    <cellStyle name="Normal 2 7 11" xfId="11348" xr:uid="{BA1C2E17-F15E-44A4-94CB-BC132813B7DD}"/>
    <cellStyle name="Normal 2 7 12" xfId="11349" xr:uid="{F3BDAF47-425C-4532-904C-90892DFA638C}"/>
    <cellStyle name="Normal 2 7 13" xfId="11350" xr:uid="{DD78F73F-F9FC-4F3F-8CEF-8CA7F799A327}"/>
    <cellStyle name="Normal 2 7 14" xfId="11351" xr:uid="{5120F5E6-E29A-43FF-9823-44886C1910F1}"/>
    <cellStyle name="Normal 2 7 15" xfId="11352" xr:uid="{9CC9DBF4-A940-491F-85F1-82292625A37C}"/>
    <cellStyle name="Normal 2 7 16" xfId="11353" xr:uid="{1939FB1F-C6C1-4210-9290-A74870BE3D61}"/>
    <cellStyle name="Normal 2 7 17" xfId="11354" xr:uid="{5AD7E1E2-1E39-4465-B27D-09091A761A7D}"/>
    <cellStyle name="Normal 2 7 18" xfId="11355" xr:uid="{168D9FD9-13BD-4EB2-A4A2-4EE0CFC51227}"/>
    <cellStyle name="Normal 2 7 19" xfId="11356" xr:uid="{F39F583B-BFC1-475D-8FDD-1AAED9913CF4}"/>
    <cellStyle name="Normal 2 7 2" xfId="11357" xr:uid="{A0DF5552-324C-4E9A-9893-B33DEE7E7CBC}"/>
    <cellStyle name="Normal 2 7 2 10" xfId="11358" xr:uid="{C26F8BA0-8F4C-4D2B-8E49-0FE33385075D}"/>
    <cellStyle name="Normal 2 7 2 11" xfId="11359" xr:uid="{CD32637B-7F78-4759-BAB4-78227411BD44}"/>
    <cellStyle name="Normal 2 7 2 12" xfId="11360" xr:uid="{F671C0A4-6F9C-41BD-8310-56EA1B6220FB}"/>
    <cellStyle name="Normal 2 7 2 13" xfId="11361" xr:uid="{7DA8A40B-9B3D-45E0-A6C5-FA5290199B67}"/>
    <cellStyle name="Normal 2 7 2 14" xfId="11362" xr:uid="{96318402-88E4-4FA2-877A-A43A18A19795}"/>
    <cellStyle name="Normal 2 7 2 15" xfId="11363" xr:uid="{3DA37214-4A70-4EAC-BD66-5FDAD506A19B}"/>
    <cellStyle name="Normal 2 7 2 16" xfId="11364" xr:uid="{B3EF7F08-35CB-438D-9399-CE9C7B9D7DAF}"/>
    <cellStyle name="Normal 2 7 2 17" xfId="11365" xr:uid="{BE089ECF-13B5-47C5-878E-E8CF577CB00F}"/>
    <cellStyle name="Normal 2 7 2 18" xfId="11366" xr:uid="{4C73E580-DD53-497C-BA36-87149E12E0F8}"/>
    <cellStyle name="Normal 2 7 2 19" xfId="11367" xr:uid="{34028D07-0239-4096-A3C3-131F8948C78F}"/>
    <cellStyle name="Normal 2 7 2 2" xfId="11368" xr:uid="{A11AF087-A7A3-45E3-BE57-58427BBE9963}"/>
    <cellStyle name="Normal 2 7 2 2 10" xfId="11369" xr:uid="{DC802C03-278E-41C5-8762-028B6EF37B4A}"/>
    <cellStyle name="Normal 2 7 2 2 11" xfId="11370" xr:uid="{32BAD795-387B-4726-B375-4717083B4A62}"/>
    <cellStyle name="Normal 2 7 2 2 12" xfId="11371" xr:uid="{15E138A2-1085-4ADA-AE31-6B5A476076E1}"/>
    <cellStyle name="Normal 2 7 2 2 13" xfId="11372" xr:uid="{B17E9630-0CE0-462D-B3BD-7076D936FEAB}"/>
    <cellStyle name="Normal 2 7 2 2 14" xfId="11373" xr:uid="{7E13F308-7F6C-4EDF-8A1F-BAE60EA7DECF}"/>
    <cellStyle name="Normal 2 7 2 2 15" xfId="11374" xr:uid="{852B7137-CE7D-4052-BFA2-83369A738DA6}"/>
    <cellStyle name="Normal 2 7 2 2 16" xfId="11375" xr:uid="{54694B81-F719-4CC0-A571-364745340882}"/>
    <cellStyle name="Normal 2 7 2 2 17" xfId="11376" xr:uid="{B9CE8411-7770-42EB-ABB3-C48ADE390D7D}"/>
    <cellStyle name="Normal 2 7 2 2 18" xfId="11377" xr:uid="{EAD3E82A-9F00-424E-88C4-C2DDCC330169}"/>
    <cellStyle name="Normal 2 7 2 2 19" xfId="11378" xr:uid="{A261D831-B932-413A-A156-3E66326A8FF6}"/>
    <cellStyle name="Normal 2 7 2 2 2" xfId="11379" xr:uid="{B81FA0A5-1EA5-4173-8ED7-4B7E93436E9F}"/>
    <cellStyle name="Normal 2 7 2 2 2 10" xfId="11380" xr:uid="{2C45F389-0DB3-4D94-8417-3E085DEA45FD}"/>
    <cellStyle name="Normal 2 7 2 2 2 11" xfId="11381" xr:uid="{3D7DC001-FDDB-42CF-89C5-654080B79B76}"/>
    <cellStyle name="Normal 2 7 2 2 2 12" xfId="11382" xr:uid="{C451196E-5FD8-47B4-B6E9-D4DCD11BCBBD}"/>
    <cellStyle name="Normal 2 7 2 2 2 13" xfId="11383" xr:uid="{D6359E1D-947E-4AD6-8369-B806A606CC7C}"/>
    <cellStyle name="Normal 2 7 2 2 2 14" xfId="11384" xr:uid="{A6E3071B-68BD-4081-8B1C-7C677F575102}"/>
    <cellStyle name="Normal 2 7 2 2 2 15" xfId="11385" xr:uid="{A911EBCF-B98B-43C9-9300-7CBB5FEDA7A5}"/>
    <cellStyle name="Normal 2 7 2 2 2 16" xfId="11386" xr:uid="{377A5DF2-EE1A-4707-A888-FD337D054992}"/>
    <cellStyle name="Normal 2 7 2 2 2 17" xfId="11387" xr:uid="{42D5FF50-FA50-4EA8-9D69-A8940338B3B1}"/>
    <cellStyle name="Normal 2 7 2 2 2 18" xfId="11388" xr:uid="{CB4A448D-C665-45D9-8C5D-FA05AD87B3FE}"/>
    <cellStyle name="Normal 2 7 2 2 2 19" xfId="11389" xr:uid="{3C25EB5C-9C01-4ED8-BC59-FDB2C1FA9B9E}"/>
    <cellStyle name="Normal 2 7 2 2 2 2" xfId="11390" xr:uid="{DD06F4F8-C9F7-4AB5-BDAB-E3CA9AC2350D}"/>
    <cellStyle name="Normal 2 7 2 2 2 20" xfId="11391" xr:uid="{5BA42A11-5AB4-4F6C-A257-DF7B2B64844A}"/>
    <cellStyle name="Normal 2 7 2 2 2 21" xfId="11392" xr:uid="{DC799A00-51E2-4191-AA08-D7F339EDA6C0}"/>
    <cellStyle name="Normal 2 7 2 2 2 22" xfId="11393" xr:uid="{0A9D5C5D-4377-4FE3-8022-C26FD74F39D6}"/>
    <cellStyle name="Normal 2 7 2 2 2 23" xfId="11394" xr:uid="{8042746A-0A4E-400C-B4E8-AD95CE31FF66}"/>
    <cellStyle name="Normal 2 7 2 2 2 24" xfId="11395" xr:uid="{ADBA91DD-DB35-4992-AA45-966892A51FCA}"/>
    <cellStyle name="Normal 2 7 2 2 2 25" xfId="11396" xr:uid="{D822A92F-2F79-4860-B796-C0A68BD849D3}"/>
    <cellStyle name="Normal 2 7 2 2 2 26" xfId="11397" xr:uid="{5BED3882-1873-4CFD-8F91-D10B73219154}"/>
    <cellStyle name="Normal 2 7 2 2 2 27" xfId="11398" xr:uid="{F66A7CA5-6A66-419F-BFA1-D58AA9BC303E}"/>
    <cellStyle name="Normal 2 7 2 2 2 28" xfId="11399" xr:uid="{E44CCE73-A93E-448A-AED2-7BC024D74920}"/>
    <cellStyle name="Normal 2 7 2 2 2 29" xfId="11400" xr:uid="{2D1B4B5F-6AD2-40EC-BA08-5F18D763FA73}"/>
    <cellStyle name="Normal 2 7 2 2 2 3" xfId="11401" xr:uid="{D75E806A-270E-4B01-AD4A-85CD4B66CC87}"/>
    <cellStyle name="Normal 2 7 2 2 2 30" xfId="11402" xr:uid="{BEEE0EAA-AAE3-46B8-A1A1-18E59ED8ED2D}"/>
    <cellStyle name="Normal 2 7 2 2 2 31" xfId="11403" xr:uid="{82719D71-0EE8-4DEA-B493-A0F14AEAEC07}"/>
    <cellStyle name="Normal 2 7 2 2 2 32" xfId="11404" xr:uid="{D21DB0E5-46B9-4B08-B218-8CDC2AD7A1F3}"/>
    <cellStyle name="Normal 2 7 2 2 2 33" xfId="11405" xr:uid="{5DEC74A4-6FCA-4568-8368-AA569A6798F4}"/>
    <cellStyle name="Normal 2 7 2 2 2 34" xfId="11406" xr:uid="{002CFAC6-D0B9-4FEA-8B94-5E734F7EDE52}"/>
    <cellStyle name="Normal 2 7 2 2 2 35" xfId="11407" xr:uid="{5315A687-C36A-4C5F-8D0D-34A33AC3EC20}"/>
    <cellStyle name="Normal 2 7 2 2 2 36" xfId="11408" xr:uid="{063DA6A7-5D0E-47EC-9A15-A25FDECF26E4}"/>
    <cellStyle name="Normal 2 7 2 2 2 37" xfId="11409" xr:uid="{95BDB04F-8EF5-4381-A94E-22F06CDA5B67}"/>
    <cellStyle name="Normal 2 7 2 2 2 38" xfId="11410" xr:uid="{E5519640-32ED-43A3-8CDD-DE4F11F6E6C2}"/>
    <cellStyle name="Normal 2 7 2 2 2 4" xfId="11411" xr:uid="{53BC4A31-E8AC-4F7A-B3F4-A3B28AA1B893}"/>
    <cellStyle name="Normal 2 7 2 2 2 5" xfId="11412" xr:uid="{372097C9-244D-4B2E-BA0C-E5D9DC4A78FC}"/>
    <cellStyle name="Normal 2 7 2 2 2 6" xfId="11413" xr:uid="{B77E3184-7B15-48C7-A2E0-E58DC922A4C5}"/>
    <cellStyle name="Normal 2 7 2 2 2 7" xfId="11414" xr:uid="{03C00D93-0B1A-44F9-A812-76733715AB0E}"/>
    <cellStyle name="Normal 2 7 2 2 2 8" xfId="11415" xr:uid="{154EB038-62E8-428E-A400-33CC3F22C9FC}"/>
    <cellStyle name="Normal 2 7 2 2 2 9" xfId="11416" xr:uid="{63B2D5DE-CAFF-40CC-81DF-4499C9DD4C52}"/>
    <cellStyle name="Normal 2 7 2 2 20" xfId="11417" xr:uid="{0ED80745-36DE-4339-84B0-6DC64FB135B7}"/>
    <cellStyle name="Normal 2 7 2 2 21" xfId="11418" xr:uid="{23B75E91-6075-459F-A822-53A1A4ED2BD7}"/>
    <cellStyle name="Normal 2 7 2 2 22" xfId="11419" xr:uid="{AF1F79B8-CCC1-4623-BAEB-245505B12329}"/>
    <cellStyle name="Normal 2 7 2 2 23" xfId="11420" xr:uid="{2A2CB0E0-D8E7-4D6B-AC5B-DD43B1319F49}"/>
    <cellStyle name="Normal 2 7 2 2 24" xfId="11421" xr:uid="{49D29F56-BC49-402E-8CBA-6D2ADE75FE90}"/>
    <cellStyle name="Normal 2 7 2 2 25" xfId="11422" xr:uid="{671D3B0C-02D6-44BF-8DF8-D9E071889798}"/>
    <cellStyle name="Normal 2 7 2 2 26" xfId="11423" xr:uid="{D55FA8F4-976B-47F3-8E50-91D36BC30103}"/>
    <cellStyle name="Normal 2 7 2 2 27" xfId="11424" xr:uid="{6D8EA49F-BE09-4BC6-90E8-EB873E378556}"/>
    <cellStyle name="Normal 2 7 2 2 28" xfId="11425" xr:uid="{50988EB1-DE0C-4A0D-954D-EC1F1D01E6BC}"/>
    <cellStyle name="Normal 2 7 2 2 29" xfId="11426" xr:uid="{53E8AB1C-4AAD-472E-B17B-F2042A523081}"/>
    <cellStyle name="Normal 2 7 2 2 3" xfId="11427" xr:uid="{AFCB4222-D547-4157-B53B-76FEE1711DBF}"/>
    <cellStyle name="Normal 2 7 2 2 30" xfId="11428" xr:uid="{7EAB4ACF-7A22-457F-BF9F-712A9BC74C2C}"/>
    <cellStyle name="Normal 2 7 2 2 31" xfId="11429" xr:uid="{9096EC18-7831-489E-B0DD-1271E744D507}"/>
    <cellStyle name="Normal 2 7 2 2 32" xfId="11430" xr:uid="{53392418-1D54-4C8E-92B7-0B4B775A389E}"/>
    <cellStyle name="Normal 2 7 2 2 33" xfId="11431" xr:uid="{20FE1FC7-D1F9-4E8D-80AB-C298F4916BB2}"/>
    <cellStyle name="Normal 2 7 2 2 34" xfId="11432" xr:uid="{4165A08A-6D9D-4AB4-90B7-B3787267B185}"/>
    <cellStyle name="Normal 2 7 2 2 35" xfId="11433" xr:uid="{14A370BC-370A-42F9-B457-150EDDB09EA3}"/>
    <cellStyle name="Normal 2 7 2 2 36" xfId="11434" xr:uid="{4D61B6B4-CB42-42C1-B47F-0B1ADC942D65}"/>
    <cellStyle name="Normal 2 7 2 2 37" xfId="11435" xr:uid="{7DA28A9C-12A6-4940-ACC3-F7E4C8832237}"/>
    <cellStyle name="Normal 2 7 2 2 38" xfId="11436" xr:uid="{247FC420-7F48-4E86-815C-763A7C8BB400}"/>
    <cellStyle name="Normal 2 7 2 2 4" xfId="11437" xr:uid="{AD9373EC-D3A2-4C8A-8670-6FED0F98D125}"/>
    <cellStyle name="Normal 2 7 2 2 5" xfId="11438" xr:uid="{0D78355A-1C33-44E6-ADE0-92F3A7529C88}"/>
    <cellStyle name="Normal 2 7 2 2 6" xfId="11439" xr:uid="{16DDD15C-9AF7-473D-B3FF-672805A49813}"/>
    <cellStyle name="Normal 2 7 2 2 7" xfId="11440" xr:uid="{0C925148-6CF2-495F-9234-AA081685E6C8}"/>
    <cellStyle name="Normal 2 7 2 2 8" xfId="11441" xr:uid="{3F215AD1-7569-4E92-9A1B-B44DBC3DC79F}"/>
    <cellStyle name="Normal 2 7 2 2 9" xfId="11442" xr:uid="{4A9C856D-A30E-4983-944F-BCFE7E893260}"/>
    <cellStyle name="Normal 2 7 2 20" xfId="11443" xr:uid="{75BDB252-495E-4A41-92C3-3F22FF469C14}"/>
    <cellStyle name="Normal 2 7 2 21" xfId="11444" xr:uid="{EE1A32C7-22CC-4FCB-ACA9-C98C7190E46E}"/>
    <cellStyle name="Normal 2 7 2 22" xfId="11445" xr:uid="{D8390CF8-A56E-4094-8DF6-A18DC22A0F2E}"/>
    <cellStyle name="Normal 2 7 2 23" xfId="11446" xr:uid="{443CF62D-29C0-40C8-817E-18F936199104}"/>
    <cellStyle name="Normal 2 7 2 24" xfId="11447" xr:uid="{E737FEC4-9649-49F1-8A18-49F12BBB55B6}"/>
    <cellStyle name="Normal 2 7 2 25" xfId="11448" xr:uid="{B1416806-AEE8-4E08-9C19-6853AABDE124}"/>
    <cellStyle name="Normal 2 7 2 26" xfId="11449" xr:uid="{77CF6035-CAF5-4926-9166-98A2A6712BD6}"/>
    <cellStyle name="Normal 2 7 2 27" xfId="11450" xr:uid="{A7D3B541-88D5-42F1-9160-8267D191F919}"/>
    <cellStyle name="Normal 2 7 2 28" xfId="11451" xr:uid="{65DC9777-689E-4187-AE24-0D984DC02F79}"/>
    <cellStyle name="Normal 2 7 2 29" xfId="11452" xr:uid="{B506EF68-5F24-4585-878E-DFE7A6CAAEF4}"/>
    <cellStyle name="Normal 2 7 2 3" xfId="11453" xr:uid="{252E5D4C-C25E-4BCF-BB9E-78D27E46FD03}"/>
    <cellStyle name="Normal 2 7 2 30" xfId="11454" xr:uid="{24259EC2-977C-447A-BE2E-1F0A4B854CB5}"/>
    <cellStyle name="Normal 2 7 2 31" xfId="11455" xr:uid="{D073A999-8BAC-4F82-BFB3-ED26C55674AB}"/>
    <cellStyle name="Normal 2 7 2 32" xfId="11456" xr:uid="{EB8676EB-003E-441B-80FD-9D3C5E66BA43}"/>
    <cellStyle name="Normal 2 7 2 33" xfId="11457" xr:uid="{E6C27BC5-D6FB-4678-942A-FE98429DF7BC}"/>
    <cellStyle name="Normal 2 7 2 34" xfId="11458" xr:uid="{5C088775-1F54-4C5C-B743-8D92C25E8CBF}"/>
    <cellStyle name="Normal 2 7 2 35" xfId="11459" xr:uid="{0A30DFC6-7F3C-4064-A4FF-6D647954C7F2}"/>
    <cellStyle name="Normal 2 7 2 36" xfId="11460" xr:uid="{AA9EAB84-161B-472F-8A38-8BA5B3A133D9}"/>
    <cellStyle name="Normal 2 7 2 37" xfId="11461" xr:uid="{1808930B-78F0-4559-A998-5C221DB469CE}"/>
    <cellStyle name="Normal 2 7 2 38" xfId="11462" xr:uid="{03756361-BE78-4FF8-B7B0-54E1EB61FB13}"/>
    <cellStyle name="Normal 2 7 2 39" xfId="11463" xr:uid="{BBF2DCE9-C816-48EC-A1BE-9810A7F86BEF}"/>
    <cellStyle name="Normal 2 7 2 4" xfId="11464" xr:uid="{D6E6B990-1082-42AB-94E6-36ED6EC16147}"/>
    <cellStyle name="Normal 2 7 2 40" xfId="11465" xr:uid="{219D8EDB-8961-4318-A47E-244FFCE7BD4E}"/>
    <cellStyle name="Normal 2 7 2 5" xfId="11466" xr:uid="{ABAF75DD-05D2-44DE-95EA-FB8E5BA73C87}"/>
    <cellStyle name="Normal 2 7 2 6" xfId="11467" xr:uid="{B3985139-1DCA-4F60-944E-D831545234AF}"/>
    <cellStyle name="Normal 2 7 2 7" xfId="11468" xr:uid="{C4485600-7BB4-4F1C-9596-00FE5D1D515E}"/>
    <cellStyle name="Normal 2 7 2 8" xfId="11469" xr:uid="{5E1D8E33-A2B3-43F7-8B8C-5678F6F0C9E8}"/>
    <cellStyle name="Normal 2 7 2 9" xfId="11470" xr:uid="{69DCED30-A407-49A3-911E-9E0B8C0A30C8}"/>
    <cellStyle name="Normal 2 7 20" xfId="11471" xr:uid="{AC8DF11D-E15D-4E64-84B2-E58BC06CF951}"/>
    <cellStyle name="Normal 2 7 21" xfId="11472" xr:uid="{3C61D32F-0846-4F74-97F5-8EF1D84D49F2}"/>
    <cellStyle name="Normal 2 7 22" xfId="11473" xr:uid="{9FE6D967-383F-4476-BF83-14A849215F4E}"/>
    <cellStyle name="Normal 2 7 23" xfId="11474" xr:uid="{60F250DA-ED90-4B3F-8B78-ACA662741AD9}"/>
    <cellStyle name="Normal 2 7 24" xfId="11475" xr:uid="{65337D29-BA15-431B-B1C9-3B3028B74F57}"/>
    <cellStyle name="Normal 2 7 25" xfId="11476" xr:uid="{6FAD803A-F06A-425F-A5FF-C8C44F941E27}"/>
    <cellStyle name="Normal 2 7 26" xfId="11477" xr:uid="{112BCCE1-143C-49CD-8F0A-89E19D09AAE3}"/>
    <cellStyle name="Normal 2 7 27" xfId="11478" xr:uid="{40CA250D-6A89-4D22-96BE-A12375AEC82D}"/>
    <cellStyle name="Normal 2 7 28" xfId="11479" xr:uid="{4B5AB845-31D3-478C-B132-B509AD35D3C3}"/>
    <cellStyle name="Normal 2 7 29" xfId="11480" xr:uid="{05932AE6-E000-4577-910F-6CCCC5038DA0}"/>
    <cellStyle name="Normal 2 7 3" xfId="11481" xr:uid="{94981B9B-62EF-4EE2-8E71-140193D36C61}"/>
    <cellStyle name="Normal 2 7 3 10" xfId="11482" xr:uid="{C165DDB1-02CE-4C85-BB29-6C10AC593935}"/>
    <cellStyle name="Normal 2 7 3 11" xfId="11483" xr:uid="{9A1216C9-8006-4B50-9615-B8DA6E7DBBB0}"/>
    <cellStyle name="Normal 2 7 3 12" xfId="11484" xr:uid="{4E3A4F7F-ED59-4A94-BC85-0CE1F29EA60C}"/>
    <cellStyle name="Normal 2 7 3 13" xfId="11485" xr:uid="{236A35BC-6FAB-46A1-8526-D6237996DAB0}"/>
    <cellStyle name="Normal 2 7 3 14" xfId="11486" xr:uid="{EBF3900C-17B2-4D00-8F36-D4655080AE5E}"/>
    <cellStyle name="Normal 2 7 3 15" xfId="11487" xr:uid="{7B488033-7657-474B-B2D5-26DFAF06D12F}"/>
    <cellStyle name="Normal 2 7 3 16" xfId="11488" xr:uid="{7205E384-6C70-4CD8-A4A9-4D1D5F610C88}"/>
    <cellStyle name="Normal 2 7 3 17" xfId="11489" xr:uid="{6ECE1717-FE98-40A1-83B4-D0C1F0FA8006}"/>
    <cellStyle name="Normal 2 7 3 18" xfId="11490" xr:uid="{203ABD05-65DC-4031-8384-C19D7C34AC3D}"/>
    <cellStyle name="Normal 2 7 3 19" xfId="11491" xr:uid="{8956C605-5A86-4C46-B3CA-64F739810087}"/>
    <cellStyle name="Normal 2 7 3 2" xfId="11492" xr:uid="{5EDC5376-394C-404E-AD2F-0AE5EAF78ED8}"/>
    <cellStyle name="Normal 2 7 3 2 10" xfId="11493" xr:uid="{DE19CCD9-655F-4B51-808B-9D2DEAC41AEC}"/>
    <cellStyle name="Normal 2 7 3 2 11" xfId="11494" xr:uid="{2BF2D86D-B30C-4878-B8FF-78BD9AA1125F}"/>
    <cellStyle name="Normal 2 7 3 2 12" xfId="11495" xr:uid="{6CA70E9A-7C5B-4EBB-9ADC-14983930DBF1}"/>
    <cellStyle name="Normal 2 7 3 2 13" xfId="11496" xr:uid="{3AA356D3-8474-4520-B9CB-B9F9B5DBF0B5}"/>
    <cellStyle name="Normal 2 7 3 2 14" xfId="11497" xr:uid="{4759EA56-92A1-4B92-8483-0E49898C5410}"/>
    <cellStyle name="Normal 2 7 3 2 15" xfId="11498" xr:uid="{1C99FB03-40E2-4585-B4E9-6AA0CD2D6A23}"/>
    <cellStyle name="Normal 2 7 3 2 16" xfId="11499" xr:uid="{7097C309-2D58-47A2-A5F5-A3F18B7F138E}"/>
    <cellStyle name="Normal 2 7 3 2 17" xfId="11500" xr:uid="{8AD16138-F959-43F4-A9F2-983CC9BB1ED0}"/>
    <cellStyle name="Normal 2 7 3 2 18" xfId="11501" xr:uid="{53065F49-F69F-4FDD-9D63-D52FCFC1C267}"/>
    <cellStyle name="Normal 2 7 3 2 19" xfId="11502" xr:uid="{FDFDE24D-B7F5-4E49-8A0D-5A8A55380865}"/>
    <cellStyle name="Normal 2 7 3 2 2" xfId="11503" xr:uid="{D6BE699A-FAFB-4CDF-8AD6-C5F07D084B59}"/>
    <cellStyle name="Normal 2 7 3 2 20" xfId="11504" xr:uid="{229EE9DA-F718-4837-B430-F60B2C066C45}"/>
    <cellStyle name="Normal 2 7 3 2 21" xfId="11505" xr:uid="{79095AA5-43F1-4B26-AC69-564031A3AF71}"/>
    <cellStyle name="Normal 2 7 3 2 22" xfId="11506" xr:uid="{CD1856E0-560B-467E-86B9-F9AB33C15204}"/>
    <cellStyle name="Normal 2 7 3 2 23" xfId="11507" xr:uid="{493E295C-4BC8-4263-AE34-F2AFC6237CA1}"/>
    <cellStyle name="Normal 2 7 3 2 24" xfId="11508" xr:uid="{343F9388-8412-4DA7-AC8B-BBE36F760C20}"/>
    <cellStyle name="Normal 2 7 3 2 25" xfId="11509" xr:uid="{26484B75-6B10-4240-BA7C-C2759289109C}"/>
    <cellStyle name="Normal 2 7 3 2 26" xfId="11510" xr:uid="{EEF5943C-2735-4215-94D6-70560440D534}"/>
    <cellStyle name="Normal 2 7 3 2 27" xfId="11511" xr:uid="{73372E8B-B732-463E-A781-6F8E57A693DC}"/>
    <cellStyle name="Normal 2 7 3 2 28" xfId="11512" xr:uid="{652A3D32-0C39-4949-9B9C-4181BE8494CC}"/>
    <cellStyle name="Normal 2 7 3 2 29" xfId="11513" xr:uid="{83EAB896-1544-4EA3-B5F2-AF4C2202BFD2}"/>
    <cellStyle name="Normal 2 7 3 2 3" xfId="11514" xr:uid="{EE31BF19-0488-4E9A-8FAB-6DA90750BD50}"/>
    <cellStyle name="Normal 2 7 3 2 30" xfId="11515" xr:uid="{A88B192D-6600-48BF-9729-14CFBAA89304}"/>
    <cellStyle name="Normal 2 7 3 2 31" xfId="11516" xr:uid="{E6FD2146-DC56-425F-9950-44F587BA09D0}"/>
    <cellStyle name="Normal 2 7 3 2 32" xfId="11517" xr:uid="{9CE2138C-7EE1-42D1-B236-20191DBED879}"/>
    <cellStyle name="Normal 2 7 3 2 33" xfId="11518" xr:uid="{C9A226FA-DF8E-4E64-BA66-6AE6B18A350F}"/>
    <cellStyle name="Normal 2 7 3 2 34" xfId="11519" xr:uid="{9A5FF5C5-9A0B-44C5-BF34-E6E16C8E0474}"/>
    <cellStyle name="Normal 2 7 3 2 35" xfId="11520" xr:uid="{5B3EA97E-FC91-468C-94B0-6085B97494B3}"/>
    <cellStyle name="Normal 2 7 3 2 36" xfId="11521" xr:uid="{BA00C696-15B3-4004-845F-4AA826C85261}"/>
    <cellStyle name="Normal 2 7 3 2 37" xfId="11522" xr:uid="{06363DC8-343D-4ADB-8A49-B87E07727B0D}"/>
    <cellStyle name="Normal 2 7 3 2 38" xfId="11523" xr:uid="{7FA88120-D014-47B5-B9C3-B018CE4E501D}"/>
    <cellStyle name="Normal 2 7 3 2 4" xfId="11524" xr:uid="{140498A8-7A71-4735-8B41-D04704A37596}"/>
    <cellStyle name="Normal 2 7 3 2 5" xfId="11525" xr:uid="{3C362C3B-0743-41FF-9DC6-B745D2BBC850}"/>
    <cellStyle name="Normal 2 7 3 2 6" xfId="11526" xr:uid="{5F06D445-D18D-4F38-A5F5-5F1863D9E278}"/>
    <cellStyle name="Normal 2 7 3 2 7" xfId="11527" xr:uid="{8151DD8A-7FA7-4925-97AF-776F616B2AA4}"/>
    <cellStyle name="Normal 2 7 3 2 8" xfId="11528" xr:uid="{995140CA-7ED4-4416-814D-C23D3D15A6CB}"/>
    <cellStyle name="Normal 2 7 3 2 9" xfId="11529" xr:uid="{CC9DA3F7-3C5C-4897-8B7A-0EC81ADE071B}"/>
    <cellStyle name="Normal 2 7 3 20" xfId="11530" xr:uid="{AF95AA6E-1042-4BB9-89C9-9975B332267D}"/>
    <cellStyle name="Normal 2 7 3 21" xfId="11531" xr:uid="{2EB4F8AD-57DF-4941-B629-0510E37AA8C8}"/>
    <cellStyle name="Normal 2 7 3 22" xfId="11532" xr:uid="{898670D4-E6F6-4FD3-AE27-DCE79852E752}"/>
    <cellStyle name="Normal 2 7 3 23" xfId="11533" xr:uid="{1041348A-0D29-4A6C-AB42-31EEC56AA160}"/>
    <cellStyle name="Normal 2 7 3 24" xfId="11534" xr:uid="{0A93F80D-C598-4793-A681-DC28002EF145}"/>
    <cellStyle name="Normal 2 7 3 25" xfId="11535" xr:uid="{491D549C-1249-453B-972F-39DABFB4AD86}"/>
    <cellStyle name="Normal 2 7 3 26" xfId="11536" xr:uid="{0A6C720F-5A86-4B7C-BEC6-966E89710ECE}"/>
    <cellStyle name="Normal 2 7 3 27" xfId="11537" xr:uid="{27CBC5B1-CDAE-4B14-A9BA-06B0D2B006CA}"/>
    <cellStyle name="Normal 2 7 3 28" xfId="11538" xr:uid="{FBF4BE74-ADBD-43F6-8099-765FC8546A2D}"/>
    <cellStyle name="Normal 2 7 3 29" xfId="11539" xr:uid="{2D205A7A-5B8D-4519-88C2-F736A5D826E2}"/>
    <cellStyle name="Normal 2 7 3 3" xfId="11540" xr:uid="{D075B02E-220C-40C4-A746-120F23B402D3}"/>
    <cellStyle name="Normal 2 7 3 30" xfId="11541" xr:uid="{E04FFE74-FAB3-46E3-B473-EBD14B26A787}"/>
    <cellStyle name="Normal 2 7 3 31" xfId="11542" xr:uid="{4C00942A-47E5-4C6D-B576-D5C9D13098A2}"/>
    <cellStyle name="Normal 2 7 3 32" xfId="11543" xr:uid="{6DBDA4D1-4E0D-4199-AEF9-F94A28781111}"/>
    <cellStyle name="Normal 2 7 3 33" xfId="11544" xr:uid="{2D994A65-6B95-4C90-BF35-1D24989E7124}"/>
    <cellStyle name="Normal 2 7 3 34" xfId="11545" xr:uid="{533BF5E5-DA75-43E2-9E8A-C3456863F691}"/>
    <cellStyle name="Normal 2 7 3 35" xfId="11546" xr:uid="{2A98F0F8-0302-4F6B-B405-CDC044D3D595}"/>
    <cellStyle name="Normal 2 7 3 36" xfId="11547" xr:uid="{FCE850ED-C0EE-4C4B-A97D-67B1E76214C9}"/>
    <cellStyle name="Normal 2 7 3 37" xfId="11548" xr:uid="{1FF3EE31-C0D3-4237-8DBD-93EA84896516}"/>
    <cellStyle name="Normal 2 7 3 38" xfId="11549" xr:uid="{9D995EF4-00C6-4273-B78D-D43BCDA26D09}"/>
    <cellStyle name="Normal 2 7 3 4" xfId="11550" xr:uid="{5D910713-F4ED-41BB-AB49-110F7A62E4F7}"/>
    <cellStyle name="Normal 2 7 3 5" xfId="11551" xr:uid="{34A6A693-FDEB-489E-A165-5873463450E7}"/>
    <cellStyle name="Normal 2 7 3 6" xfId="11552" xr:uid="{212E2CF0-4F50-487B-9E94-B7D971DE3530}"/>
    <cellStyle name="Normal 2 7 3 7" xfId="11553" xr:uid="{6D1477B4-183A-4E8D-B363-F301836CE288}"/>
    <cellStyle name="Normal 2 7 3 8" xfId="11554" xr:uid="{8088FD24-C3B7-46A2-AEF3-B4371EF2BA3C}"/>
    <cellStyle name="Normal 2 7 3 9" xfId="11555" xr:uid="{9730D4AA-C8E1-4A4B-A525-99072B6B7EFB}"/>
    <cellStyle name="Normal 2 7 30" xfId="11556" xr:uid="{04D23872-9B7E-489A-A02C-5E1FF527A79B}"/>
    <cellStyle name="Normal 2 7 31" xfId="11557" xr:uid="{66D3FFBD-E31F-4F69-A0CB-A453C26671C2}"/>
    <cellStyle name="Normal 2 7 32" xfId="11558" xr:uid="{2BE02C20-AC81-482A-84DB-82996100C961}"/>
    <cellStyle name="Normal 2 7 33" xfId="11559" xr:uid="{1EDC10EB-4365-470A-8919-492F7404BCFE}"/>
    <cellStyle name="Normal 2 7 34" xfId="11560" xr:uid="{F2F82FDE-6BFC-47F8-B54F-F3D1B01A92B1}"/>
    <cellStyle name="Normal 2 7 35" xfId="11561" xr:uid="{7D770D6A-1781-4B9D-B84F-2C53326B2F74}"/>
    <cellStyle name="Normal 2 7 36" xfId="11562" xr:uid="{93EE1EC9-FE39-4B6D-ABB4-FA6819CCC8E0}"/>
    <cellStyle name="Normal 2 7 37" xfId="11563" xr:uid="{5DD9F624-8402-4D66-8834-A82721521FD4}"/>
    <cellStyle name="Normal 2 7 38" xfId="11564" xr:uid="{25ADFDB5-1D66-4302-ADCD-61681B814EF6}"/>
    <cellStyle name="Normal 2 7 39" xfId="11565" xr:uid="{6F219306-D971-42C2-BD60-D244285CE198}"/>
    <cellStyle name="Normal 2 7 4" xfId="11566" xr:uid="{108E8633-0F9B-4EB0-9E77-C119F24FDBB1}"/>
    <cellStyle name="Normal 2 7 40" xfId="11567" xr:uid="{D0427FC4-2609-4240-AE99-2421E9877AC7}"/>
    <cellStyle name="Normal 2 7 5" xfId="11568" xr:uid="{3EE4AE41-A52A-454E-BE1D-89E37904ECB2}"/>
    <cellStyle name="Normal 2 7 6" xfId="11569" xr:uid="{ADEEB3CA-631F-4947-BE97-C9ED399C51F9}"/>
    <cellStyle name="Normal 2 7 7" xfId="11570" xr:uid="{AB74DBF0-07FA-4D40-81B3-0015636FEAC4}"/>
    <cellStyle name="Normal 2 7 8" xfId="11571" xr:uid="{EBB842BA-6B22-4692-8270-1C921A69A322}"/>
    <cellStyle name="Normal 2 7 9" xfId="11572" xr:uid="{EE4A0D8E-C8F4-42F3-96C2-5C21D4135175}"/>
    <cellStyle name="Normal 2 8" xfId="11573" xr:uid="{5085593C-546F-452D-B8E0-8545F4D3A13C}"/>
    <cellStyle name="Normal 2 8 10" xfId="11574" xr:uid="{C6416FB3-C131-4D35-B074-5C163AE0BAC6}"/>
    <cellStyle name="Normal 2 8 11" xfId="11575" xr:uid="{E1EFFECA-EDA3-4258-B1DB-E7306D539E7D}"/>
    <cellStyle name="Normal 2 8 12" xfId="11576" xr:uid="{7A1AD358-B1A8-46B4-B341-4EECD684F580}"/>
    <cellStyle name="Normal 2 8 13" xfId="11577" xr:uid="{94A180E9-E2C1-4F80-BAF4-7C3BE28C2006}"/>
    <cellStyle name="Normal 2 8 14" xfId="11578" xr:uid="{46816CC3-1E81-46F6-B896-9A1D2521FC02}"/>
    <cellStyle name="Normal 2 8 15" xfId="11579" xr:uid="{9563E01D-26A3-4F0F-961C-31960EA92BBD}"/>
    <cellStyle name="Normal 2 8 16" xfId="11580" xr:uid="{FDFB95F4-5D74-43CF-A591-ABD1882B4033}"/>
    <cellStyle name="Normal 2 8 17" xfId="11581" xr:uid="{D38250C7-8726-4D92-87AF-ED5C3507D8EF}"/>
    <cellStyle name="Normal 2 8 18" xfId="11582" xr:uid="{F8132EFA-AA30-4E19-91C9-629777384C3B}"/>
    <cellStyle name="Normal 2 8 19" xfId="11583" xr:uid="{D06C1B83-9427-4A25-8439-28AC48EC2847}"/>
    <cellStyle name="Normal 2 8 2" xfId="11584" xr:uid="{2E51D411-0EC1-45B2-8510-DE15F35F2742}"/>
    <cellStyle name="Normal 2 8 2 10" xfId="11585" xr:uid="{CBBD42AA-9E17-412D-B3D2-03C1C0BEC84E}"/>
    <cellStyle name="Normal 2 8 2 11" xfId="11586" xr:uid="{A057AE7D-8147-4728-B840-60E7B1087431}"/>
    <cellStyle name="Normal 2 8 2 12" xfId="11587" xr:uid="{053855BD-D34C-4FFE-9373-D945ED893395}"/>
    <cellStyle name="Normal 2 8 2 13" xfId="11588" xr:uid="{60F27EFD-1E68-4881-B61C-F1F76E5981FF}"/>
    <cellStyle name="Normal 2 8 2 14" xfId="11589" xr:uid="{EE11D858-0873-4CE2-9CF5-BAA1846A2207}"/>
    <cellStyle name="Normal 2 8 2 15" xfId="11590" xr:uid="{040A15AC-2F99-43AE-9C0E-ADFE22D0B84A}"/>
    <cellStyle name="Normal 2 8 2 16" xfId="11591" xr:uid="{509AFD37-FB5B-45C2-9A9B-3C3A35DC7545}"/>
    <cellStyle name="Normal 2 8 2 17" xfId="11592" xr:uid="{C117135E-1BFA-4F93-80AC-C2947C182691}"/>
    <cellStyle name="Normal 2 8 2 18" xfId="11593" xr:uid="{F5FE9372-14FB-4856-9033-C442E10FA05F}"/>
    <cellStyle name="Normal 2 8 2 19" xfId="11594" xr:uid="{BB958113-830F-4D26-BEC1-0636635D17BA}"/>
    <cellStyle name="Normal 2 8 2 2" xfId="11595" xr:uid="{2AE11ED8-1B5D-44C4-83EB-D7510F58FFAA}"/>
    <cellStyle name="Normal 2 8 2 2 10" xfId="11596" xr:uid="{BD9D555D-3009-447E-8F2F-C6333A9F64D7}"/>
    <cellStyle name="Normal 2 8 2 2 11" xfId="11597" xr:uid="{2F3178EB-0FA7-41E7-8010-06FEB09B197B}"/>
    <cellStyle name="Normal 2 8 2 2 12" xfId="11598" xr:uid="{9C1CB27C-EBCA-42B5-A29D-458025D18C9F}"/>
    <cellStyle name="Normal 2 8 2 2 13" xfId="11599" xr:uid="{3144282B-291F-4935-B22E-8C1B618093F2}"/>
    <cellStyle name="Normal 2 8 2 2 14" xfId="11600" xr:uid="{A7B8926B-8536-4F04-B9BC-A4616AB3637B}"/>
    <cellStyle name="Normal 2 8 2 2 15" xfId="11601" xr:uid="{302E1DEB-2A64-4F43-9022-722260D75054}"/>
    <cellStyle name="Normal 2 8 2 2 16" xfId="11602" xr:uid="{EF1F10ED-AA6E-447A-A161-22F104241ADA}"/>
    <cellStyle name="Normal 2 8 2 2 17" xfId="11603" xr:uid="{ACFCFDA7-F8E7-4489-A414-46BEF3B8A3F9}"/>
    <cellStyle name="Normal 2 8 2 2 18" xfId="11604" xr:uid="{5163BF50-4D10-426A-8327-99D641F4719E}"/>
    <cellStyle name="Normal 2 8 2 2 19" xfId="11605" xr:uid="{D27FD4C3-E978-4237-9A19-FAE0A83DBE5E}"/>
    <cellStyle name="Normal 2 8 2 2 2" xfId="11606" xr:uid="{F9F8B8C8-A232-4E5C-B4E7-1C2B5E1BD535}"/>
    <cellStyle name="Normal 2 8 2 2 2 10" xfId="11607" xr:uid="{76050187-2AAA-41E9-A0F9-946BF39FF1F9}"/>
    <cellStyle name="Normal 2 8 2 2 2 11" xfId="11608" xr:uid="{DC0C61EA-FC90-4ABB-8A39-C789C22CEB58}"/>
    <cellStyle name="Normal 2 8 2 2 2 12" xfId="11609" xr:uid="{FA08CD45-427B-45B4-A66D-62A4E0A7E39B}"/>
    <cellStyle name="Normal 2 8 2 2 2 13" xfId="11610" xr:uid="{D8A8113C-5F1E-4FCB-8079-5B5796766075}"/>
    <cellStyle name="Normal 2 8 2 2 2 14" xfId="11611" xr:uid="{BBBB3BC5-7AC0-4370-9628-75B507189941}"/>
    <cellStyle name="Normal 2 8 2 2 2 15" xfId="11612" xr:uid="{FFAD73F3-39E4-4931-A98A-90B1A1F2793C}"/>
    <cellStyle name="Normal 2 8 2 2 2 16" xfId="11613" xr:uid="{2A90DF90-5A6B-466F-B4B0-8A0EE73F5D7B}"/>
    <cellStyle name="Normal 2 8 2 2 2 17" xfId="11614" xr:uid="{8D638002-3E25-417B-BDCA-9039F06649DB}"/>
    <cellStyle name="Normal 2 8 2 2 2 18" xfId="11615" xr:uid="{7EE65D40-A2E6-4E34-9632-1E023737453D}"/>
    <cellStyle name="Normal 2 8 2 2 2 19" xfId="11616" xr:uid="{3BEB3A33-956E-4BD5-9286-AFD1E8FAAD12}"/>
    <cellStyle name="Normal 2 8 2 2 2 2" xfId="11617" xr:uid="{94710FA6-1B89-4A3F-8D49-0888B946F1AE}"/>
    <cellStyle name="Normal 2 8 2 2 2 20" xfId="11618" xr:uid="{576251F8-3206-4CE2-964F-7DD5B5F5E046}"/>
    <cellStyle name="Normal 2 8 2 2 2 21" xfId="11619" xr:uid="{707E590D-F97D-4189-8670-5BAE6D15BFB7}"/>
    <cellStyle name="Normal 2 8 2 2 2 22" xfId="11620" xr:uid="{7985A950-ED76-4E2F-81FF-2EF8A6C3C1B5}"/>
    <cellStyle name="Normal 2 8 2 2 2 23" xfId="11621" xr:uid="{0A0AA408-1891-4867-9786-8DD010E334B0}"/>
    <cellStyle name="Normal 2 8 2 2 2 24" xfId="11622" xr:uid="{64D3975F-2E6D-4F34-9AE7-8EB27FBFE2AE}"/>
    <cellStyle name="Normal 2 8 2 2 2 25" xfId="11623" xr:uid="{E96F5259-466A-4F84-B22C-732C2DC7786E}"/>
    <cellStyle name="Normal 2 8 2 2 2 26" xfId="11624" xr:uid="{DF3F5EC1-257A-413C-AF8A-2A361F335F2D}"/>
    <cellStyle name="Normal 2 8 2 2 2 27" xfId="11625" xr:uid="{B6F8BE50-BDE1-4A04-AD0D-17ECA0193952}"/>
    <cellStyle name="Normal 2 8 2 2 2 28" xfId="11626" xr:uid="{246D5225-A356-4D5E-9987-CC16AFB94A9C}"/>
    <cellStyle name="Normal 2 8 2 2 2 29" xfId="11627" xr:uid="{8B113780-46D0-4092-8A6F-BB68BBB00EDE}"/>
    <cellStyle name="Normal 2 8 2 2 2 3" xfId="11628" xr:uid="{98FA69C7-0FEB-48B6-A7B5-624618F549E2}"/>
    <cellStyle name="Normal 2 8 2 2 2 30" xfId="11629" xr:uid="{CA67C86B-1860-42A1-A656-AB93C4435022}"/>
    <cellStyle name="Normal 2 8 2 2 2 31" xfId="11630" xr:uid="{66C5A10E-49EC-4E75-BBA1-DAF840E8CB91}"/>
    <cellStyle name="Normal 2 8 2 2 2 32" xfId="11631" xr:uid="{7194538E-8B1C-4CFB-B853-64B6E5F0AB03}"/>
    <cellStyle name="Normal 2 8 2 2 2 33" xfId="11632" xr:uid="{C2DDAECC-BA99-47D5-AC73-7A3DDC9A5522}"/>
    <cellStyle name="Normal 2 8 2 2 2 34" xfId="11633" xr:uid="{2E476C0B-0B0F-447B-96ED-61CE14A76145}"/>
    <cellStyle name="Normal 2 8 2 2 2 35" xfId="11634" xr:uid="{2570FF5A-EE6C-406E-95D8-CA020D4EB0A7}"/>
    <cellStyle name="Normal 2 8 2 2 2 36" xfId="11635" xr:uid="{AB9B3AE9-7918-477E-AACA-267C84B33DED}"/>
    <cellStyle name="Normal 2 8 2 2 2 37" xfId="11636" xr:uid="{D6573656-8BC6-4E7F-9F67-8CAF53A8956C}"/>
    <cellStyle name="Normal 2 8 2 2 2 38" xfId="11637" xr:uid="{6BD00D79-6469-4F8F-AF58-52BAAEAB6084}"/>
    <cellStyle name="Normal 2 8 2 2 2 4" xfId="11638" xr:uid="{3F06CC13-21E6-4F75-9603-52BD1445B8AF}"/>
    <cellStyle name="Normal 2 8 2 2 2 5" xfId="11639" xr:uid="{40F85044-C635-4FA4-BF8D-F385A0D733E2}"/>
    <cellStyle name="Normal 2 8 2 2 2 6" xfId="11640" xr:uid="{E887B381-B652-4A11-83AC-433F471A15B5}"/>
    <cellStyle name="Normal 2 8 2 2 2 7" xfId="11641" xr:uid="{5BF09B18-2EFB-4118-91F0-CB8E247045F5}"/>
    <cellStyle name="Normal 2 8 2 2 2 8" xfId="11642" xr:uid="{F6D2FFC2-1A7E-4876-8EA4-0AD68618E332}"/>
    <cellStyle name="Normal 2 8 2 2 2 9" xfId="11643" xr:uid="{F8D1ED00-1C6A-493C-896C-D5505C59E9AA}"/>
    <cellStyle name="Normal 2 8 2 2 20" xfId="11644" xr:uid="{FA6712A2-BCF0-4A13-9EDA-182F26E54A3B}"/>
    <cellStyle name="Normal 2 8 2 2 21" xfId="11645" xr:uid="{4E244C25-6F65-4277-B5FB-D4BFB79AD104}"/>
    <cellStyle name="Normal 2 8 2 2 22" xfId="11646" xr:uid="{ED068167-756C-4F5E-ACF6-F7A60261578E}"/>
    <cellStyle name="Normal 2 8 2 2 23" xfId="11647" xr:uid="{62F87956-A8E1-4A67-87BF-673100847A7D}"/>
    <cellStyle name="Normal 2 8 2 2 24" xfId="11648" xr:uid="{5AA45BF7-ECA5-49DC-824F-1811FC59E6D4}"/>
    <cellStyle name="Normal 2 8 2 2 25" xfId="11649" xr:uid="{F9AFED84-B9E4-4F04-B9E2-5F36E55D44DD}"/>
    <cellStyle name="Normal 2 8 2 2 26" xfId="11650" xr:uid="{248FB4D2-AC65-43CA-B479-83161F2CB6B5}"/>
    <cellStyle name="Normal 2 8 2 2 27" xfId="11651" xr:uid="{21597A02-D207-4A45-A001-560B5C2DB7D4}"/>
    <cellStyle name="Normal 2 8 2 2 28" xfId="11652" xr:uid="{884D5ECB-0014-4708-8FD5-B30F0CD1B251}"/>
    <cellStyle name="Normal 2 8 2 2 29" xfId="11653" xr:uid="{EC66231E-7384-491F-87D6-18B51299469E}"/>
    <cellStyle name="Normal 2 8 2 2 3" xfId="11654" xr:uid="{F199CECC-B092-4C2C-85DB-528D2C454BD1}"/>
    <cellStyle name="Normal 2 8 2 2 30" xfId="11655" xr:uid="{17472A9B-9F5F-4E63-9A21-ECCB391D2801}"/>
    <cellStyle name="Normal 2 8 2 2 31" xfId="11656" xr:uid="{3189B6D5-139F-494F-ACD9-DC2122BD5A26}"/>
    <cellStyle name="Normal 2 8 2 2 32" xfId="11657" xr:uid="{8A9717AD-AB0D-49CB-AC97-642D8EE838DF}"/>
    <cellStyle name="Normal 2 8 2 2 33" xfId="11658" xr:uid="{B1CB6382-F49F-4961-81E0-00191FC559CF}"/>
    <cellStyle name="Normal 2 8 2 2 34" xfId="11659" xr:uid="{E8EDBC28-3B68-4255-A7FA-A2AB230220A3}"/>
    <cellStyle name="Normal 2 8 2 2 35" xfId="11660" xr:uid="{098BE77C-6335-4AC7-856E-93D9ADE2DBE8}"/>
    <cellStyle name="Normal 2 8 2 2 36" xfId="11661" xr:uid="{8C481542-FAD4-4E8B-8CF5-2253883949E8}"/>
    <cellStyle name="Normal 2 8 2 2 37" xfId="11662" xr:uid="{E2A1CD00-ADFF-48C5-94CF-1439B9429B60}"/>
    <cellStyle name="Normal 2 8 2 2 38" xfId="11663" xr:uid="{EA0BCBA7-F34C-4C85-8F09-6171E88689A1}"/>
    <cellStyle name="Normal 2 8 2 2 4" xfId="11664" xr:uid="{755C1E0F-94ED-485F-82C9-303F60E3E3B4}"/>
    <cellStyle name="Normal 2 8 2 2 5" xfId="11665" xr:uid="{ACA45DB5-D5F8-454D-A082-099A9C8382DF}"/>
    <cellStyle name="Normal 2 8 2 2 6" xfId="11666" xr:uid="{D5252B4E-4E34-4D09-BCBF-954052C7BDD7}"/>
    <cellStyle name="Normal 2 8 2 2 7" xfId="11667" xr:uid="{D21A07A2-0054-458E-BF74-3A0A8AC09843}"/>
    <cellStyle name="Normal 2 8 2 2 8" xfId="11668" xr:uid="{CC8E4566-6518-41CD-B1F2-7741AEC795B8}"/>
    <cellStyle name="Normal 2 8 2 2 9" xfId="11669" xr:uid="{4B458BBA-FC9C-405E-9B8A-C0F0BC266425}"/>
    <cellStyle name="Normal 2 8 2 20" xfId="11670" xr:uid="{4707E146-5F6B-4FB2-B175-3C3B118FEDDB}"/>
    <cellStyle name="Normal 2 8 2 21" xfId="11671" xr:uid="{8175A448-94D5-49F7-AE48-54F21558EBCC}"/>
    <cellStyle name="Normal 2 8 2 22" xfId="11672" xr:uid="{B1D1D691-E13B-48BB-B909-95D5D92E1314}"/>
    <cellStyle name="Normal 2 8 2 23" xfId="11673" xr:uid="{39DD1D38-83EE-4986-8723-7331DB30A488}"/>
    <cellStyle name="Normal 2 8 2 24" xfId="11674" xr:uid="{A3AC9BE1-41BF-4185-A5A1-59F83F83EB5B}"/>
    <cellStyle name="Normal 2 8 2 25" xfId="11675" xr:uid="{F7720A8C-5AD7-4FFD-BA78-8872FF181AC5}"/>
    <cellStyle name="Normal 2 8 2 26" xfId="11676" xr:uid="{55061E34-88CC-4946-8FAB-068813909A08}"/>
    <cellStyle name="Normal 2 8 2 27" xfId="11677" xr:uid="{B49F3321-E5E3-42B2-9EFF-3F8732454359}"/>
    <cellStyle name="Normal 2 8 2 28" xfId="11678" xr:uid="{4A0816E2-6824-4D68-AA8F-38E2B87C62E4}"/>
    <cellStyle name="Normal 2 8 2 29" xfId="11679" xr:uid="{25C6EC6A-2F30-4241-B6EC-D320A8788B6B}"/>
    <cellStyle name="Normal 2 8 2 3" xfId="11680" xr:uid="{408EEA33-554A-4587-B390-7609C04E626C}"/>
    <cellStyle name="Normal 2 8 2 30" xfId="11681" xr:uid="{CC838465-8842-4C79-9292-DACE82E5B43F}"/>
    <cellStyle name="Normal 2 8 2 31" xfId="11682" xr:uid="{9EDCF288-C520-45DB-8DA5-8BE2F801152F}"/>
    <cellStyle name="Normal 2 8 2 32" xfId="11683" xr:uid="{94896B5B-D01E-4C9A-B105-B1B4746C3AB1}"/>
    <cellStyle name="Normal 2 8 2 33" xfId="11684" xr:uid="{B295B937-CE99-45C2-90B1-16C34A27BD39}"/>
    <cellStyle name="Normal 2 8 2 34" xfId="11685" xr:uid="{7245517C-5938-4F3D-ACBE-EC3D3AA425CB}"/>
    <cellStyle name="Normal 2 8 2 35" xfId="11686" xr:uid="{AA3525BD-B1EE-489D-8FA8-CE8F28AE8446}"/>
    <cellStyle name="Normal 2 8 2 36" xfId="11687" xr:uid="{C9D8EF60-133E-47B5-B5D9-7D981438DE03}"/>
    <cellStyle name="Normal 2 8 2 37" xfId="11688" xr:uid="{B46CF793-0A69-42B9-8C7E-3481A35661B9}"/>
    <cellStyle name="Normal 2 8 2 38" xfId="11689" xr:uid="{52637FBD-9A43-4F1E-A1DD-38B521100808}"/>
    <cellStyle name="Normal 2 8 2 39" xfId="11690" xr:uid="{74F9FE1A-2853-4D03-AD98-BC83CCC6443E}"/>
    <cellStyle name="Normal 2 8 2 4" xfId="11691" xr:uid="{4EF396AC-60D3-493A-9433-537A2C32DA70}"/>
    <cellStyle name="Normal 2 8 2 40" xfId="11692" xr:uid="{EC3C7DE0-49B7-467E-BFDB-E9BFF0390C6A}"/>
    <cellStyle name="Normal 2 8 2 5" xfId="11693" xr:uid="{90881F32-4BFE-427C-8A7B-85FBE876AA03}"/>
    <cellStyle name="Normal 2 8 2 6" xfId="11694" xr:uid="{D3012596-171D-4EAD-BBEA-B511108538F0}"/>
    <cellStyle name="Normal 2 8 2 7" xfId="11695" xr:uid="{CB973DF6-A5F0-4091-A27E-B7C4EEFF5650}"/>
    <cellStyle name="Normal 2 8 2 8" xfId="11696" xr:uid="{049336D2-42AA-42D9-9446-B9DC1E2FFAA3}"/>
    <cellStyle name="Normal 2 8 2 9" xfId="11697" xr:uid="{385C29F8-AC92-453D-A86A-029FF92233DD}"/>
    <cellStyle name="Normal 2 8 20" xfId="11698" xr:uid="{02A7BB14-6BEA-45BD-BE5C-BB3659D15C44}"/>
    <cellStyle name="Normal 2 8 21" xfId="11699" xr:uid="{3D8D6464-2AE7-470D-ABEE-57AACA4AAAE1}"/>
    <cellStyle name="Normal 2 8 22" xfId="11700" xr:uid="{828D6419-4B8D-41B9-8C1C-FE620637F224}"/>
    <cellStyle name="Normal 2 8 23" xfId="11701" xr:uid="{6D698E88-8956-4E4D-AA29-ADDF9DD06A7E}"/>
    <cellStyle name="Normal 2 8 24" xfId="11702" xr:uid="{4342D2CD-4444-4C67-A51C-15F936A8121D}"/>
    <cellStyle name="Normal 2 8 25" xfId="11703" xr:uid="{79B3EC78-F2C4-4875-9D9C-5951052A5F8D}"/>
    <cellStyle name="Normal 2 8 26" xfId="11704" xr:uid="{DCBA7617-F664-411F-8F6F-6C4987321735}"/>
    <cellStyle name="Normal 2 8 27" xfId="11705" xr:uid="{12D8F1BA-E51C-45A6-8D11-378D7BB2B77E}"/>
    <cellStyle name="Normal 2 8 28" xfId="11706" xr:uid="{EAB780FC-97A5-4476-8C4F-AEFAF54462A9}"/>
    <cellStyle name="Normal 2 8 29" xfId="11707" xr:uid="{9CE3B038-C0D9-411F-8518-2375B0453422}"/>
    <cellStyle name="Normal 2 8 3" xfId="11708" xr:uid="{7966FDB2-757A-44E4-A342-97BEE1726BE5}"/>
    <cellStyle name="Normal 2 8 3 10" xfId="11709" xr:uid="{F24F5892-533C-4335-8787-05D90BED06C3}"/>
    <cellStyle name="Normal 2 8 3 11" xfId="11710" xr:uid="{FA5EAC46-4808-4926-9514-17A35CEDE4C4}"/>
    <cellStyle name="Normal 2 8 3 12" xfId="11711" xr:uid="{4295D90D-D072-49DC-8482-E179661CB503}"/>
    <cellStyle name="Normal 2 8 3 13" xfId="11712" xr:uid="{B0D504BD-28CB-4EE5-93AA-2AA481367CB2}"/>
    <cellStyle name="Normal 2 8 3 14" xfId="11713" xr:uid="{53E57121-B05F-4AEF-8A67-BE8A3A758DEB}"/>
    <cellStyle name="Normal 2 8 3 15" xfId="11714" xr:uid="{18380002-51E0-4906-A2EE-F6F51D0EAC7D}"/>
    <cellStyle name="Normal 2 8 3 16" xfId="11715" xr:uid="{CAA1BF40-7AB5-4792-A68E-25613E1EEEB7}"/>
    <cellStyle name="Normal 2 8 3 17" xfId="11716" xr:uid="{E5BCFA5B-F396-4DAB-852B-336ADDBF982F}"/>
    <cellStyle name="Normal 2 8 3 18" xfId="11717" xr:uid="{F7678DE3-E328-4738-9E60-59C0BA035D44}"/>
    <cellStyle name="Normal 2 8 3 19" xfId="11718" xr:uid="{FB6859BE-8263-4BEA-8B3C-3F6CC8211B52}"/>
    <cellStyle name="Normal 2 8 3 2" xfId="11719" xr:uid="{D018C0C8-3AD7-4C73-ADD2-C0EEAF0E630D}"/>
    <cellStyle name="Normal 2 8 3 2 10" xfId="11720" xr:uid="{C73CE89E-DD09-4A49-B448-9A590924297A}"/>
    <cellStyle name="Normal 2 8 3 2 11" xfId="11721" xr:uid="{73FF92C3-3D3A-426E-BF09-F42BA01ADFE0}"/>
    <cellStyle name="Normal 2 8 3 2 12" xfId="11722" xr:uid="{B8CFD6EB-5DF4-4254-94DC-DF9431036E0F}"/>
    <cellStyle name="Normal 2 8 3 2 13" xfId="11723" xr:uid="{A4CCD7D0-8B08-488B-BC24-62A5872A87E8}"/>
    <cellStyle name="Normal 2 8 3 2 14" xfId="11724" xr:uid="{BF3A164B-1C8C-4BD1-9051-156AD308D242}"/>
    <cellStyle name="Normal 2 8 3 2 15" xfId="11725" xr:uid="{95FA3CC1-1404-4DFA-AE53-E08131BA886E}"/>
    <cellStyle name="Normal 2 8 3 2 16" xfId="11726" xr:uid="{D9154A3F-1543-48D9-95D1-FDCFF0977A66}"/>
    <cellStyle name="Normal 2 8 3 2 17" xfId="11727" xr:uid="{B29A10F4-7A9E-4420-B07E-E1ED18E5B750}"/>
    <cellStyle name="Normal 2 8 3 2 18" xfId="11728" xr:uid="{2F24272D-6D28-4724-93D7-0331F141E946}"/>
    <cellStyle name="Normal 2 8 3 2 19" xfId="11729" xr:uid="{AFDFA311-C188-40DB-A974-E53BD42CBA7C}"/>
    <cellStyle name="Normal 2 8 3 2 2" xfId="11730" xr:uid="{553EF29A-0183-4CE5-8AF9-2E66EC16AB47}"/>
    <cellStyle name="Normal 2 8 3 2 20" xfId="11731" xr:uid="{59067ABF-B881-4F33-862B-AA5543CC394A}"/>
    <cellStyle name="Normal 2 8 3 2 21" xfId="11732" xr:uid="{746BE755-DB77-4CF9-8F99-3C01F18DC54A}"/>
    <cellStyle name="Normal 2 8 3 2 22" xfId="11733" xr:uid="{BEEBDE0D-3C5E-4835-8EE1-4DC17E51BE22}"/>
    <cellStyle name="Normal 2 8 3 2 23" xfId="11734" xr:uid="{B0A956F3-1372-495C-A031-E2A8CBE2846D}"/>
    <cellStyle name="Normal 2 8 3 2 24" xfId="11735" xr:uid="{46C68357-FA2F-4C16-887F-9640CBD04788}"/>
    <cellStyle name="Normal 2 8 3 2 25" xfId="11736" xr:uid="{25B1ED86-678C-4A76-B06E-C59A21A28210}"/>
    <cellStyle name="Normal 2 8 3 2 26" xfId="11737" xr:uid="{85350011-03EE-442B-A935-748A6D7CE163}"/>
    <cellStyle name="Normal 2 8 3 2 27" xfId="11738" xr:uid="{202E4C75-C08D-4340-AFF2-3D2CBD3CC443}"/>
    <cellStyle name="Normal 2 8 3 2 28" xfId="11739" xr:uid="{89496968-463E-4A24-847E-98C56E271BC9}"/>
    <cellStyle name="Normal 2 8 3 2 29" xfId="11740" xr:uid="{844A7585-1A50-4C6B-89D7-592075AB5C09}"/>
    <cellStyle name="Normal 2 8 3 2 3" xfId="11741" xr:uid="{C2DCD696-77D5-4DAB-8075-3756B602F94F}"/>
    <cellStyle name="Normal 2 8 3 2 30" xfId="11742" xr:uid="{5F24DECE-86B9-425E-BA5F-953AAA15D8C2}"/>
    <cellStyle name="Normal 2 8 3 2 31" xfId="11743" xr:uid="{1DB26A96-5AF3-4DE8-869D-E761D784EBCB}"/>
    <cellStyle name="Normal 2 8 3 2 32" xfId="11744" xr:uid="{73DB5941-5272-4C0C-826A-219D6A3F9DAB}"/>
    <cellStyle name="Normal 2 8 3 2 33" xfId="11745" xr:uid="{234BADBC-CA7C-46A7-8C1A-0CB6BF134C8A}"/>
    <cellStyle name="Normal 2 8 3 2 34" xfId="11746" xr:uid="{ED136480-5D3E-4D3F-8016-A053AAB9110D}"/>
    <cellStyle name="Normal 2 8 3 2 35" xfId="11747" xr:uid="{F07EAD8C-BFF2-442B-9265-A075B24FE9F4}"/>
    <cellStyle name="Normal 2 8 3 2 36" xfId="11748" xr:uid="{2640C135-ADA9-451F-8CDD-48E48FD873D7}"/>
    <cellStyle name="Normal 2 8 3 2 37" xfId="11749" xr:uid="{E4F78A05-5126-4B6E-B584-B1E21CF5AA2B}"/>
    <cellStyle name="Normal 2 8 3 2 38" xfId="11750" xr:uid="{205152B2-47D8-4D0F-A0C4-E4F7E69E113C}"/>
    <cellStyle name="Normal 2 8 3 2 4" xfId="11751" xr:uid="{A661D91A-1224-4E7F-9064-C1D85EBF83F2}"/>
    <cellStyle name="Normal 2 8 3 2 5" xfId="11752" xr:uid="{54C5E6DE-76BE-41DE-83F3-AE8CC589F4E7}"/>
    <cellStyle name="Normal 2 8 3 2 6" xfId="11753" xr:uid="{6FCF3558-23DC-4EB3-8865-270A16EBF9B3}"/>
    <cellStyle name="Normal 2 8 3 2 7" xfId="11754" xr:uid="{AC058379-6976-4F45-8F5A-4FF41B828F8B}"/>
    <cellStyle name="Normal 2 8 3 2 8" xfId="11755" xr:uid="{4B74B9D7-DD7B-49AB-867D-2A1F57C1F61E}"/>
    <cellStyle name="Normal 2 8 3 2 9" xfId="11756" xr:uid="{7FC16A60-4C0E-4C85-B2D7-5C64A17BDC00}"/>
    <cellStyle name="Normal 2 8 3 20" xfId="11757" xr:uid="{DCF904BA-4B0E-4F32-9561-0CDDE8BC1B3E}"/>
    <cellStyle name="Normal 2 8 3 21" xfId="11758" xr:uid="{62005026-C23F-43A4-8FB0-9F66F886EEAD}"/>
    <cellStyle name="Normal 2 8 3 22" xfId="11759" xr:uid="{69C0A2AB-6D65-4DD4-8CED-AEE78862C042}"/>
    <cellStyle name="Normal 2 8 3 23" xfId="11760" xr:uid="{E9EC037B-B46A-4EAC-863B-D0A3F59DCD87}"/>
    <cellStyle name="Normal 2 8 3 24" xfId="11761" xr:uid="{F0A3B18C-E113-4235-B6EB-D9803EDAD39A}"/>
    <cellStyle name="Normal 2 8 3 25" xfId="11762" xr:uid="{833EEFEF-C2A2-4AF8-990B-8A9D0601AF2E}"/>
    <cellStyle name="Normal 2 8 3 26" xfId="11763" xr:uid="{49E45E3B-90B1-4E86-8CD8-DF30285FB05A}"/>
    <cellStyle name="Normal 2 8 3 27" xfId="11764" xr:uid="{C7FE8F7F-8285-4AD1-B3DF-D8D9439507C3}"/>
    <cellStyle name="Normal 2 8 3 28" xfId="11765" xr:uid="{525F0926-A358-4EF0-8F47-9546E1976E37}"/>
    <cellStyle name="Normal 2 8 3 29" xfId="11766" xr:uid="{3DAB0CCC-ADAF-4AA1-B76E-E9F09BEA1976}"/>
    <cellStyle name="Normal 2 8 3 3" xfId="11767" xr:uid="{23BEA4D7-E157-4189-8B96-070C33C706B9}"/>
    <cellStyle name="Normal 2 8 3 30" xfId="11768" xr:uid="{B8D6DA44-6C82-4812-A428-7CF826A70043}"/>
    <cellStyle name="Normal 2 8 3 31" xfId="11769" xr:uid="{77347B90-26F4-4BC2-8A25-BF1F9DEC913B}"/>
    <cellStyle name="Normal 2 8 3 32" xfId="11770" xr:uid="{68503CB2-31D1-48BD-BC13-07F85DC8BB3B}"/>
    <cellStyle name="Normal 2 8 3 33" xfId="11771" xr:uid="{D68BF6E6-95CC-4DFE-95B0-C22800D0490F}"/>
    <cellStyle name="Normal 2 8 3 34" xfId="11772" xr:uid="{0387A5C6-380B-4FB8-9F56-B45FC44EEB24}"/>
    <cellStyle name="Normal 2 8 3 35" xfId="11773" xr:uid="{6FFCB675-D54E-466E-A375-DFA263EF9CC2}"/>
    <cellStyle name="Normal 2 8 3 36" xfId="11774" xr:uid="{34C9A415-E378-44C5-89BA-C5377A5E3670}"/>
    <cellStyle name="Normal 2 8 3 37" xfId="11775" xr:uid="{68D902FF-449F-47FC-86EB-2344D5DF5D14}"/>
    <cellStyle name="Normal 2 8 3 38" xfId="11776" xr:uid="{96B514CB-F350-4338-82FF-5E2901CE039F}"/>
    <cellStyle name="Normal 2 8 3 4" xfId="11777" xr:uid="{97669EFD-D078-4945-AC09-F7D82FC9A42D}"/>
    <cellStyle name="Normal 2 8 3 5" xfId="11778" xr:uid="{FB37FA17-F170-46FD-8B1D-0D8D27A6EA31}"/>
    <cellStyle name="Normal 2 8 3 6" xfId="11779" xr:uid="{51D9161A-03B6-44B1-BABB-26D2956AA96B}"/>
    <cellStyle name="Normal 2 8 3 7" xfId="11780" xr:uid="{88D2B792-C138-4236-92BB-BA2ED34781D8}"/>
    <cellStyle name="Normal 2 8 3 8" xfId="11781" xr:uid="{8750C0FC-6117-47FD-AE10-F9D367387329}"/>
    <cellStyle name="Normal 2 8 3 9" xfId="11782" xr:uid="{18A1FA3F-7413-42E7-986A-7D722D2CF7A8}"/>
    <cellStyle name="Normal 2 8 30" xfId="11783" xr:uid="{1B47ADCA-42C6-4D78-AB36-D8D902D485E1}"/>
    <cellStyle name="Normal 2 8 31" xfId="11784" xr:uid="{E90E6E59-90BF-4DC5-8353-FF7086CF71A1}"/>
    <cellStyle name="Normal 2 8 32" xfId="11785" xr:uid="{B234DF6D-EFB0-4F76-A207-B078B121D999}"/>
    <cellStyle name="Normal 2 8 33" xfId="11786" xr:uid="{8F8B182A-D3EE-4ED4-965E-76BC4D5E564C}"/>
    <cellStyle name="Normal 2 8 34" xfId="11787" xr:uid="{3C2AFFD5-2EE4-4B1C-BB31-5F1A1F5F3993}"/>
    <cellStyle name="Normal 2 8 35" xfId="11788" xr:uid="{89FB0664-4D8D-40BE-9493-1FD718CAF076}"/>
    <cellStyle name="Normal 2 8 36" xfId="11789" xr:uid="{D6C5F3E4-0ADF-4380-B54A-D45E2656D9BE}"/>
    <cellStyle name="Normal 2 8 37" xfId="11790" xr:uid="{28A43E47-6A6D-44B5-B00C-B9DF941BC52E}"/>
    <cellStyle name="Normal 2 8 38" xfId="11791" xr:uid="{238D001A-81BB-4A84-915D-5F661FACAFC7}"/>
    <cellStyle name="Normal 2 8 39" xfId="11792" xr:uid="{5B3E02C5-45CF-4006-B496-F7C5D2AE4694}"/>
    <cellStyle name="Normal 2 8 4" xfId="11793" xr:uid="{4FCA0DF8-9069-4B25-8FDE-C17F2DCCE5C1}"/>
    <cellStyle name="Normal 2 8 40" xfId="11794" xr:uid="{79AC9BA5-7B36-417F-BD38-B266BBA1DA54}"/>
    <cellStyle name="Normal 2 8 5" xfId="11795" xr:uid="{DD6F5A71-21A0-4722-B0F5-DCF854F42E42}"/>
    <cellStyle name="Normal 2 8 6" xfId="11796" xr:uid="{777D997A-E9A7-4B69-BA27-73839C723CB5}"/>
    <cellStyle name="Normal 2 8 7" xfId="11797" xr:uid="{CEC262B7-A12C-4477-9DAA-76B3EB17CD3F}"/>
    <cellStyle name="Normal 2 8 8" xfId="11798" xr:uid="{711C7E20-F7A1-4533-83E1-6341A14F39E0}"/>
    <cellStyle name="Normal 2 8 9" xfId="11799" xr:uid="{48716FA1-4B01-414D-8B48-5299DB6A9622}"/>
    <cellStyle name="Normal 2 9" xfId="11800" xr:uid="{801872C1-7C7A-4A93-B4E8-16D63B08EB9B}"/>
    <cellStyle name="Normal 2 9 10" xfId="11801" xr:uid="{DCD0644B-B621-44E0-9671-723273BC029D}"/>
    <cellStyle name="Normal 2 9 11" xfId="11802" xr:uid="{EE56CF43-5F1D-4C62-B4E0-7DB498EF0337}"/>
    <cellStyle name="Normal 2 9 12" xfId="11803" xr:uid="{E84F8514-0605-4014-9CDA-E3FA2F623E65}"/>
    <cellStyle name="Normal 2 9 13" xfId="11804" xr:uid="{3B9F6388-D535-4B74-8984-06ED1E2E3EFF}"/>
    <cellStyle name="Normal 2 9 14" xfId="11805" xr:uid="{7AEAB3E1-F3A5-41F2-9747-64B4ED73AF5C}"/>
    <cellStyle name="Normal 2 9 15" xfId="11806" xr:uid="{83B5AE78-9081-4DFC-A53C-5B9E3C047C91}"/>
    <cellStyle name="Normal 2 9 16" xfId="11807" xr:uid="{69C88467-0BB3-4DD6-B894-EF336E8BFC68}"/>
    <cellStyle name="Normal 2 9 17" xfId="11808" xr:uid="{3D22AD19-FD53-432F-AC54-6D18A26DDFB9}"/>
    <cellStyle name="Normal 2 9 18" xfId="11809" xr:uid="{6B22CFBB-E70B-4CE6-AC5C-5F2795805029}"/>
    <cellStyle name="Normal 2 9 19" xfId="11810" xr:uid="{AA4B8FE3-F706-4733-93B7-EB14147E39AE}"/>
    <cellStyle name="Normal 2 9 2" xfId="11811" xr:uid="{FC0AD989-B3E7-4D38-97C9-77EB4A112177}"/>
    <cellStyle name="Normal 2 9 2 10" xfId="11812" xr:uid="{3FBC0032-3D02-4115-B2C5-77BD5167DBDE}"/>
    <cellStyle name="Normal 2 9 2 11" xfId="11813" xr:uid="{7C6F2C9A-DCD5-4BBC-BFCE-CB28D53DC600}"/>
    <cellStyle name="Normal 2 9 2 12" xfId="11814" xr:uid="{BE7FE30D-F417-4146-93B2-3165EB035F4D}"/>
    <cellStyle name="Normal 2 9 2 13" xfId="11815" xr:uid="{93F3AAC8-BFFD-465D-A108-9DD57EB24E4E}"/>
    <cellStyle name="Normal 2 9 2 14" xfId="11816" xr:uid="{CA372271-A854-4CC5-BE6E-EB0EB71E6AAC}"/>
    <cellStyle name="Normal 2 9 2 15" xfId="11817" xr:uid="{87495E12-C5DB-4105-B4B5-8704A8133565}"/>
    <cellStyle name="Normal 2 9 2 16" xfId="11818" xr:uid="{280C5C1C-401C-447D-9D75-BCDB7F010312}"/>
    <cellStyle name="Normal 2 9 2 17" xfId="11819" xr:uid="{69C5F8A2-CB4E-4E0F-847C-E8125B4BE61F}"/>
    <cellStyle name="Normal 2 9 2 18" xfId="11820" xr:uid="{85B75602-8068-4785-B55B-7C4FC59D211C}"/>
    <cellStyle name="Normal 2 9 2 19" xfId="11821" xr:uid="{E1554088-9ED9-4137-BD86-D747D0D346A2}"/>
    <cellStyle name="Normal 2 9 2 2" xfId="11822" xr:uid="{FD21FF6F-0F08-4995-9936-2A2C846A0E4E}"/>
    <cellStyle name="Normal 2 9 2 2 10" xfId="11823" xr:uid="{9D8D63A8-C213-409C-AD9A-0F670529E3CF}"/>
    <cellStyle name="Normal 2 9 2 2 11" xfId="11824" xr:uid="{B85DED62-0DCB-46D2-97FB-6414806CC6AD}"/>
    <cellStyle name="Normal 2 9 2 2 12" xfId="11825" xr:uid="{D49942B3-9C54-4AC5-ABBB-77713B7DB541}"/>
    <cellStyle name="Normal 2 9 2 2 13" xfId="11826" xr:uid="{BF7CFAFC-E76A-4211-9723-86615976AEF5}"/>
    <cellStyle name="Normal 2 9 2 2 14" xfId="11827" xr:uid="{D21C29A4-84D2-4ADB-9A8F-755616AC82DD}"/>
    <cellStyle name="Normal 2 9 2 2 15" xfId="11828" xr:uid="{A39842C8-5E94-454D-8D9E-65AB729EE5F6}"/>
    <cellStyle name="Normal 2 9 2 2 16" xfId="11829" xr:uid="{97C78BD1-5B66-4535-BF0D-F3ADABB668E5}"/>
    <cellStyle name="Normal 2 9 2 2 17" xfId="11830" xr:uid="{6693D154-A2DC-4A68-880D-363B36CDBC71}"/>
    <cellStyle name="Normal 2 9 2 2 18" xfId="11831" xr:uid="{62885181-77A3-4417-9AE6-0FD4C830DBFA}"/>
    <cellStyle name="Normal 2 9 2 2 19" xfId="11832" xr:uid="{7F7169D7-F9C5-4126-8FC3-0075DFCFF373}"/>
    <cellStyle name="Normal 2 9 2 2 2" xfId="11833" xr:uid="{0EA2902A-27CF-4FFB-8C31-43BBF9990669}"/>
    <cellStyle name="Normal 2 9 2 2 2 10" xfId="11834" xr:uid="{C30182E1-83C1-466C-B571-99E32304B801}"/>
    <cellStyle name="Normal 2 9 2 2 2 11" xfId="11835" xr:uid="{87793966-2C3A-4A25-BA2C-0093EAC8284F}"/>
    <cellStyle name="Normal 2 9 2 2 2 12" xfId="11836" xr:uid="{DC5378E8-AB5C-4C08-BCE1-9F663802F0FB}"/>
    <cellStyle name="Normal 2 9 2 2 2 13" xfId="11837" xr:uid="{7F31B762-DA82-4ABF-8E03-3408DB3BF2B1}"/>
    <cellStyle name="Normal 2 9 2 2 2 14" xfId="11838" xr:uid="{4411921B-9A95-4789-AD54-3EE2490AA032}"/>
    <cellStyle name="Normal 2 9 2 2 2 15" xfId="11839" xr:uid="{C2FD9E0A-F2FC-4011-8EAF-65E77A7F56AC}"/>
    <cellStyle name="Normal 2 9 2 2 2 16" xfId="11840" xr:uid="{D66B201B-8A98-48E4-B4B6-70E29DC33E9C}"/>
    <cellStyle name="Normal 2 9 2 2 2 17" xfId="11841" xr:uid="{F0A70FC7-6088-46FF-A464-1759CEB25967}"/>
    <cellStyle name="Normal 2 9 2 2 2 18" xfId="11842" xr:uid="{E3D544D7-4C3E-4F59-88D6-77987928FEC9}"/>
    <cellStyle name="Normal 2 9 2 2 2 19" xfId="11843" xr:uid="{C86C04B0-531F-490C-A830-0AF7C926AB9F}"/>
    <cellStyle name="Normal 2 9 2 2 2 2" xfId="11844" xr:uid="{A91232E5-68D4-4A59-8566-BB9485F19249}"/>
    <cellStyle name="Normal 2 9 2 2 2 20" xfId="11845" xr:uid="{5A24F640-C9E1-48CB-9F42-6B4D9FFAD8F7}"/>
    <cellStyle name="Normal 2 9 2 2 2 21" xfId="11846" xr:uid="{1AC342CD-287A-463E-B019-ABA9F0B07C64}"/>
    <cellStyle name="Normal 2 9 2 2 2 22" xfId="11847" xr:uid="{62AE2127-F480-4097-B15A-F43A6AE65C05}"/>
    <cellStyle name="Normal 2 9 2 2 2 23" xfId="11848" xr:uid="{ED402FD2-BEB6-4398-8309-0493A9E59B21}"/>
    <cellStyle name="Normal 2 9 2 2 2 24" xfId="11849" xr:uid="{74653B34-DD18-4F7E-9AAA-D06E35D91066}"/>
    <cellStyle name="Normal 2 9 2 2 2 25" xfId="11850" xr:uid="{E974F20D-FE0A-4362-BC97-E7A1919092FE}"/>
    <cellStyle name="Normal 2 9 2 2 2 26" xfId="11851" xr:uid="{D77950F6-CD86-4A90-ABEB-2A591C2472EC}"/>
    <cellStyle name="Normal 2 9 2 2 2 27" xfId="11852" xr:uid="{A3549065-4430-44D9-9E7B-F1590ED765B7}"/>
    <cellStyle name="Normal 2 9 2 2 2 28" xfId="11853" xr:uid="{084A2837-0271-4883-B0E3-E6A288F392E8}"/>
    <cellStyle name="Normal 2 9 2 2 2 29" xfId="11854" xr:uid="{5F056B1C-AD21-432C-900E-D32844529BC2}"/>
    <cellStyle name="Normal 2 9 2 2 2 3" xfId="11855" xr:uid="{CB136172-1EC6-4471-A4B6-CEFDCE8FCD60}"/>
    <cellStyle name="Normal 2 9 2 2 2 30" xfId="11856" xr:uid="{CE5FC15C-7BB3-4219-A4F4-11A9D0291483}"/>
    <cellStyle name="Normal 2 9 2 2 2 31" xfId="11857" xr:uid="{35922C20-76BE-4D62-8198-80E7717A8151}"/>
    <cellStyle name="Normal 2 9 2 2 2 32" xfId="11858" xr:uid="{1B0644F3-2E69-4CDC-81E4-09D410A90E06}"/>
    <cellStyle name="Normal 2 9 2 2 2 33" xfId="11859" xr:uid="{0C2B04CC-4F61-49D8-AE52-17837DB4E9E2}"/>
    <cellStyle name="Normal 2 9 2 2 2 34" xfId="11860" xr:uid="{1CE7BEFB-152B-4479-A36C-404B65E8C858}"/>
    <cellStyle name="Normal 2 9 2 2 2 35" xfId="11861" xr:uid="{B7A56E57-D40B-43F4-A351-71B547CD6566}"/>
    <cellStyle name="Normal 2 9 2 2 2 36" xfId="11862" xr:uid="{E8EAFC8A-1A13-4893-A065-2440FCF42533}"/>
    <cellStyle name="Normal 2 9 2 2 2 37" xfId="11863" xr:uid="{B22004FD-BDDA-4BC3-AB62-C682A48DA331}"/>
    <cellStyle name="Normal 2 9 2 2 2 38" xfId="11864" xr:uid="{F38F2829-FB62-4592-8B1A-B89B345D6D1B}"/>
    <cellStyle name="Normal 2 9 2 2 2 4" xfId="11865" xr:uid="{EAE89D4C-C53C-4B26-BE65-E21388AE05B4}"/>
    <cellStyle name="Normal 2 9 2 2 2 5" xfId="11866" xr:uid="{FB2D9DDE-A190-4620-A708-EC5B0BE50860}"/>
    <cellStyle name="Normal 2 9 2 2 2 6" xfId="11867" xr:uid="{84055C84-F369-4A80-812B-52F69DF3E936}"/>
    <cellStyle name="Normal 2 9 2 2 2 7" xfId="11868" xr:uid="{CED9A2C7-0F2A-4314-AE85-7D94282CC15A}"/>
    <cellStyle name="Normal 2 9 2 2 2 8" xfId="11869" xr:uid="{BEE4A2C9-AABE-4D1B-8777-7F70213723B0}"/>
    <cellStyle name="Normal 2 9 2 2 2 9" xfId="11870" xr:uid="{6A90BEC9-FF37-431F-B038-CF5886B65935}"/>
    <cellStyle name="Normal 2 9 2 2 20" xfId="11871" xr:uid="{FA1DECD8-2901-427B-A31A-DEF47354168B}"/>
    <cellStyle name="Normal 2 9 2 2 21" xfId="11872" xr:uid="{FB5698C1-FC4B-440D-BBCA-BE0EDE8838ED}"/>
    <cellStyle name="Normal 2 9 2 2 22" xfId="11873" xr:uid="{9EA83C5E-E79E-46BF-9355-C09E4E90379E}"/>
    <cellStyle name="Normal 2 9 2 2 23" xfId="11874" xr:uid="{A75FC9DC-8E6C-494C-B104-EA9D2562C725}"/>
    <cellStyle name="Normal 2 9 2 2 24" xfId="11875" xr:uid="{A8FC1BE2-8152-4787-A9DA-987138029597}"/>
    <cellStyle name="Normal 2 9 2 2 25" xfId="11876" xr:uid="{2DD1637F-CD5E-4082-BF9C-D5A3DA833F1B}"/>
    <cellStyle name="Normal 2 9 2 2 26" xfId="11877" xr:uid="{94BB83F4-4CF5-4932-94E5-37DADF9843D2}"/>
    <cellStyle name="Normal 2 9 2 2 27" xfId="11878" xr:uid="{E3F3BA7C-BCBF-4395-97CC-3BD055544B14}"/>
    <cellStyle name="Normal 2 9 2 2 28" xfId="11879" xr:uid="{060CF455-E0E4-454D-B85F-2EB7E6546636}"/>
    <cellStyle name="Normal 2 9 2 2 29" xfId="11880" xr:uid="{E9043084-208F-4774-BC5F-D41918426362}"/>
    <cellStyle name="Normal 2 9 2 2 3" xfId="11881" xr:uid="{CB3FA4BB-39E9-46D9-B627-5D8B1B56C1AF}"/>
    <cellStyle name="Normal 2 9 2 2 30" xfId="11882" xr:uid="{E3315E27-3F35-4F32-8BC1-33CCD5A7C1AB}"/>
    <cellStyle name="Normal 2 9 2 2 31" xfId="11883" xr:uid="{C5CA82E8-35FF-4C80-8A79-6B980B1131DD}"/>
    <cellStyle name="Normal 2 9 2 2 32" xfId="11884" xr:uid="{BEEDFCBE-05F7-44A5-8533-5FCB44EEE615}"/>
    <cellStyle name="Normal 2 9 2 2 33" xfId="11885" xr:uid="{5803D962-8DE2-42C7-879F-DCC38F188092}"/>
    <cellStyle name="Normal 2 9 2 2 34" xfId="11886" xr:uid="{3520CA72-8278-429A-A04A-80B8848F1428}"/>
    <cellStyle name="Normal 2 9 2 2 35" xfId="11887" xr:uid="{AD375467-227B-42C3-9F10-69BF11E2D753}"/>
    <cellStyle name="Normal 2 9 2 2 36" xfId="11888" xr:uid="{3E2D470E-9FD8-4068-AB8F-3FC69DCC9975}"/>
    <cellStyle name="Normal 2 9 2 2 37" xfId="11889" xr:uid="{2F4E852B-4B43-481C-9360-01347A942F0B}"/>
    <cellStyle name="Normal 2 9 2 2 38" xfId="11890" xr:uid="{F414F8D7-33A3-4007-8F02-8F9668560B95}"/>
    <cellStyle name="Normal 2 9 2 2 4" xfId="11891" xr:uid="{0E6806CE-E9C1-42F4-99A8-ED24FB8AF9E2}"/>
    <cellStyle name="Normal 2 9 2 2 5" xfId="11892" xr:uid="{1303300B-B57A-464D-BE49-F8A4D9AECD9B}"/>
    <cellStyle name="Normal 2 9 2 2 6" xfId="11893" xr:uid="{1B1260D0-3B98-4471-8858-45BB45F37E1A}"/>
    <cellStyle name="Normal 2 9 2 2 7" xfId="11894" xr:uid="{9FCAE826-C465-4621-8775-B526F959F6C0}"/>
    <cellStyle name="Normal 2 9 2 2 8" xfId="11895" xr:uid="{1FEB0769-EEA4-440E-B906-C1CD3307D88A}"/>
    <cellStyle name="Normal 2 9 2 2 9" xfId="11896" xr:uid="{F2757F07-FB32-42BC-A5AA-00DEFCE59197}"/>
    <cellStyle name="Normal 2 9 2 20" xfId="11897" xr:uid="{031A4C35-B30A-4147-B38F-43A2EB5417D8}"/>
    <cellStyle name="Normal 2 9 2 21" xfId="11898" xr:uid="{2E9A503E-BA3C-43A6-9959-79B7011911DF}"/>
    <cellStyle name="Normal 2 9 2 22" xfId="11899" xr:uid="{35F1C58F-3283-4088-9DEF-1C037EB3569B}"/>
    <cellStyle name="Normal 2 9 2 23" xfId="11900" xr:uid="{E31FB712-FF42-4657-AD0E-1ED2BB447C0C}"/>
    <cellStyle name="Normal 2 9 2 24" xfId="11901" xr:uid="{F73A7B8F-AA4C-49E4-9467-6329051CC750}"/>
    <cellStyle name="Normal 2 9 2 25" xfId="11902" xr:uid="{40D1096A-1F64-43B4-81CA-4A520684F62A}"/>
    <cellStyle name="Normal 2 9 2 26" xfId="11903" xr:uid="{B0B97CB5-BA94-4800-BCE8-9080DE56A111}"/>
    <cellStyle name="Normal 2 9 2 27" xfId="11904" xr:uid="{3AA26B8D-CD60-422F-9862-7EE6D0B2DDB0}"/>
    <cellStyle name="Normal 2 9 2 28" xfId="11905" xr:uid="{AEB6B128-88C3-486E-9D17-4EACE43ED34A}"/>
    <cellStyle name="Normal 2 9 2 29" xfId="11906" xr:uid="{DA9F882F-68C5-4DE8-AF0F-4A7F8B5D9EE9}"/>
    <cellStyle name="Normal 2 9 2 3" xfId="11907" xr:uid="{B51A139A-6670-4916-B07E-F8FFA95C74AD}"/>
    <cellStyle name="Normal 2 9 2 30" xfId="11908" xr:uid="{47ECEB9A-D37F-4AF8-9D91-B7D7AD71DB03}"/>
    <cellStyle name="Normal 2 9 2 31" xfId="11909" xr:uid="{118B14AE-4DE0-4213-A1F0-11A29DDD94BB}"/>
    <cellStyle name="Normal 2 9 2 32" xfId="11910" xr:uid="{7DAD5E2B-F257-47AE-96A9-6BACBF048DC4}"/>
    <cellStyle name="Normal 2 9 2 33" xfId="11911" xr:uid="{3AA0DE02-2884-4C0C-B40B-6BB0366BC01B}"/>
    <cellStyle name="Normal 2 9 2 34" xfId="11912" xr:uid="{2F581CB3-A5DA-4423-87F9-35CF76C4133A}"/>
    <cellStyle name="Normal 2 9 2 35" xfId="11913" xr:uid="{BBE7E06B-BFEC-4D78-AF8B-FB7A6C5198F4}"/>
    <cellStyle name="Normal 2 9 2 36" xfId="11914" xr:uid="{47126F53-55F3-4EF4-875F-C60F497950C8}"/>
    <cellStyle name="Normal 2 9 2 37" xfId="11915" xr:uid="{6BEC7AE7-DD18-4FA8-B419-5FA51C1CFC5B}"/>
    <cellStyle name="Normal 2 9 2 38" xfId="11916" xr:uid="{3F7FE506-7EFE-4DC7-A98B-C3388866A61A}"/>
    <cellStyle name="Normal 2 9 2 39" xfId="11917" xr:uid="{D34D9821-2E2D-4927-9291-E12398B51665}"/>
    <cellStyle name="Normal 2 9 2 4" xfId="11918" xr:uid="{9431FE8A-F96F-4CE2-AB09-E9C1EBC47B58}"/>
    <cellStyle name="Normal 2 9 2 40" xfId="11919" xr:uid="{7D3964C1-7A86-4FDD-B242-E42A88AD2421}"/>
    <cellStyle name="Normal 2 9 2 5" xfId="11920" xr:uid="{2BEE4860-45DF-4A56-A646-E44091A2A4AF}"/>
    <cellStyle name="Normal 2 9 2 6" xfId="11921" xr:uid="{C12E9967-7B12-4DF0-AA83-C6FBCB9D899C}"/>
    <cellStyle name="Normal 2 9 2 7" xfId="11922" xr:uid="{2F18FA96-3CB4-4DEE-B076-DE89DBD257C0}"/>
    <cellStyle name="Normal 2 9 2 8" xfId="11923" xr:uid="{0A6AC435-74CB-4F3A-9A0D-072960AC40A7}"/>
    <cellStyle name="Normal 2 9 2 9" xfId="11924" xr:uid="{BAB99DBC-773A-43FC-A531-CD39BD99F80B}"/>
    <cellStyle name="Normal 2 9 20" xfId="11925" xr:uid="{1CDACA83-68C6-4A7E-BB56-1F5675FCEDD7}"/>
    <cellStyle name="Normal 2 9 21" xfId="11926" xr:uid="{2143FC96-26E3-4E85-BA29-4105286693A7}"/>
    <cellStyle name="Normal 2 9 22" xfId="11927" xr:uid="{E2D3DFA9-F668-4120-B6D6-2869D3A5791B}"/>
    <cellStyle name="Normal 2 9 23" xfId="11928" xr:uid="{7762C4A7-4CD1-4CF8-BE01-F37DB9855F13}"/>
    <cellStyle name="Normal 2 9 24" xfId="11929" xr:uid="{4E7230CF-F89A-4E8D-BB69-A394306D9918}"/>
    <cellStyle name="Normal 2 9 25" xfId="11930" xr:uid="{0DA034C7-85D2-4308-A71A-1D0A1C93F654}"/>
    <cellStyle name="Normal 2 9 26" xfId="11931" xr:uid="{844B43C2-878C-4068-9311-3CB034B7392B}"/>
    <cellStyle name="Normal 2 9 27" xfId="11932" xr:uid="{15EDC8F9-D1A7-4BC7-93EE-3633138F2ADF}"/>
    <cellStyle name="Normal 2 9 28" xfId="11933" xr:uid="{AA414C65-0BAD-4128-8BC4-B3B465E5F936}"/>
    <cellStyle name="Normal 2 9 29" xfId="11934" xr:uid="{13F66341-0549-43D7-8CA4-6381681B4E3E}"/>
    <cellStyle name="Normal 2 9 3" xfId="11935" xr:uid="{6DDA657C-95E7-4BD0-A420-723583F3AA41}"/>
    <cellStyle name="Normal 2 9 3 10" xfId="11936" xr:uid="{2FD0C32D-5B78-4E44-A68B-3B5FC9E788CE}"/>
    <cellStyle name="Normal 2 9 3 11" xfId="11937" xr:uid="{C9BD30AE-726E-4624-B706-8F779F5C7E11}"/>
    <cellStyle name="Normal 2 9 3 12" xfId="11938" xr:uid="{414288E4-2C06-46DF-961D-8D314FCAA824}"/>
    <cellStyle name="Normal 2 9 3 13" xfId="11939" xr:uid="{A69EEFBA-44BF-44DB-A5B3-8ABC3A0B9B5C}"/>
    <cellStyle name="Normal 2 9 3 14" xfId="11940" xr:uid="{6ECE2F1F-E975-4168-868D-0C1ECE2AAEE5}"/>
    <cellStyle name="Normal 2 9 3 15" xfId="11941" xr:uid="{3E05CF76-715C-40CF-8572-5A3EEE3BF7B7}"/>
    <cellStyle name="Normal 2 9 3 16" xfId="11942" xr:uid="{7148BA64-4168-4901-82A7-846FB4D84F5E}"/>
    <cellStyle name="Normal 2 9 3 17" xfId="11943" xr:uid="{032CCFB6-E3E2-4A60-9DA8-BA4FDCF4552A}"/>
    <cellStyle name="Normal 2 9 3 18" xfId="11944" xr:uid="{CF04536E-F5E0-4C13-9E0C-09FE380B9E7C}"/>
    <cellStyle name="Normal 2 9 3 19" xfId="11945" xr:uid="{5035310D-7799-4F47-9FF9-10BC50629E2C}"/>
    <cellStyle name="Normal 2 9 3 2" xfId="11946" xr:uid="{ABD1BA47-0D2B-47F5-A0CD-0280C17282D2}"/>
    <cellStyle name="Normal 2 9 3 2 10" xfId="11947" xr:uid="{0CAAE218-2507-4F04-A83C-80EF36F8250B}"/>
    <cellStyle name="Normal 2 9 3 2 11" xfId="11948" xr:uid="{D06FBE45-8DDE-4963-A3BA-3067CB32441C}"/>
    <cellStyle name="Normal 2 9 3 2 12" xfId="11949" xr:uid="{2EB54DCD-2664-4D03-8E34-AA27CD25ECAB}"/>
    <cellStyle name="Normal 2 9 3 2 13" xfId="11950" xr:uid="{E2C7CC75-DBDE-41B1-9CB8-5ACBCFA46CF5}"/>
    <cellStyle name="Normal 2 9 3 2 14" xfId="11951" xr:uid="{A8367310-064A-4502-842C-A1B1EB2F5C1B}"/>
    <cellStyle name="Normal 2 9 3 2 15" xfId="11952" xr:uid="{BCD150CF-3E21-46E5-A157-1521AF378A04}"/>
    <cellStyle name="Normal 2 9 3 2 16" xfId="11953" xr:uid="{D0F9DD3E-8300-446D-BEC5-6FB591EECF09}"/>
    <cellStyle name="Normal 2 9 3 2 17" xfId="11954" xr:uid="{CA57436C-0013-4D5C-B714-B36C72F8686C}"/>
    <cellStyle name="Normal 2 9 3 2 18" xfId="11955" xr:uid="{09362F2B-9F8B-4BA1-B47B-DE026E12C416}"/>
    <cellStyle name="Normal 2 9 3 2 19" xfId="11956" xr:uid="{BCBB3F79-3471-4C1E-B04C-B0A820D38E91}"/>
    <cellStyle name="Normal 2 9 3 2 2" xfId="11957" xr:uid="{FC86DC1B-34C0-4353-AF94-E9E04FF103C1}"/>
    <cellStyle name="Normal 2 9 3 2 20" xfId="11958" xr:uid="{4AC4D3ED-9EB9-477C-A5C1-76844EEC344F}"/>
    <cellStyle name="Normal 2 9 3 2 21" xfId="11959" xr:uid="{702DC68C-375E-4997-B447-CB6ADEBA5B75}"/>
    <cellStyle name="Normal 2 9 3 2 22" xfId="11960" xr:uid="{8388F09C-36E9-4A20-BA96-DCE84A6A91AD}"/>
    <cellStyle name="Normal 2 9 3 2 23" xfId="11961" xr:uid="{4C523065-6B40-4F84-AE4F-6325E464AD57}"/>
    <cellStyle name="Normal 2 9 3 2 24" xfId="11962" xr:uid="{24F70DEF-DC04-409A-B3BC-2FFCB0143489}"/>
    <cellStyle name="Normal 2 9 3 2 25" xfId="11963" xr:uid="{C9F6201F-75CF-45B5-A8DE-A0B7C7C2F82E}"/>
    <cellStyle name="Normal 2 9 3 2 26" xfId="11964" xr:uid="{6E20BD31-0453-45FE-8B6D-EE031A18C34D}"/>
    <cellStyle name="Normal 2 9 3 2 27" xfId="11965" xr:uid="{A987DBE8-080C-4CD0-8F3C-3850ED00FA38}"/>
    <cellStyle name="Normal 2 9 3 2 28" xfId="11966" xr:uid="{12971FDB-8851-4632-9E76-B3FA7F0662D4}"/>
    <cellStyle name="Normal 2 9 3 2 29" xfId="11967" xr:uid="{8126E14F-F029-48B4-A312-7ACCB9826D68}"/>
    <cellStyle name="Normal 2 9 3 2 3" xfId="11968" xr:uid="{8AE90555-5D67-41D2-B0D6-99D7D11ECA91}"/>
    <cellStyle name="Normal 2 9 3 2 30" xfId="11969" xr:uid="{FBABC689-27B6-470A-9CE2-E544BA08BAA2}"/>
    <cellStyle name="Normal 2 9 3 2 31" xfId="11970" xr:uid="{379A29FE-25FF-4371-8A3F-13B7C37EC0F5}"/>
    <cellStyle name="Normal 2 9 3 2 32" xfId="11971" xr:uid="{9CF65B51-ECFF-44C0-9C68-C6430984BAA1}"/>
    <cellStyle name="Normal 2 9 3 2 33" xfId="11972" xr:uid="{03E356DC-43B8-4BCD-81A5-8557ED58766E}"/>
    <cellStyle name="Normal 2 9 3 2 34" xfId="11973" xr:uid="{144771AF-E3FE-48BB-9ACA-6B4B2DA228F7}"/>
    <cellStyle name="Normal 2 9 3 2 35" xfId="11974" xr:uid="{F331BE2B-6A24-40DA-A126-C30DD5B427E6}"/>
    <cellStyle name="Normal 2 9 3 2 36" xfId="11975" xr:uid="{686F7C4C-5A7C-496B-909F-93C8F6FE015E}"/>
    <cellStyle name="Normal 2 9 3 2 37" xfId="11976" xr:uid="{145B8FA9-6966-4EF9-B483-009653228B2E}"/>
    <cellStyle name="Normal 2 9 3 2 38" xfId="11977" xr:uid="{C4054920-CAD9-47A8-96EC-01BBD2B74B30}"/>
    <cellStyle name="Normal 2 9 3 2 4" xfId="11978" xr:uid="{97237C3A-9179-4A15-A21E-35B6AFB99B76}"/>
    <cellStyle name="Normal 2 9 3 2 5" xfId="11979" xr:uid="{F178CFC9-F750-4CE7-8766-2B611CDABB83}"/>
    <cellStyle name="Normal 2 9 3 2 6" xfId="11980" xr:uid="{F9A9C7B2-ECED-48DB-9413-F12DE6EACA46}"/>
    <cellStyle name="Normal 2 9 3 2 7" xfId="11981" xr:uid="{54B43899-601B-48E7-AAA1-8EBE7BBF2AFF}"/>
    <cellStyle name="Normal 2 9 3 2 8" xfId="11982" xr:uid="{696A1323-9D57-4817-9524-E4417AE399E5}"/>
    <cellStyle name="Normal 2 9 3 2 9" xfId="11983" xr:uid="{FDD7912E-A876-4545-BD38-6AB5F502026E}"/>
    <cellStyle name="Normal 2 9 3 20" xfId="11984" xr:uid="{E82E056C-4AA6-4A74-A35A-2F9C203B7896}"/>
    <cellStyle name="Normal 2 9 3 21" xfId="11985" xr:uid="{08712C14-2D33-4D1C-B49B-86DCADA370C8}"/>
    <cellStyle name="Normal 2 9 3 22" xfId="11986" xr:uid="{D1606368-8B6C-4D7D-B781-78271F6C1051}"/>
    <cellStyle name="Normal 2 9 3 23" xfId="11987" xr:uid="{DB2DDD3B-7612-4886-8B11-1D2434E5E30D}"/>
    <cellStyle name="Normal 2 9 3 24" xfId="11988" xr:uid="{2B8AFDF7-8933-4714-9D93-F9B2DFDF3B9D}"/>
    <cellStyle name="Normal 2 9 3 25" xfId="11989" xr:uid="{6C6FBC2B-5972-41E0-9013-F82A35DA0C11}"/>
    <cellStyle name="Normal 2 9 3 26" xfId="11990" xr:uid="{82CD012F-DAB8-45AE-927E-0D664EB07E36}"/>
    <cellStyle name="Normal 2 9 3 27" xfId="11991" xr:uid="{E395894F-CBB0-40D2-8F4B-D3B2DFD36781}"/>
    <cellStyle name="Normal 2 9 3 28" xfId="11992" xr:uid="{0107A5F4-02B7-4430-9859-01782134741B}"/>
    <cellStyle name="Normal 2 9 3 29" xfId="11993" xr:uid="{ECBAB777-9A05-41F2-985E-7AAA5CC063BC}"/>
    <cellStyle name="Normal 2 9 3 3" xfId="11994" xr:uid="{0FB166E2-7AB4-469F-B68C-75FDFF5B5B7B}"/>
    <cellStyle name="Normal 2 9 3 30" xfId="11995" xr:uid="{7E724956-F6E0-4FC6-BE75-63EAE1126CC5}"/>
    <cellStyle name="Normal 2 9 3 31" xfId="11996" xr:uid="{D0BB3DBA-A42E-4BB7-BF56-30C61A8120E2}"/>
    <cellStyle name="Normal 2 9 3 32" xfId="11997" xr:uid="{4150E876-F38A-4E66-94B4-D1ED4BC1B5B8}"/>
    <cellStyle name="Normal 2 9 3 33" xfId="11998" xr:uid="{C63BD493-3D71-47D2-A0CF-E9B7A9EBCB16}"/>
    <cellStyle name="Normal 2 9 3 34" xfId="11999" xr:uid="{950132A6-DE0A-47BD-8F06-C44C982AA378}"/>
    <cellStyle name="Normal 2 9 3 35" xfId="12000" xr:uid="{24EF4F29-6103-4DE1-B253-C5D980006545}"/>
    <cellStyle name="Normal 2 9 3 36" xfId="12001" xr:uid="{826B4643-48B1-4F87-AE13-F0D4914AE074}"/>
    <cellStyle name="Normal 2 9 3 37" xfId="12002" xr:uid="{C5614287-8207-49C0-9F73-B389150DC160}"/>
    <cellStyle name="Normal 2 9 3 38" xfId="12003" xr:uid="{1435238B-DC5B-4244-839B-158D729A6D02}"/>
    <cellStyle name="Normal 2 9 3 4" xfId="12004" xr:uid="{188CA5B9-300B-4B4C-BEB0-DE03A9554096}"/>
    <cellStyle name="Normal 2 9 3 5" xfId="12005" xr:uid="{E4DA473A-3D5D-4E3F-A997-E4F9F2156653}"/>
    <cellStyle name="Normal 2 9 3 6" xfId="12006" xr:uid="{939258F0-5058-4298-A58F-D9B2A1F8C7D3}"/>
    <cellStyle name="Normal 2 9 3 7" xfId="12007" xr:uid="{4D9C4BED-6DAE-429E-821D-97D1E089E1AD}"/>
    <cellStyle name="Normal 2 9 3 8" xfId="12008" xr:uid="{BDC05ED4-2579-4E22-B912-E4FCE5CC40D9}"/>
    <cellStyle name="Normal 2 9 3 9" xfId="12009" xr:uid="{EBAFB5FD-D1BA-4673-A9AA-194559DA10B9}"/>
    <cellStyle name="Normal 2 9 30" xfId="12010" xr:uid="{8FFD042E-9129-4D3D-9FC1-A00F59DCE2FB}"/>
    <cellStyle name="Normal 2 9 31" xfId="12011" xr:uid="{556D0ABF-C122-4CAE-83B7-36D2DAAC07B7}"/>
    <cellStyle name="Normal 2 9 32" xfId="12012" xr:uid="{F5B67389-9D55-47E4-8509-E0BF9ED9BBB4}"/>
    <cellStyle name="Normal 2 9 33" xfId="12013" xr:uid="{EBCA0865-6A5A-426E-A922-8F1FAA2A2A82}"/>
    <cellStyle name="Normal 2 9 34" xfId="12014" xr:uid="{CBFC6023-FA88-4B55-89C0-455888228582}"/>
    <cellStyle name="Normal 2 9 35" xfId="12015" xr:uid="{C98C044E-B883-4F09-B364-39FC040CF88F}"/>
    <cellStyle name="Normal 2 9 36" xfId="12016" xr:uid="{EE597B74-643A-42BF-979D-A731EE7425A3}"/>
    <cellStyle name="Normal 2 9 37" xfId="12017" xr:uid="{B6C6D0E9-317C-4861-AA67-0BB3C8374580}"/>
    <cellStyle name="Normal 2 9 38" xfId="12018" xr:uid="{705D8D58-97B8-49C7-B945-3C2A8FB2EC4B}"/>
    <cellStyle name="Normal 2 9 39" xfId="12019" xr:uid="{805FAFAE-2E4A-43FE-9A49-5CFDC266FA76}"/>
    <cellStyle name="Normal 2 9 4" xfId="12020" xr:uid="{BDECEABE-5F3C-42FA-993F-C0858F83E6C2}"/>
    <cellStyle name="Normal 2 9 40" xfId="12021" xr:uid="{9AB4F20D-4C01-4C94-A973-6075596B1630}"/>
    <cellStyle name="Normal 2 9 5" xfId="12022" xr:uid="{FFFFC78C-79CC-43FF-AA81-84EB57E26718}"/>
    <cellStyle name="Normal 2 9 6" xfId="12023" xr:uid="{E7B09B2E-947A-4B93-8F77-ED6C5692AE5C}"/>
    <cellStyle name="Normal 2 9 7" xfId="12024" xr:uid="{20F297C6-42F5-4706-8CA0-3C9F1DE11A2E}"/>
    <cellStyle name="Normal 2 9 8" xfId="12025" xr:uid="{C7090028-5CE5-4978-AABE-868EADFE0EB2}"/>
    <cellStyle name="Normal 2 9 9" xfId="12026" xr:uid="{F286500F-F806-409D-9446-9D0F009D3261}"/>
    <cellStyle name="Normal 20" xfId="12027" xr:uid="{67348A08-E2F9-4FC4-91B7-E44C858AD3D7}"/>
    <cellStyle name="Normal 21" xfId="12028" xr:uid="{0FA33FA1-B424-4800-B684-94D1375E4D49}"/>
    <cellStyle name="Normal 21 10" xfId="12029" xr:uid="{145D1604-72B1-418C-A1F1-29A977AB8C29}"/>
    <cellStyle name="Normal 21 11" xfId="12030" xr:uid="{5B2116DA-26B6-4040-ADD9-083FCCC4DC85}"/>
    <cellStyle name="Normal 21 12" xfId="12031" xr:uid="{E32583EE-DB75-4272-A226-D179BE5072C1}"/>
    <cellStyle name="Normal 21 13" xfId="12032" xr:uid="{24F9566F-1EB6-4E9B-87F6-15A97D33DEBA}"/>
    <cellStyle name="Normal 21 14" xfId="12033" xr:uid="{5C63408A-46EE-4302-9389-5CB54F066F19}"/>
    <cellStyle name="Normal 21 15" xfId="12034" xr:uid="{ACCD3003-3FD0-45D1-BFDC-338B6927F3A2}"/>
    <cellStyle name="Normal 21 16" xfId="12035" xr:uid="{08A8471B-E321-4FB8-AF23-9103FB624909}"/>
    <cellStyle name="Normal 21 17" xfId="12036" xr:uid="{E62DD934-0454-4BAF-B476-30424C12149C}"/>
    <cellStyle name="Normal 21 18" xfId="12037" xr:uid="{4A5C285B-0E74-4E18-88C0-01B0F5338976}"/>
    <cellStyle name="Normal 21 19" xfId="12038" xr:uid="{76CB012C-02DD-4133-8215-6618B26F550D}"/>
    <cellStyle name="Normal 21 2" xfId="12039" xr:uid="{3E39952A-90E3-490D-9C38-9E88040827F9}"/>
    <cellStyle name="Normal 21 20" xfId="12040" xr:uid="{DBA4FD90-36BB-459B-AF4B-B05EAAB7F5F9}"/>
    <cellStyle name="Normal 21 21" xfId="12041" xr:uid="{15D8A854-16F3-43E3-AEC3-59EF73088911}"/>
    <cellStyle name="Normal 21 22" xfId="12042" xr:uid="{EC8C0AC1-E861-4DEE-8D69-1690F6AF3FE8}"/>
    <cellStyle name="Normal 21 23" xfId="12043" xr:uid="{B3757F1F-EBE1-4097-9C44-E570D0025554}"/>
    <cellStyle name="Normal 21 24" xfId="12044" xr:uid="{E9ADF198-12F0-4C58-A807-3E2C34F4CDF5}"/>
    <cellStyle name="Normal 21 25" xfId="12045" xr:uid="{95867F14-7717-44BB-BA26-D27D58B87CB1}"/>
    <cellStyle name="Normal 21 26" xfId="12046" xr:uid="{BCA9D4DB-6DC9-4BE7-B3D2-E3D623872C93}"/>
    <cellStyle name="Normal 21 27" xfId="12047" xr:uid="{E99745F4-A287-464D-B209-7475197D8040}"/>
    <cellStyle name="Normal 21 28" xfId="12048" xr:uid="{B4BDFA01-48C6-4608-9160-E7CEFF6A87FE}"/>
    <cellStyle name="Normal 21 29" xfId="12049" xr:uid="{08ACB425-7127-4D54-AF9D-57DBC36C9196}"/>
    <cellStyle name="Normal 21 3" xfId="12050" xr:uid="{0CB43CB7-953C-4CE1-9030-C7B57AA039FB}"/>
    <cellStyle name="Normal 21 30" xfId="12051" xr:uid="{A8707D1F-0509-4532-8C4D-5B064AF2319C}"/>
    <cellStyle name="Normal 21 31" xfId="12052" xr:uid="{108C5644-FDCB-4414-BC21-1324ADFDFF13}"/>
    <cellStyle name="Normal 21 32" xfId="12053" xr:uid="{3CA3B6B5-B70F-46E0-8E92-A254CAC79404}"/>
    <cellStyle name="Normal 21 33" xfId="12054" xr:uid="{D96A9484-5923-415D-95AE-716F998B6708}"/>
    <cellStyle name="Normal 21 34" xfId="12055" xr:uid="{B2C68859-6BFD-43F1-AD61-03AA1101A22A}"/>
    <cellStyle name="Normal 21 35" xfId="12056" xr:uid="{894B5C00-07C5-4FBC-A296-CB719441E253}"/>
    <cellStyle name="Normal 21 36" xfId="12057" xr:uid="{7AC9A72E-1F4F-4E6B-A710-CF1C874ED3A9}"/>
    <cellStyle name="Normal 21 37" xfId="12058" xr:uid="{4B48640F-0135-49D3-98C7-D0B3057D9F95}"/>
    <cellStyle name="Normal 21 38" xfId="12059" xr:uid="{B81E8834-84F2-49CF-BFF3-B97E7D0FDF4C}"/>
    <cellStyle name="Normal 21 39" xfId="12060" xr:uid="{5520B53A-5B9B-47D3-9E33-D9034D98D5C9}"/>
    <cellStyle name="Normal 21 4" xfId="12061" xr:uid="{89B284C1-E866-4623-A590-944E96A71D22}"/>
    <cellStyle name="Normal 21 40" xfId="12062" xr:uid="{74A5D260-7E3A-448E-9ACD-71273B27E5D5}"/>
    <cellStyle name="Normal 21 41" xfId="12063" xr:uid="{655F9FFF-EC8F-4C20-B348-0BE12EB673EB}"/>
    <cellStyle name="Normal 21 42" xfId="12064" xr:uid="{E664666B-38A7-40BC-8090-2A475485FE0D}"/>
    <cellStyle name="Normal 21 43" xfId="12065" xr:uid="{E64FCFA8-909F-470B-B6D1-A691AF6B5C89}"/>
    <cellStyle name="Normal 21 44" xfId="12066" xr:uid="{81DEB2D2-697B-485A-9823-FCF667BE7D3B}"/>
    <cellStyle name="Normal 21 45" xfId="12067" xr:uid="{C95E13A5-3A5F-4FC4-AB89-3BD2001A96DF}"/>
    <cellStyle name="Normal 21 46" xfId="12068" xr:uid="{AB9DAD65-B03B-4A4A-864C-F3DD1834CFF9}"/>
    <cellStyle name="Normal 21 47" xfId="12069" xr:uid="{AE752506-2423-42C8-A504-70313C09565C}"/>
    <cellStyle name="Normal 21 48" xfId="12070" xr:uid="{BB2A540C-29C3-4F77-90A3-F150CE16593B}"/>
    <cellStyle name="Normal 21 49" xfId="12071" xr:uid="{11556BCE-A608-458B-B5CF-2C411EB37D41}"/>
    <cellStyle name="Normal 21 5" xfId="12072" xr:uid="{ADE2F131-82BF-48F6-B803-8E21E9462C79}"/>
    <cellStyle name="Normal 21 50" xfId="12073" xr:uid="{4A252ED6-248D-4BC6-8CE3-9D2E7E15A9D3}"/>
    <cellStyle name="Normal 21 51" xfId="12074" xr:uid="{7F3F1A2F-EBF9-4C17-905E-2164F452A0EE}"/>
    <cellStyle name="Normal 21 52" xfId="12075" xr:uid="{BCB7AF91-D7A6-45ED-B392-CA81F2C83685}"/>
    <cellStyle name="Normal 21 53" xfId="12076" xr:uid="{406CA340-96BA-4AF3-A30D-7BE2A931327E}"/>
    <cellStyle name="Normal 21 54" xfId="12077" xr:uid="{30A75159-ABFD-4192-971D-43982842E518}"/>
    <cellStyle name="Normal 21 55" xfId="12078" xr:uid="{690288E2-E706-4F84-A0F5-A578A8C2E2D9}"/>
    <cellStyle name="Normal 21 56" xfId="12079" xr:uid="{CEEE43D6-B22B-42D8-B7D5-17CD2A22B182}"/>
    <cellStyle name="Normal 21 57" xfId="12080" xr:uid="{6CCCA117-5018-4F87-88A2-98D366F74B45}"/>
    <cellStyle name="Normal 21 58" xfId="12081" xr:uid="{7E5454B5-451C-467A-84C3-2CCD951A99C3}"/>
    <cellStyle name="Normal 21 59" xfId="12082" xr:uid="{C4FB1897-67B5-4343-A921-9B057DA9C78D}"/>
    <cellStyle name="Normal 21 6" xfId="12083" xr:uid="{08DEBDB1-AACC-40A5-A481-B1B3F0A96A3C}"/>
    <cellStyle name="Normal 21 60" xfId="12084" xr:uid="{8CB60BA6-D942-4519-9A9C-A262C33B1B74}"/>
    <cellStyle name="Normal 21 61" xfId="12085" xr:uid="{3B4BFF25-1F49-4E86-B301-68036EB19207}"/>
    <cellStyle name="Normal 21 62" xfId="12086" xr:uid="{CFA1B95C-4EB0-48A9-A3D2-7C89B9F93829}"/>
    <cellStyle name="Normal 21 63" xfId="12087" xr:uid="{349E7905-523D-4229-8FC3-6E054C97CF79}"/>
    <cellStyle name="Normal 21 64" xfId="12088" xr:uid="{277A3F24-EE17-4616-9A04-F3BB2486670F}"/>
    <cellStyle name="Normal 21 65" xfId="12089" xr:uid="{E7E901CD-A15C-444B-9B92-7E51524E542F}"/>
    <cellStyle name="Normal 21 66" xfId="12090" xr:uid="{1E7A06F7-A896-4403-A10E-1C3144485305}"/>
    <cellStyle name="Normal 21 67" xfId="12091" xr:uid="{B75ED200-A077-484F-9F33-4D32FB6B6F32}"/>
    <cellStyle name="Normal 21 68" xfId="12092" xr:uid="{29588F31-FD29-4ECF-8BE2-D181FEE1CEAB}"/>
    <cellStyle name="Normal 21 7" xfId="12093" xr:uid="{5C6BF9A1-9703-4B30-BF16-25A40BA02514}"/>
    <cellStyle name="Normal 21 8" xfId="12094" xr:uid="{13EF9560-9781-4F35-A783-53463D7E2BA1}"/>
    <cellStyle name="Normal 21 9" xfId="12095" xr:uid="{1278936D-71F6-4E22-8F08-C65FD4B6BA59}"/>
    <cellStyle name="Normal 22" xfId="16765" xr:uid="{57B0BE3A-DE60-4591-9408-B18311767B82}"/>
    <cellStyle name="Normal 23" xfId="16767" xr:uid="{C9A4A3DA-FB7C-4389-9949-A4741DC03BD3}"/>
    <cellStyle name="Normal 24" xfId="16779" xr:uid="{2FEE0554-D458-497C-A0DC-D6D4ADF9D4CD}"/>
    <cellStyle name="Normal 25" xfId="45" xr:uid="{7A39C84C-0EA9-424B-8E56-902D845F4128}"/>
    <cellStyle name="Normal 3" xfId="51" xr:uid="{C507DA96-D589-4548-88E1-7F2E9A8FA094}"/>
    <cellStyle name="Normal 3 10" xfId="12097" xr:uid="{0F89EB05-3E2A-4309-AE23-8F1F4FB49DBF}"/>
    <cellStyle name="Normal 3 10 10" xfId="12098" xr:uid="{10B22BB9-C5A5-4D9C-A35C-5709D0417C0E}"/>
    <cellStyle name="Normal 3 10 11" xfId="12099" xr:uid="{DD59E0C9-1037-49F4-9F54-361ABB7BC85E}"/>
    <cellStyle name="Normal 3 10 12" xfId="12100" xr:uid="{AEC3F493-E31C-4815-844F-3AB6C9D9CB58}"/>
    <cellStyle name="Normal 3 10 13" xfId="12101" xr:uid="{49DCA0FC-F69C-435F-A439-49FC9AA68579}"/>
    <cellStyle name="Normal 3 10 14" xfId="12102" xr:uid="{2158FCF6-7519-4C89-8D4F-E12230D2FF16}"/>
    <cellStyle name="Normal 3 10 15" xfId="12103" xr:uid="{37C8DB50-29C7-4A55-ABBD-6B2C83E034E2}"/>
    <cellStyle name="Normal 3 10 16" xfId="12104" xr:uid="{DC585631-60B7-4B50-BF61-9452984A88B6}"/>
    <cellStyle name="Normal 3 10 17" xfId="12105" xr:uid="{2F028066-A338-453D-8A48-42983977F264}"/>
    <cellStyle name="Normal 3 10 18" xfId="12106" xr:uid="{0F305AED-9076-4D7B-8032-29366B10F3E6}"/>
    <cellStyle name="Normal 3 10 19" xfId="12107" xr:uid="{D66AC8F4-CA00-4021-81E0-F31F091C83A9}"/>
    <cellStyle name="Normal 3 10 2" xfId="12108" xr:uid="{D660E030-1B72-45CA-9013-AB5B7FBC1F54}"/>
    <cellStyle name="Normal 3 10 2 10" xfId="12109" xr:uid="{ECEEBC5F-D82E-4B5E-9320-5747489B3AAB}"/>
    <cellStyle name="Normal 3 10 2 11" xfId="12110" xr:uid="{A91F42B6-C493-45C3-BF26-E513781899F5}"/>
    <cellStyle name="Normal 3 10 2 12" xfId="12111" xr:uid="{711715FA-A853-4091-A67C-D8C24D72C4C3}"/>
    <cellStyle name="Normal 3 10 2 13" xfId="12112" xr:uid="{CDC0D4BA-6958-4929-B82E-E10AD55983E7}"/>
    <cellStyle name="Normal 3 10 2 14" xfId="12113" xr:uid="{02EA3C08-BC13-4B0C-A5D5-9E15BC35F01F}"/>
    <cellStyle name="Normal 3 10 2 15" xfId="12114" xr:uid="{A4AC4870-92DD-496D-BF32-B95F6B5F53EF}"/>
    <cellStyle name="Normal 3 10 2 16" xfId="12115" xr:uid="{88F31E48-8094-4B93-95F5-1E67F239FB3B}"/>
    <cellStyle name="Normal 3 10 2 17" xfId="12116" xr:uid="{CFC14498-ACC2-4A70-B26D-F1C758FD7FC5}"/>
    <cellStyle name="Normal 3 10 2 18" xfId="12117" xr:uid="{2ED3276D-41DB-4B16-A04F-6EC9D344B417}"/>
    <cellStyle name="Normal 3 10 2 19" xfId="12118" xr:uid="{A6D35037-FFC8-4F39-92B8-07FA539A885D}"/>
    <cellStyle name="Normal 3 10 2 2" xfId="12119" xr:uid="{AE7C9FC8-46A5-40E4-8278-0128E16760ED}"/>
    <cellStyle name="Normal 3 10 2 20" xfId="12120" xr:uid="{4407671A-F25D-43D0-8D07-BCA8DC5D8195}"/>
    <cellStyle name="Normal 3 10 2 21" xfId="12121" xr:uid="{40707852-7A57-443B-8956-A63AD97F38FD}"/>
    <cellStyle name="Normal 3 10 2 22" xfId="12122" xr:uid="{9CDB335C-5F97-48D2-82EB-DBC23533246A}"/>
    <cellStyle name="Normal 3 10 2 23" xfId="12123" xr:uid="{C6C89188-57E4-4C93-9F6D-9796D248E50B}"/>
    <cellStyle name="Normal 3 10 2 24" xfId="12124" xr:uid="{5E22BFF5-6B48-485B-BA9C-D34C9E0533EC}"/>
    <cellStyle name="Normal 3 10 2 25" xfId="12125" xr:uid="{9CB1A1A7-3F8D-4C98-B453-97FD34C25F76}"/>
    <cellStyle name="Normal 3 10 2 26" xfId="12126" xr:uid="{BF413F28-C1A2-48B5-A282-A39528423A10}"/>
    <cellStyle name="Normal 3 10 2 27" xfId="12127" xr:uid="{1E9ED238-CF57-4982-A767-68DBF3D9F88F}"/>
    <cellStyle name="Normal 3 10 2 28" xfId="12128" xr:uid="{6F90810A-4FE1-46AE-BFEA-5C798FECEC44}"/>
    <cellStyle name="Normal 3 10 2 29" xfId="12129" xr:uid="{EED64227-863F-45E1-9670-B4EEA985CE51}"/>
    <cellStyle name="Normal 3 10 2 3" xfId="12130" xr:uid="{8211271C-5225-448F-ABF3-9234B0F3981E}"/>
    <cellStyle name="Normal 3 10 2 30" xfId="12131" xr:uid="{5A92E3AF-0755-4B56-AE68-79CE1F10CA20}"/>
    <cellStyle name="Normal 3 10 2 31" xfId="12132" xr:uid="{33E1DE3F-A0DE-4598-BCF9-1C78B52B1511}"/>
    <cellStyle name="Normal 3 10 2 32" xfId="12133" xr:uid="{8B154886-40DF-4B30-9CAD-33BC046A6FCE}"/>
    <cellStyle name="Normal 3 10 2 4" xfId="12134" xr:uid="{D0CCF5BE-2661-4522-B189-C03DED021612}"/>
    <cellStyle name="Normal 3 10 2 5" xfId="12135" xr:uid="{323D7170-D620-4A98-97B3-0523E7E949B9}"/>
    <cellStyle name="Normal 3 10 2 6" xfId="12136" xr:uid="{3FD24F2B-F380-4F6E-8FBA-0BC64A8CE472}"/>
    <cellStyle name="Normal 3 10 2 7" xfId="12137" xr:uid="{8932C7B3-6791-4A2F-A181-87E75109E1B5}"/>
    <cellStyle name="Normal 3 10 2 8" xfId="12138" xr:uid="{7B0460E8-F8DC-4DAD-AA37-B6238959D2DE}"/>
    <cellStyle name="Normal 3 10 2 9" xfId="12139" xr:uid="{2D4A239C-5A42-44C9-A656-BD167C9F5C9B}"/>
    <cellStyle name="Normal 3 10 20" xfId="12140" xr:uid="{73B53D77-E68B-4AFD-AAEA-216B4B2FDF1D}"/>
    <cellStyle name="Normal 3 10 21" xfId="12141" xr:uid="{A73E065F-EE4F-4FDE-946B-962F19220C77}"/>
    <cellStyle name="Normal 3 10 22" xfId="12142" xr:uid="{2AFE1584-841C-47FE-A5C0-A177C9E5DB06}"/>
    <cellStyle name="Normal 3 10 23" xfId="12143" xr:uid="{F44E2C2F-69CD-49BC-B60A-39FF0A752659}"/>
    <cellStyle name="Normal 3 10 24" xfId="12144" xr:uid="{ADB44A3A-3725-40D7-A2B0-00A7C0C53D66}"/>
    <cellStyle name="Normal 3 10 25" xfId="12145" xr:uid="{2F868D60-689B-4D79-BAB4-54C570EAD2C0}"/>
    <cellStyle name="Normal 3 10 26" xfId="12146" xr:uid="{B4679AFE-392E-4378-9662-38389DE96C26}"/>
    <cellStyle name="Normal 3 10 27" xfId="12147" xr:uid="{4C91B6E4-7423-48F7-8484-AEFF8FEB6E2F}"/>
    <cellStyle name="Normal 3 10 28" xfId="12148" xr:uid="{18EA494A-F64B-4B93-BB71-08F441A16FCA}"/>
    <cellStyle name="Normal 3 10 29" xfId="12149" xr:uid="{163152D6-A83E-4DD4-B770-0AFA95F1E8B4}"/>
    <cellStyle name="Normal 3 10 3" xfId="12150" xr:uid="{BDEB1FF3-D6C2-45D9-83B6-AD32A69DF925}"/>
    <cellStyle name="Normal 3 10 30" xfId="12151" xr:uid="{647ABFFF-7851-467A-B902-9DF19AD4E5D6}"/>
    <cellStyle name="Normal 3 10 31" xfId="12152" xr:uid="{DC6EFB22-67F5-47FE-8174-523E6E440DE7}"/>
    <cellStyle name="Normal 3 10 32" xfId="12153" xr:uid="{FE223B1E-D1C8-4293-88D4-BE5E8CD4680C}"/>
    <cellStyle name="Normal 3 10 33" xfId="12154" xr:uid="{E7F8537C-DF8B-4D33-91ED-6A5BA3E570EE}"/>
    <cellStyle name="Normal 3 10 34" xfId="12155" xr:uid="{A1F09F5A-BAB9-40CD-8A97-54413E916530}"/>
    <cellStyle name="Normal 3 10 4" xfId="12156" xr:uid="{3C375BBD-A4C3-497F-B411-3BFA5AAD1545}"/>
    <cellStyle name="Normal 3 10 5" xfId="12157" xr:uid="{E18A73C7-2FF2-477C-990B-5195519FF9A3}"/>
    <cellStyle name="Normal 3 10 6" xfId="12158" xr:uid="{75306076-4726-4B9E-98DF-A3D13B5F3885}"/>
    <cellStyle name="Normal 3 10 7" xfId="12159" xr:uid="{F4964F8E-7ED3-4E4D-A620-DBB356607750}"/>
    <cellStyle name="Normal 3 10 8" xfId="12160" xr:uid="{0E3C1E2B-BA98-4D40-AB6B-B7C8A6DDFDDC}"/>
    <cellStyle name="Normal 3 10 9" xfId="12161" xr:uid="{AB8BD760-313B-416C-A428-66C3AAE24A5A}"/>
    <cellStyle name="Normal 3 11" xfId="12162" xr:uid="{2181B2C1-AFD6-4B30-A12A-CC2EBB8F5C18}"/>
    <cellStyle name="Normal 3 11 10" xfId="12163" xr:uid="{38E0C31A-905D-41A1-A382-E5D1DD6BB1A6}"/>
    <cellStyle name="Normal 3 11 11" xfId="12164" xr:uid="{160AF156-7144-4502-96ED-27A5BB15D7F0}"/>
    <cellStyle name="Normal 3 11 12" xfId="12165" xr:uid="{807F2854-E943-481A-9170-24C93F740883}"/>
    <cellStyle name="Normal 3 11 13" xfId="12166" xr:uid="{79C8EAC7-2438-440F-B64D-E237103237D4}"/>
    <cellStyle name="Normal 3 11 14" xfId="12167" xr:uid="{6D2FA02B-0269-4B03-8983-54C01C5E9B9C}"/>
    <cellStyle name="Normal 3 11 15" xfId="12168" xr:uid="{57ADDAB7-3B46-4851-A171-196FDA3FB0E1}"/>
    <cellStyle name="Normal 3 11 16" xfId="12169" xr:uid="{ABEBCB68-0EA2-4BA8-8125-E6842D3E946F}"/>
    <cellStyle name="Normal 3 11 17" xfId="12170" xr:uid="{BEEDF825-AB66-4BEB-87ED-812F7A4D3D2F}"/>
    <cellStyle name="Normal 3 11 18" xfId="12171" xr:uid="{8E85D63C-F1BC-40A6-B180-CC70407BA797}"/>
    <cellStyle name="Normal 3 11 19" xfId="12172" xr:uid="{1F6B1EA6-E45E-48B1-BB0B-48582AD719EE}"/>
    <cellStyle name="Normal 3 11 2" xfId="12173" xr:uid="{9EFD0FCA-7C9E-4B7A-B6B1-F8CBB2BCF9BB}"/>
    <cellStyle name="Normal 3 11 2 10" xfId="12174" xr:uid="{6C041D5A-EEC0-4919-99E7-E82FC842BC24}"/>
    <cellStyle name="Normal 3 11 2 11" xfId="12175" xr:uid="{B34F598E-67EF-4717-8C8C-5BB2FD7AB8E6}"/>
    <cellStyle name="Normal 3 11 2 12" xfId="12176" xr:uid="{20F92282-FCE0-4E8A-8B19-4237A40E79E5}"/>
    <cellStyle name="Normal 3 11 2 13" xfId="12177" xr:uid="{DF1D7FDD-0B50-48C7-A9C3-D82557741969}"/>
    <cellStyle name="Normal 3 11 2 14" xfId="12178" xr:uid="{54B6EDC2-591D-4770-9DD2-64208B5F1324}"/>
    <cellStyle name="Normal 3 11 2 15" xfId="12179" xr:uid="{9A005612-A11F-4FA4-81B3-0AFFEC64A553}"/>
    <cellStyle name="Normal 3 11 2 16" xfId="12180" xr:uid="{BDB4144E-0B25-4B21-915E-33E082CDFEA7}"/>
    <cellStyle name="Normal 3 11 2 17" xfId="12181" xr:uid="{34A1648E-1FC8-43EF-87E6-04DD84CAE598}"/>
    <cellStyle name="Normal 3 11 2 18" xfId="12182" xr:uid="{A722DAD6-0F90-4284-8152-F87C595AF586}"/>
    <cellStyle name="Normal 3 11 2 19" xfId="12183" xr:uid="{DC0D4EA8-799B-4CC7-BDA3-6F67581545B6}"/>
    <cellStyle name="Normal 3 11 2 2" xfId="12184" xr:uid="{AB15856D-D9FA-4DF3-AA0C-2D97DE817721}"/>
    <cellStyle name="Normal 3 11 2 20" xfId="12185" xr:uid="{BE077930-21DF-474C-8132-7190725F3860}"/>
    <cellStyle name="Normal 3 11 2 21" xfId="12186" xr:uid="{3BC5CFE8-26FA-4575-A366-E0F05B808ACC}"/>
    <cellStyle name="Normal 3 11 2 22" xfId="12187" xr:uid="{5E897B91-A980-4814-AC58-4B37BD1C1572}"/>
    <cellStyle name="Normal 3 11 2 23" xfId="12188" xr:uid="{681CD0DB-5F00-4F32-8EDD-A3B05967F744}"/>
    <cellStyle name="Normal 3 11 2 24" xfId="12189" xr:uid="{CDDE92AA-4C25-4C9E-8822-6A0AD8FB4201}"/>
    <cellStyle name="Normal 3 11 2 25" xfId="12190" xr:uid="{8122A294-DA5D-4545-A698-8AB01A30228D}"/>
    <cellStyle name="Normal 3 11 2 26" xfId="12191" xr:uid="{8BCF138A-9372-4AD9-93B9-80539ACC20A2}"/>
    <cellStyle name="Normal 3 11 2 27" xfId="12192" xr:uid="{170DCE53-11FF-4467-925A-80FEC2F306EF}"/>
    <cellStyle name="Normal 3 11 2 28" xfId="12193" xr:uid="{030E9AB3-27EE-46EA-9473-18D3C3D0FCD5}"/>
    <cellStyle name="Normal 3 11 2 29" xfId="12194" xr:uid="{7044F632-DD79-49FF-B854-2B2F86AB72E5}"/>
    <cellStyle name="Normal 3 11 2 3" xfId="12195" xr:uid="{2088E63B-2A91-4E59-8BA5-C8B8936A3025}"/>
    <cellStyle name="Normal 3 11 2 30" xfId="12196" xr:uid="{CB9037F3-09BC-44A1-95C2-02BFC870C745}"/>
    <cellStyle name="Normal 3 11 2 31" xfId="12197" xr:uid="{2FC965D8-2EE4-4910-8A39-6BA8EDD4FB6A}"/>
    <cellStyle name="Normal 3 11 2 32" xfId="12198" xr:uid="{916D0D5D-5512-46F3-9BF2-5260B00B57D0}"/>
    <cellStyle name="Normal 3 11 2 4" xfId="12199" xr:uid="{88CB47B7-3E5B-4A65-928E-C5D288E94CBE}"/>
    <cellStyle name="Normal 3 11 2 5" xfId="12200" xr:uid="{8275C8EC-2DCA-42B6-A549-DB80C3E3E508}"/>
    <cellStyle name="Normal 3 11 2 6" xfId="12201" xr:uid="{7383ED06-C921-4822-8BE1-56147BEE37FF}"/>
    <cellStyle name="Normal 3 11 2 7" xfId="12202" xr:uid="{8C08BEFD-717C-408E-9227-37E6EB26B111}"/>
    <cellStyle name="Normal 3 11 2 8" xfId="12203" xr:uid="{72171F98-CF8F-47D8-9D1E-E8C96A939840}"/>
    <cellStyle name="Normal 3 11 2 9" xfId="12204" xr:uid="{7D8ED9E2-7475-4AF0-87F5-9732E96072B8}"/>
    <cellStyle name="Normal 3 11 20" xfId="12205" xr:uid="{44855AA1-FB64-4DD5-A8A5-80CD25F83F34}"/>
    <cellStyle name="Normal 3 11 21" xfId="12206" xr:uid="{56ED3C15-33B3-4C88-85CE-820115CF96C9}"/>
    <cellStyle name="Normal 3 11 22" xfId="12207" xr:uid="{0F210184-F13C-4DAB-8C27-DA7F82BF94AF}"/>
    <cellStyle name="Normal 3 11 23" xfId="12208" xr:uid="{B1ACA6E3-C937-43E2-85C5-C73DDA5AADFD}"/>
    <cellStyle name="Normal 3 11 24" xfId="12209" xr:uid="{0DB19196-90EA-4F0B-97C5-A6E4433496AA}"/>
    <cellStyle name="Normal 3 11 25" xfId="12210" xr:uid="{65EBFA2A-C5AA-43AB-9666-CCEFC419DFD4}"/>
    <cellStyle name="Normal 3 11 26" xfId="12211" xr:uid="{4A9816EF-DD7B-47D0-95AC-5C9B0C4887E0}"/>
    <cellStyle name="Normal 3 11 27" xfId="12212" xr:uid="{F1498E36-8632-4259-987C-392E92C878DD}"/>
    <cellStyle name="Normal 3 11 28" xfId="12213" xr:uid="{4B92F187-C6B8-4ED4-A5A4-8E02F592A4D6}"/>
    <cellStyle name="Normal 3 11 29" xfId="12214" xr:uid="{9FD00B67-3065-43BC-B35A-A56CB9649A18}"/>
    <cellStyle name="Normal 3 11 3" xfId="12215" xr:uid="{23180F36-7E5D-4CDA-9E83-BEA9CBD5D73F}"/>
    <cellStyle name="Normal 3 11 30" xfId="12216" xr:uid="{BCFEF77C-A13F-450B-8428-83593BD8E80A}"/>
    <cellStyle name="Normal 3 11 31" xfId="12217" xr:uid="{8856F870-463B-4D83-B6E6-FFC33A0DE7C9}"/>
    <cellStyle name="Normal 3 11 32" xfId="12218" xr:uid="{AFB00D18-77AC-4074-A658-CB0935DCECD8}"/>
    <cellStyle name="Normal 3 11 33" xfId="12219" xr:uid="{C929FF13-B902-4CFC-BDC9-63AA06275106}"/>
    <cellStyle name="Normal 3 11 34" xfId="12220" xr:uid="{F723E4A8-8BF9-4129-A4F4-197488E52FFF}"/>
    <cellStyle name="Normal 3 11 4" xfId="12221" xr:uid="{EB515207-57C0-4CFB-838B-43297ADE0DF0}"/>
    <cellStyle name="Normal 3 11 5" xfId="12222" xr:uid="{4E62159B-0DB0-42E1-83B3-5A5B0910C309}"/>
    <cellStyle name="Normal 3 11 6" xfId="12223" xr:uid="{3B8D89FF-8925-4A70-B0AF-15C4AD5C5019}"/>
    <cellStyle name="Normal 3 11 7" xfId="12224" xr:uid="{58D053A6-2727-4B77-A3A9-E2B87C1A23F3}"/>
    <cellStyle name="Normal 3 11 8" xfId="12225" xr:uid="{C2405860-EA54-43FD-AA10-3F9B43B15D73}"/>
    <cellStyle name="Normal 3 11 9" xfId="12226" xr:uid="{7FAE0B04-D2A2-4EAA-8688-ECF0E875C3B9}"/>
    <cellStyle name="Normal 3 12" xfId="12227" xr:uid="{07320301-5C60-48E0-9344-BE3890E11763}"/>
    <cellStyle name="Normal 3 12 10" xfId="12228" xr:uid="{AE0FD217-1924-4FD6-9CFE-4862E2D90605}"/>
    <cellStyle name="Normal 3 12 11" xfId="12229" xr:uid="{E502318D-6701-44B1-8AC7-880FA6182437}"/>
    <cellStyle name="Normal 3 12 12" xfId="12230" xr:uid="{C6F560CB-9B83-49A2-B37A-DD5FB1E19BDB}"/>
    <cellStyle name="Normal 3 12 13" xfId="12231" xr:uid="{907D9B27-936A-4B19-B6D2-92FDF6B52B7E}"/>
    <cellStyle name="Normal 3 12 14" xfId="12232" xr:uid="{D31158BF-36B9-49CD-B263-1FF979DE77B0}"/>
    <cellStyle name="Normal 3 12 15" xfId="12233" xr:uid="{9ABECCEB-09C8-4688-9B5A-6C70352F8AEC}"/>
    <cellStyle name="Normal 3 12 16" xfId="12234" xr:uid="{E24C5071-F414-41A6-9F68-2820AD401400}"/>
    <cellStyle name="Normal 3 12 17" xfId="12235" xr:uid="{E432B3B8-81D4-42EB-AA46-5A3BB5366DAE}"/>
    <cellStyle name="Normal 3 12 18" xfId="12236" xr:uid="{7DB077E9-DE2C-4757-A4D3-D7BA7F5A8868}"/>
    <cellStyle name="Normal 3 12 19" xfId="12237" xr:uid="{3663E9A5-7747-4552-A0C5-602419C2AC4A}"/>
    <cellStyle name="Normal 3 12 2" xfId="12238" xr:uid="{0438B2F5-00DD-4C34-BA95-6C42E33D1440}"/>
    <cellStyle name="Normal 3 12 2 10" xfId="12239" xr:uid="{3D532297-9D6C-42F1-9D8E-540C30038305}"/>
    <cellStyle name="Normal 3 12 2 11" xfId="12240" xr:uid="{609977FD-E722-4AA7-85B2-5C369EBCFE25}"/>
    <cellStyle name="Normal 3 12 2 12" xfId="12241" xr:uid="{7F697F4B-4CF2-4A3B-A764-0FF84814AEA6}"/>
    <cellStyle name="Normal 3 12 2 13" xfId="12242" xr:uid="{01AADEB0-3FFE-48AC-B669-48A3EB35B2C9}"/>
    <cellStyle name="Normal 3 12 2 14" xfId="12243" xr:uid="{0A63DC3A-C461-4884-A0A5-18D0715C9A44}"/>
    <cellStyle name="Normal 3 12 2 15" xfId="12244" xr:uid="{85F28445-1A56-42B9-8B2B-0FB7E02AECB0}"/>
    <cellStyle name="Normal 3 12 2 16" xfId="12245" xr:uid="{384EAAFF-FADF-44EF-AD49-AA9B060918FD}"/>
    <cellStyle name="Normal 3 12 2 17" xfId="12246" xr:uid="{EB3279EA-F305-4F31-846A-55428969212E}"/>
    <cellStyle name="Normal 3 12 2 18" xfId="12247" xr:uid="{3779C619-6DE8-4268-8F4B-117B4D23DB7E}"/>
    <cellStyle name="Normal 3 12 2 19" xfId="12248" xr:uid="{559066B4-9206-48D5-8CFF-327AEBBB4BEA}"/>
    <cellStyle name="Normal 3 12 2 2" xfId="12249" xr:uid="{E86186F0-16FA-4DA9-9B79-581CA64AB32F}"/>
    <cellStyle name="Normal 3 12 2 20" xfId="12250" xr:uid="{37282821-8FFA-4BCE-9FC8-008794102B90}"/>
    <cellStyle name="Normal 3 12 2 21" xfId="12251" xr:uid="{03208ACA-02F7-4DF5-9E1D-451ED756A2BB}"/>
    <cellStyle name="Normal 3 12 2 22" xfId="12252" xr:uid="{768371A7-9A43-4376-BC4C-6FEC1B5AB624}"/>
    <cellStyle name="Normal 3 12 2 23" xfId="12253" xr:uid="{16309B57-2101-4D79-BE08-2C6011D6F77A}"/>
    <cellStyle name="Normal 3 12 2 24" xfId="12254" xr:uid="{57CE2FA2-5468-4191-931B-5D8503107ECA}"/>
    <cellStyle name="Normal 3 12 2 25" xfId="12255" xr:uid="{1BB1394C-FAFD-4B59-8566-1B22AD8180F5}"/>
    <cellStyle name="Normal 3 12 2 26" xfId="12256" xr:uid="{3318690E-49BE-4531-B635-3780BE9420AB}"/>
    <cellStyle name="Normal 3 12 2 27" xfId="12257" xr:uid="{D84CFEC1-287D-45F3-8744-49D8356B490C}"/>
    <cellStyle name="Normal 3 12 2 28" xfId="12258" xr:uid="{1579BB07-E3B4-4D56-95C5-5493DD1D5F64}"/>
    <cellStyle name="Normal 3 12 2 29" xfId="12259" xr:uid="{EC6E6792-1CF8-4130-B8B8-DFE626F644D3}"/>
    <cellStyle name="Normal 3 12 2 3" xfId="12260" xr:uid="{EE3350CA-3DC5-41CC-8C4B-F1022D5AF449}"/>
    <cellStyle name="Normal 3 12 2 30" xfId="12261" xr:uid="{3EB3E399-AB83-49CE-A68C-D34F41785199}"/>
    <cellStyle name="Normal 3 12 2 31" xfId="12262" xr:uid="{C0A52121-CBB6-4CBC-9D15-22061EF1D348}"/>
    <cellStyle name="Normal 3 12 2 32" xfId="12263" xr:uid="{2A36F8F9-99C1-49EA-9066-5B9C9CB61DA9}"/>
    <cellStyle name="Normal 3 12 2 4" xfId="12264" xr:uid="{CB98A08D-74BF-4639-B75D-D651F3A6FBFA}"/>
    <cellStyle name="Normal 3 12 2 5" xfId="12265" xr:uid="{43D0DAA3-C2F8-4640-9BD4-42C2A9AF0E7D}"/>
    <cellStyle name="Normal 3 12 2 6" xfId="12266" xr:uid="{B07F7319-2E41-4424-A8F2-1D0FDD4DF046}"/>
    <cellStyle name="Normal 3 12 2 7" xfId="12267" xr:uid="{C9087643-D959-4BE0-9C6E-90DC39CBBB63}"/>
    <cellStyle name="Normal 3 12 2 8" xfId="12268" xr:uid="{7724B18F-3C3C-4B03-83DF-CF9BE34468F7}"/>
    <cellStyle name="Normal 3 12 2 9" xfId="12269" xr:uid="{14A508FE-C4F0-4AE1-91AC-0E39152D076C}"/>
    <cellStyle name="Normal 3 12 20" xfId="12270" xr:uid="{B6BD109D-D0CA-46AE-B2C2-88ED586A9C8D}"/>
    <cellStyle name="Normal 3 12 21" xfId="12271" xr:uid="{D6FA627C-63BF-4144-B603-AA7550F1FEA0}"/>
    <cellStyle name="Normal 3 12 22" xfId="12272" xr:uid="{DD1D57EA-68A6-4FD5-B118-0F77909F5C33}"/>
    <cellStyle name="Normal 3 12 23" xfId="12273" xr:uid="{132563A3-E8A0-43C1-9D04-08279D8208C3}"/>
    <cellStyle name="Normal 3 12 24" xfId="12274" xr:uid="{726BA586-A0FA-4512-B982-63926B19C396}"/>
    <cellStyle name="Normal 3 12 25" xfId="12275" xr:uid="{5699C9C1-7CFE-43E6-BEE4-C457277841B4}"/>
    <cellStyle name="Normal 3 12 26" xfId="12276" xr:uid="{DD9178B1-B5FE-4619-B9E5-A9189227AA8C}"/>
    <cellStyle name="Normal 3 12 27" xfId="12277" xr:uid="{780B3578-A4F3-47CB-A586-3FF960674833}"/>
    <cellStyle name="Normal 3 12 28" xfId="12278" xr:uid="{6412C1BD-450A-4B2D-9D07-0392BC007979}"/>
    <cellStyle name="Normal 3 12 29" xfId="12279" xr:uid="{11FF4F5D-365D-4F64-982D-B9ABE465849C}"/>
    <cellStyle name="Normal 3 12 3" xfId="12280" xr:uid="{CB912521-23E3-42D3-8ACA-1774C6C69428}"/>
    <cellStyle name="Normal 3 12 30" xfId="12281" xr:uid="{694E0B2E-FAF4-442F-B94D-7BB12AC6B987}"/>
    <cellStyle name="Normal 3 12 31" xfId="12282" xr:uid="{E4D72567-5E6B-4728-9E03-581FE7B3EA7A}"/>
    <cellStyle name="Normal 3 12 32" xfId="12283" xr:uid="{4E444F6A-A7DC-4AE7-89BE-DA549BAB80A4}"/>
    <cellStyle name="Normal 3 12 33" xfId="12284" xr:uid="{D76FA184-AA48-44BD-AD87-34628FB75718}"/>
    <cellStyle name="Normal 3 12 34" xfId="12285" xr:uid="{95C53FDB-14FB-4BE9-A5E9-0F2FDEBD0C0B}"/>
    <cellStyle name="Normal 3 12 4" xfId="12286" xr:uid="{FC9BF9A7-EAFF-4998-966D-6B96417422C6}"/>
    <cellStyle name="Normal 3 12 5" xfId="12287" xr:uid="{1FA480AB-0968-4BB7-B110-7EEA5150652F}"/>
    <cellStyle name="Normal 3 12 6" xfId="12288" xr:uid="{516E5F4E-AF49-4843-A6AA-0620BE5D60FB}"/>
    <cellStyle name="Normal 3 12 7" xfId="12289" xr:uid="{DCB799D4-34B9-4D66-9AB3-D9EBB12DE27D}"/>
    <cellStyle name="Normal 3 12 8" xfId="12290" xr:uid="{FE92F74C-BDE3-4707-9332-AF7C475412C3}"/>
    <cellStyle name="Normal 3 12 9" xfId="12291" xr:uid="{FB2B229E-0602-4B18-A969-C90DA65F0291}"/>
    <cellStyle name="Normal 3 13" xfId="12292" xr:uid="{23766BF1-4154-480F-B43E-1C9597ED8813}"/>
    <cellStyle name="Normal 3 13 10" xfId="12293" xr:uid="{39C508F1-3946-4D52-AA25-4CD4499619F4}"/>
    <cellStyle name="Normal 3 13 11" xfId="12294" xr:uid="{DC214E8D-B17E-4855-848C-BC76C19CA9EF}"/>
    <cellStyle name="Normal 3 13 12" xfId="12295" xr:uid="{4DE6035D-CB06-4203-A625-34D1D1CD2FAC}"/>
    <cellStyle name="Normal 3 13 13" xfId="12296" xr:uid="{161D8B20-8683-4418-A566-EA21B82AA3BB}"/>
    <cellStyle name="Normal 3 13 14" xfId="12297" xr:uid="{10915B61-E7C1-4DE5-BF7E-5743E4D33BF0}"/>
    <cellStyle name="Normal 3 13 15" xfId="12298" xr:uid="{553F13C6-70D8-4904-AEB3-F5460494738B}"/>
    <cellStyle name="Normal 3 13 16" xfId="12299" xr:uid="{98A9DE24-0864-404D-9562-2DB06077383F}"/>
    <cellStyle name="Normal 3 13 17" xfId="12300" xr:uid="{7298A7AD-96AE-4ADD-9A27-A01AF96F9655}"/>
    <cellStyle name="Normal 3 13 18" xfId="12301" xr:uid="{4BA1E202-93F3-4386-8B08-36AEC796F3FE}"/>
    <cellStyle name="Normal 3 13 19" xfId="12302" xr:uid="{C225D804-B546-473C-883C-4FD53705EEB7}"/>
    <cellStyle name="Normal 3 13 2" xfId="12303" xr:uid="{11B1EE7C-36D8-4B6E-A1D2-16EC48881A28}"/>
    <cellStyle name="Normal 3 13 2 10" xfId="12304" xr:uid="{F743B413-D9E8-462C-BBEF-6471439C8BC2}"/>
    <cellStyle name="Normal 3 13 2 11" xfId="12305" xr:uid="{59A2F92C-E278-4789-AE81-3ED397244261}"/>
    <cellStyle name="Normal 3 13 2 12" xfId="12306" xr:uid="{642CB2EA-DAD1-4883-B41D-F7325C060BA2}"/>
    <cellStyle name="Normal 3 13 2 13" xfId="12307" xr:uid="{AAAEB12F-2E6C-43C3-8E9C-E5C5AAE60F5E}"/>
    <cellStyle name="Normal 3 13 2 14" xfId="12308" xr:uid="{019667DA-237F-4B3A-AA35-5108A15A5845}"/>
    <cellStyle name="Normal 3 13 2 15" xfId="12309" xr:uid="{41C1F2EE-3365-4F6E-AF35-F84206C849EA}"/>
    <cellStyle name="Normal 3 13 2 16" xfId="12310" xr:uid="{B15B9156-4772-4ACD-B154-35743E4BEE69}"/>
    <cellStyle name="Normal 3 13 2 17" xfId="12311" xr:uid="{22198B19-7D8C-4E52-A245-5A8105133AEA}"/>
    <cellStyle name="Normal 3 13 2 18" xfId="12312" xr:uid="{DE3D4819-ABE1-49A1-86CF-C3FDC1565F2F}"/>
    <cellStyle name="Normal 3 13 2 19" xfId="12313" xr:uid="{DD33212B-B5CC-406A-9108-591EFFAA744F}"/>
    <cellStyle name="Normal 3 13 2 2" xfId="12314" xr:uid="{F9F1085C-2AF3-4B79-A850-C427892720EC}"/>
    <cellStyle name="Normal 3 13 2 20" xfId="12315" xr:uid="{132C480A-9F9E-42E7-A23D-6250C0ABEE95}"/>
    <cellStyle name="Normal 3 13 2 21" xfId="12316" xr:uid="{16C1C231-445F-4191-8EF7-C9DE9480011F}"/>
    <cellStyle name="Normal 3 13 2 22" xfId="12317" xr:uid="{5882B634-DE44-42C1-BBD8-FA3F1FE19AC9}"/>
    <cellStyle name="Normal 3 13 2 23" xfId="12318" xr:uid="{7AAE7392-3D97-4A72-8FD8-5AC61D91C625}"/>
    <cellStyle name="Normal 3 13 2 24" xfId="12319" xr:uid="{8E4E3148-1B1D-4E6A-899B-CFA92E67EA7A}"/>
    <cellStyle name="Normal 3 13 2 25" xfId="12320" xr:uid="{EA89B739-AD2F-42C1-B4CE-3189401FEE49}"/>
    <cellStyle name="Normal 3 13 2 26" xfId="12321" xr:uid="{CA887B5C-C022-4213-AC24-ED52F4833B9B}"/>
    <cellStyle name="Normal 3 13 2 27" xfId="12322" xr:uid="{3B7857DB-D94A-4508-A77B-858F6F48A677}"/>
    <cellStyle name="Normal 3 13 2 28" xfId="12323" xr:uid="{C854B244-7E20-404C-A02C-FFEF07FB38C5}"/>
    <cellStyle name="Normal 3 13 2 29" xfId="12324" xr:uid="{DC38508B-DE1B-45F4-8F2F-0B9CBDE1A273}"/>
    <cellStyle name="Normal 3 13 2 3" xfId="12325" xr:uid="{C41699B5-D0BE-43E7-A238-2B3DF2C3C755}"/>
    <cellStyle name="Normal 3 13 2 30" xfId="12326" xr:uid="{01B2A336-9D2F-45CF-B037-83CAB33C98DF}"/>
    <cellStyle name="Normal 3 13 2 31" xfId="12327" xr:uid="{10A8EBA4-0149-48FD-BBFE-9FC52ECC724A}"/>
    <cellStyle name="Normal 3 13 2 32" xfId="12328" xr:uid="{88D0EC26-9AEA-4D34-816B-C7FC26FBF4EC}"/>
    <cellStyle name="Normal 3 13 2 4" xfId="12329" xr:uid="{70BCFA89-F8F0-4049-80FB-19A8DE22AAE6}"/>
    <cellStyle name="Normal 3 13 2 5" xfId="12330" xr:uid="{2A85C768-3887-4E68-9D50-21017B586D51}"/>
    <cellStyle name="Normal 3 13 2 6" xfId="12331" xr:uid="{2B803777-4B12-4EEC-9CEB-90F6BCB6DA5E}"/>
    <cellStyle name="Normal 3 13 2 7" xfId="12332" xr:uid="{F3AEEDC4-A693-4B51-9515-1932EC170438}"/>
    <cellStyle name="Normal 3 13 2 8" xfId="12333" xr:uid="{43BB78E9-509C-4D73-835F-1826BA842917}"/>
    <cellStyle name="Normal 3 13 2 9" xfId="12334" xr:uid="{65523F20-8572-4D20-AC74-8D9517E4BDFB}"/>
    <cellStyle name="Normal 3 13 20" xfId="12335" xr:uid="{0D06C44E-FA24-47E6-86C1-1C8AB27836A4}"/>
    <cellStyle name="Normal 3 13 21" xfId="12336" xr:uid="{D6B717D6-20E6-42E0-8382-497775F3BC07}"/>
    <cellStyle name="Normal 3 13 22" xfId="12337" xr:uid="{7FC75180-E810-498E-8691-471539CFA0A0}"/>
    <cellStyle name="Normal 3 13 23" xfId="12338" xr:uid="{53A755C4-3476-428E-A3E7-E5B4BF418001}"/>
    <cellStyle name="Normal 3 13 24" xfId="12339" xr:uid="{DB2DC2EC-0F8A-467F-876A-30211B3DF270}"/>
    <cellStyle name="Normal 3 13 25" xfId="12340" xr:uid="{7FFC6E45-62AC-46E3-AE68-8185E6F08EDC}"/>
    <cellStyle name="Normal 3 13 26" xfId="12341" xr:uid="{4447B097-6837-4226-9FB3-7979E023E9FF}"/>
    <cellStyle name="Normal 3 13 27" xfId="12342" xr:uid="{E71FB147-075E-414D-9D3A-9C8F2D0BB430}"/>
    <cellStyle name="Normal 3 13 28" xfId="12343" xr:uid="{D18F0D2C-6BB3-44AC-9BDD-55E4A6BDB601}"/>
    <cellStyle name="Normal 3 13 29" xfId="12344" xr:uid="{B6BAD48B-2A73-41B2-8DBF-B223C25DC2A0}"/>
    <cellStyle name="Normal 3 13 3" xfId="12345" xr:uid="{DDBE1CAD-EAB6-452F-928A-459048FFF40C}"/>
    <cellStyle name="Normal 3 13 30" xfId="12346" xr:uid="{72AD56BA-9412-44A0-AA35-E5DB22A6FF48}"/>
    <cellStyle name="Normal 3 13 31" xfId="12347" xr:uid="{D441BA48-F77E-4F00-88E6-7ED2D523CF9D}"/>
    <cellStyle name="Normal 3 13 32" xfId="12348" xr:uid="{8582B625-E2ED-4B11-80D9-D62975E04820}"/>
    <cellStyle name="Normal 3 13 33" xfId="12349" xr:uid="{B2C4803C-F5F1-4D2A-B7CE-D154D63F9992}"/>
    <cellStyle name="Normal 3 13 34" xfId="12350" xr:uid="{BE20CB47-1DA6-41FF-97F0-9C09D68B2D44}"/>
    <cellStyle name="Normal 3 13 4" xfId="12351" xr:uid="{BA26EAEC-5956-49C8-8464-1B48D45DA021}"/>
    <cellStyle name="Normal 3 13 5" xfId="12352" xr:uid="{7149242D-716E-4D5B-BC48-1074724C40A5}"/>
    <cellStyle name="Normal 3 13 6" xfId="12353" xr:uid="{26616980-7A5A-4AE4-A6BE-4B93E6C0379F}"/>
    <cellStyle name="Normal 3 13 7" xfId="12354" xr:uid="{829B61F8-D85F-4E2E-B657-18E31D8010FE}"/>
    <cellStyle name="Normal 3 13 8" xfId="12355" xr:uid="{4B4CEA1F-FDD7-48D8-94C4-09662B0341A1}"/>
    <cellStyle name="Normal 3 13 9" xfId="12356" xr:uid="{A66C797A-70DF-4E64-932B-7D2CEF74A56C}"/>
    <cellStyle name="Normal 3 14" xfId="12357" xr:uid="{AC425E1E-854F-4AC3-B849-DCF0C25F79DB}"/>
    <cellStyle name="Normal 3 14 10" xfId="12358" xr:uid="{E0CCBC62-27E9-4CDE-B26C-F71DB640BF8A}"/>
    <cellStyle name="Normal 3 14 11" xfId="12359" xr:uid="{EC49439B-B144-43AE-8F68-121742214984}"/>
    <cellStyle name="Normal 3 14 12" xfId="12360" xr:uid="{2A5A1193-A2E0-4085-88DE-DB9ED3ED80C9}"/>
    <cellStyle name="Normal 3 14 13" xfId="12361" xr:uid="{DA5D394D-DE07-4CF4-8F19-D08D80B8AEB1}"/>
    <cellStyle name="Normal 3 14 14" xfId="12362" xr:uid="{58BE3C18-9B23-4652-92DD-625ED870588D}"/>
    <cellStyle name="Normal 3 14 15" xfId="12363" xr:uid="{3B2240EE-0A85-40C8-9692-630E81DF071E}"/>
    <cellStyle name="Normal 3 14 16" xfId="12364" xr:uid="{E6F34B60-B980-4E85-9CEC-B38475C82207}"/>
    <cellStyle name="Normal 3 14 17" xfId="12365" xr:uid="{53099780-1CC7-4D9A-9ABF-2EF3E767C75D}"/>
    <cellStyle name="Normal 3 14 18" xfId="12366" xr:uid="{6A080E7D-915B-412A-B3E1-152FA6566C39}"/>
    <cellStyle name="Normal 3 14 19" xfId="12367" xr:uid="{5FBC22EF-CE47-4BAE-AD87-A8A9FE60DDBE}"/>
    <cellStyle name="Normal 3 14 2" xfId="12368" xr:uid="{4A0886CA-84CD-4845-9282-496E2423CCB0}"/>
    <cellStyle name="Normal 3 14 2 10" xfId="12369" xr:uid="{15784321-7A06-47D1-B02B-69670378B3E0}"/>
    <cellStyle name="Normal 3 14 2 11" xfId="12370" xr:uid="{F931C673-175D-4853-BF98-F8488E5079F7}"/>
    <cellStyle name="Normal 3 14 2 12" xfId="12371" xr:uid="{97235075-F9F7-4250-AC17-5B5CE5F98053}"/>
    <cellStyle name="Normal 3 14 2 13" xfId="12372" xr:uid="{CA1398BC-97FB-4D1E-A790-26633DD8FE49}"/>
    <cellStyle name="Normal 3 14 2 14" xfId="12373" xr:uid="{E9CE1670-0D8D-4CB2-AEA9-EB043CDB62E9}"/>
    <cellStyle name="Normal 3 14 2 15" xfId="12374" xr:uid="{E4E01AC1-0845-43E4-8FE9-1CF0D43AE0CF}"/>
    <cellStyle name="Normal 3 14 2 16" xfId="12375" xr:uid="{E8861C02-12FB-4989-87B4-EA2B933FDBBB}"/>
    <cellStyle name="Normal 3 14 2 17" xfId="12376" xr:uid="{61FE8F53-D1E4-434D-B486-B8C932544716}"/>
    <cellStyle name="Normal 3 14 2 18" xfId="12377" xr:uid="{C885B9E2-072D-488F-8E76-2AC8F8132173}"/>
    <cellStyle name="Normal 3 14 2 19" xfId="12378" xr:uid="{D63DE22F-AB11-4EA1-A8B2-29612E7E5660}"/>
    <cellStyle name="Normal 3 14 2 2" xfId="12379" xr:uid="{E6E3DFE2-4DC8-4D5D-B94D-1A3E1644B80E}"/>
    <cellStyle name="Normal 3 14 2 20" xfId="12380" xr:uid="{E0D5D63E-7F55-40CF-9A9F-71919A824830}"/>
    <cellStyle name="Normal 3 14 2 21" xfId="12381" xr:uid="{966BCA44-F9B9-4F71-9B39-2ADDA151B525}"/>
    <cellStyle name="Normal 3 14 2 22" xfId="12382" xr:uid="{404A3BA9-EDDF-4630-B76B-441459B116EB}"/>
    <cellStyle name="Normal 3 14 2 23" xfId="12383" xr:uid="{BA30D1F2-2FB3-495B-BE63-382F39BCE3FA}"/>
    <cellStyle name="Normal 3 14 2 24" xfId="12384" xr:uid="{4F689CDE-3AEA-49A6-B5D4-F800D881D15C}"/>
    <cellStyle name="Normal 3 14 2 25" xfId="12385" xr:uid="{918FFAF2-1A44-463E-8C93-A6BF53BC1740}"/>
    <cellStyle name="Normal 3 14 2 26" xfId="12386" xr:uid="{4FD9B876-8F4A-4BE1-922F-E06D552CD6E6}"/>
    <cellStyle name="Normal 3 14 2 27" xfId="12387" xr:uid="{331F36C4-023F-4430-A713-6DE65D1CF004}"/>
    <cellStyle name="Normal 3 14 2 28" xfId="12388" xr:uid="{ED2F49F6-BCF5-4397-ABBB-4EB927C3F856}"/>
    <cellStyle name="Normal 3 14 2 29" xfId="12389" xr:uid="{C9AACC3C-9782-4EC3-B4EE-514C19F77EE2}"/>
    <cellStyle name="Normal 3 14 2 3" xfId="12390" xr:uid="{C5B070C2-3CBD-433C-8FD8-6B184BF8A9C4}"/>
    <cellStyle name="Normal 3 14 2 30" xfId="12391" xr:uid="{F9BD3022-46F9-4DD5-A318-BA75031C2D49}"/>
    <cellStyle name="Normal 3 14 2 31" xfId="12392" xr:uid="{2667585A-10AD-43B7-8D4C-D41413B4046A}"/>
    <cellStyle name="Normal 3 14 2 32" xfId="12393" xr:uid="{398C1083-B6BE-49CF-BAF6-E9834597B88A}"/>
    <cellStyle name="Normal 3 14 2 4" xfId="12394" xr:uid="{CA60F99A-E05D-460C-9D93-0490D10B48D9}"/>
    <cellStyle name="Normal 3 14 2 5" xfId="12395" xr:uid="{D63E65C4-0CCB-43EC-AC20-F9962CCFD025}"/>
    <cellStyle name="Normal 3 14 2 6" xfId="12396" xr:uid="{B526D128-8BC3-4B8C-8411-4CD2892AC890}"/>
    <cellStyle name="Normal 3 14 2 7" xfId="12397" xr:uid="{0D333CE0-BF90-41A2-982F-9A9DDA4ED532}"/>
    <cellStyle name="Normal 3 14 2 8" xfId="12398" xr:uid="{043F354D-BC74-46A0-B911-2144A51E209F}"/>
    <cellStyle name="Normal 3 14 2 9" xfId="12399" xr:uid="{26377597-B22B-4F9C-AF52-1B0D776397C3}"/>
    <cellStyle name="Normal 3 14 20" xfId="12400" xr:uid="{58764599-F270-44A0-9F40-3D92EC75ACA4}"/>
    <cellStyle name="Normal 3 14 21" xfId="12401" xr:uid="{15A9FA4C-7D53-4AE1-B8C1-008B34C97ED8}"/>
    <cellStyle name="Normal 3 14 22" xfId="12402" xr:uid="{23B0BCBD-D7DC-4FB3-A6FC-29EBCC492427}"/>
    <cellStyle name="Normal 3 14 23" xfId="12403" xr:uid="{DCDD99DF-8930-45F4-9A51-62B90FE2BE89}"/>
    <cellStyle name="Normal 3 14 24" xfId="12404" xr:uid="{CC5C49D5-EAC3-410B-AA06-B4E0E4A147B2}"/>
    <cellStyle name="Normal 3 14 25" xfId="12405" xr:uid="{DB869DCD-3426-43F2-B887-1310E4129E46}"/>
    <cellStyle name="Normal 3 14 26" xfId="12406" xr:uid="{F340C695-26A7-492E-82B0-32B0CDC532A6}"/>
    <cellStyle name="Normal 3 14 27" xfId="12407" xr:uid="{0FFF91EE-0379-4CB5-AAD8-84565E138A73}"/>
    <cellStyle name="Normal 3 14 28" xfId="12408" xr:uid="{E76CA28D-5B0F-4567-ACC5-0545DD5D8331}"/>
    <cellStyle name="Normal 3 14 29" xfId="12409" xr:uid="{7005D864-9E1F-4552-9FBA-25A64910BC5F}"/>
    <cellStyle name="Normal 3 14 3" xfId="12410" xr:uid="{C3186A82-8A40-41BE-AF7F-04AF8EAB05A5}"/>
    <cellStyle name="Normal 3 14 30" xfId="12411" xr:uid="{AEC28B71-921B-40B0-9476-278C637B5376}"/>
    <cellStyle name="Normal 3 14 31" xfId="12412" xr:uid="{6A89D98D-0AB7-4D85-BEFF-88DC7F1F7F31}"/>
    <cellStyle name="Normal 3 14 32" xfId="12413" xr:uid="{745EDF69-ACB3-4A4D-ACFF-AD75CAABA6E4}"/>
    <cellStyle name="Normal 3 14 33" xfId="12414" xr:uid="{51BE01C2-9C17-4627-BBBB-4021B0803B1A}"/>
    <cellStyle name="Normal 3 14 34" xfId="12415" xr:uid="{104E8831-C6E6-410E-8E8B-7015C5FF3AA8}"/>
    <cellStyle name="Normal 3 14 4" xfId="12416" xr:uid="{D594C4F3-8B0B-41DE-A47C-88416CB492B2}"/>
    <cellStyle name="Normal 3 14 5" xfId="12417" xr:uid="{84EE4FF5-78DD-447C-B8D9-9D214C1F2586}"/>
    <cellStyle name="Normal 3 14 6" xfId="12418" xr:uid="{1DF71EBA-2FAB-443A-86CB-38C0399D4648}"/>
    <cellStyle name="Normal 3 14 7" xfId="12419" xr:uid="{4633C3C7-BF95-4F6C-9B07-9F82E27B3176}"/>
    <cellStyle name="Normal 3 14 8" xfId="12420" xr:uid="{482034F2-1342-4354-8B6A-2568FB40FE52}"/>
    <cellStyle name="Normal 3 14 9" xfId="12421" xr:uid="{EA239372-1ACF-4E1D-8166-FD0022DDFDA2}"/>
    <cellStyle name="Normal 3 15" xfId="12422" xr:uid="{5FF03373-1367-4212-87E0-28AD365A2F11}"/>
    <cellStyle name="Normal 3 15 10" xfId="12423" xr:uid="{0CF07BB1-15B0-4194-9EFA-94EC3CF1C267}"/>
    <cellStyle name="Normal 3 15 11" xfId="12424" xr:uid="{3D4C12D9-B9FA-4D87-8A93-19C996E964B0}"/>
    <cellStyle name="Normal 3 15 12" xfId="12425" xr:uid="{03C48837-795B-4B58-A1F0-5AF226C052AA}"/>
    <cellStyle name="Normal 3 15 13" xfId="12426" xr:uid="{84BA335F-3437-484E-A2E5-AA4095E05D09}"/>
    <cellStyle name="Normal 3 15 14" xfId="12427" xr:uid="{BF3C2316-9ACA-4639-880B-813A32CFE168}"/>
    <cellStyle name="Normal 3 15 15" xfId="12428" xr:uid="{8CDF4F14-A8E8-457E-A8C6-5BCC4DC71931}"/>
    <cellStyle name="Normal 3 15 16" xfId="12429" xr:uid="{8B8DF2D8-CF6D-4515-BA35-9A5D44D01278}"/>
    <cellStyle name="Normal 3 15 17" xfId="12430" xr:uid="{45CC9B60-D436-44FD-8527-BB2B5ADE702B}"/>
    <cellStyle name="Normal 3 15 18" xfId="12431" xr:uid="{8BAC2880-C190-4D53-87B1-EB41A35B3E2B}"/>
    <cellStyle name="Normal 3 15 19" xfId="12432" xr:uid="{1F40ECD6-BA64-4F3D-8A3C-2E3D91577F4D}"/>
    <cellStyle name="Normal 3 15 2" xfId="12433" xr:uid="{B96F6983-BBA8-483C-AA0A-1014AC4BB67F}"/>
    <cellStyle name="Normal 3 15 20" xfId="12434" xr:uid="{80FD8720-0E2B-4D95-8048-1A68E08E2E9B}"/>
    <cellStyle name="Normal 3 15 21" xfId="12435" xr:uid="{925CBE26-49A5-410D-A46A-2C0AE1C6B388}"/>
    <cellStyle name="Normal 3 15 22" xfId="12436" xr:uid="{20989DBB-5FD0-4D01-98D8-2BF66D42CDFC}"/>
    <cellStyle name="Normal 3 15 23" xfId="12437" xr:uid="{21050131-DFF9-4093-918E-B5C9474213E1}"/>
    <cellStyle name="Normal 3 15 24" xfId="12438" xr:uid="{7B31743E-E10D-4275-8345-855EEBD8400F}"/>
    <cellStyle name="Normal 3 15 25" xfId="12439" xr:uid="{1A9D4F02-634F-4F37-99B9-6934D166D9D3}"/>
    <cellStyle name="Normal 3 15 26" xfId="12440" xr:uid="{57E9310B-3408-43B5-8BE3-F00FA2197509}"/>
    <cellStyle name="Normal 3 15 27" xfId="12441" xr:uid="{AF86D4CE-9162-4907-8194-9B11EF1E459C}"/>
    <cellStyle name="Normal 3 15 28" xfId="12442" xr:uid="{8197D42F-22C7-47F0-B495-54774C97357C}"/>
    <cellStyle name="Normal 3 15 29" xfId="12443" xr:uid="{C4BA361B-FA87-43B3-8925-25DFE3ADD5CE}"/>
    <cellStyle name="Normal 3 15 3" xfId="12444" xr:uid="{088AB934-3DC4-4A32-B4A5-1C0E34F010D5}"/>
    <cellStyle name="Normal 3 15 30" xfId="12445" xr:uid="{7A7F0B4B-A211-4087-8612-7528BDE221CC}"/>
    <cellStyle name="Normal 3 15 31" xfId="12446" xr:uid="{86B7290C-2DAE-4110-A442-FE90E20F9DFD}"/>
    <cellStyle name="Normal 3 15 32" xfId="12447" xr:uid="{F0235703-CCD8-4C6D-94C2-B721AE0DF033}"/>
    <cellStyle name="Normal 3 15 4" xfId="12448" xr:uid="{FFE867AB-50A2-4724-B17D-268BD3E2B424}"/>
    <cellStyle name="Normal 3 15 5" xfId="12449" xr:uid="{51345E40-69AB-4102-9FA1-E79BB5E33ED4}"/>
    <cellStyle name="Normal 3 15 6" xfId="12450" xr:uid="{30BBDB02-F265-42BF-B594-A32D011A8EC9}"/>
    <cellStyle name="Normal 3 15 7" xfId="12451" xr:uid="{5925D5EC-8531-4035-ADC5-B4AFE1816AEA}"/>
    <cellStyle name="Normal 3 15 8" xfId="12452" xr:uid="{0123E781-5B99-4FB5-A4E0-684AE2B3466C}"/>
    <cellStyle name="Normal 3 15 9" xfId="12453" xr:uid="{B95974E2-53E7-441B-BB03-1404C7550CD5}"/>
    <cellStyle name="Normal 3 16" xfId="12454" xr:uid="{D3676D6C-2E1C-48C3-988C-A0274E678BB1}"/>
    <cellStyle name="Normal 3 16 10" xfId="12455" xr:uid="{CE7F5BF4-2C56-41FF-A4FE-8095C31E49F1}"/>
    <cellStyle name="Normal 3 16 11" xfId="12456" xr:uid="{98668CDA-9CF8-45E9-991A-7AC7FCF811DC}"/>
    <cellStyle name="Normal 3 16 12" xfId="12457" xr:uid="{B36FE273-12A7-4F20-A98B-14C3258F9004}"/>
    <cellStyle name="Normal 3 16 13" xfId="12458" xr:uid="{126BFAA6-F5BF-407B-A1AE-9D83130415F7}"/>
    <cellStyle name="Normal 3 16 14" xfId="12459" xr:uid="{3C5FD852-3F0C-43F8-935D-4432896C3942}"/>
    <cellStyle name="Normal 3 16 15" xfId="12460" xr:uid="{6CFE3B1C-D59D-4F20-B15E-36A3A73C3CCE}"/>
    <cellStyle name="Normal 3 16 16" xfId="12461" xr:uid="{34519FD1-DC05-414B-896B-A5FDB7737A2B}"/>
    <cellStyle name="Normal 3 16 17" xfId="12462" xr:uid="{59A32BE5-5F9D-4CA2-BDCB-D9BEB9258A15}"/>
    <cellStyle name="Normal 3 16 18" xfId="12463" xr:uid="{CB33A85E-20B4-46B7-A26E-1814C668C8BF}"/>
    <cellStyle name="Normal 3 16 19" xfId="12464" xr:uid="{E2024E6C-F4E7-42CE-9149-B448788792C0}"/>
    <cellStyle name="Normal 3 16 2" xfId="12465" xr:uid="{64125CA2-3E0A-4BBF-B42C-92E073A3B94D}"/>
    <cellStyle name="Normal 3 16 20" xfId="12466" xr:uid="{E0029A0D-C299-4A88-9FE1-BCDE3F3B84EE}"/>
    <cellStyle name="Normal 3 16 21" xfId="12467" xr:uid="{97C4C475-8403-4ECE-A22A-4CC978CAE91E}"/>
    <cellStyle name="Normal 3 16 22" xfId="12468" xr:uid="{761E82E8-30F2-45A3-BF1B-560ECCB1B7F6}"/>
    <cellStyle name="Normal 3 16 23" xfId="12469" xr:uid="{0485723D-5B79-4BC0-AAE9-1EECBBBDA74C}"/>
    <cellStyle name="Normal 3 16 24" xfId="12470" xr:uid="{4B1BCE1D-0D11-4BBC-A3D7-3DA626056DEE}"/>
    <cellStyle name="Normal 3 16 25" xfId="12471" xr:uid="{742723AC-C838-463A-AE9B-2AB00F20EDA7}"/>
    <cellStyle name="Normal 3 16 26" xfId="12472" xr:uid="{130A2F59-83E7-4F5E-808A-419F05EA7367}"/>
    <cellStyle name="Normal 3 16 27" xfId="12473" xr:uid="{9259B3EA-46F3-4986-8EE8-2428BC648F95}"/>
    <cellStyle name="Normal 3 16 28" xfId="12474" xr:uid="{7102C192-A96D-4C65-BD1B-9ED4178A9E10}"/>
    <cellStyle name="Normal 3 16 29" xfId="12475" xr:uid="{597E08EC-31E4-4C9C-A8B2-6C8FB280CEEB}"/>
    <cellStyle name="Normal 3 16 3" xfId="12476" xr:uid="{27568116-2C57-47DE-9E3C-5734DB71E65B}"/>
    <cellStyle name="Normal 3 16 30" xfId="12477" xr:uid="{00B06207-873E-48DE-9219-0D8E146898A5}"/>
    <cellStyle name="Normal 3 16 31" xfId="12478" xr:uid="{F88867D5-604C-4144-8E5D-05EEC3933237}"/>
    <cellStyle name="Normal 3 16 32" xfId="12479" xr:uid="{9BA71CFD-BF5A-4C30-903F-09EDAFBE98F4}"/>
    <cellStyle name="Normal 3 16 4" xfId="12480" xr:uid="{6DC0FBB1-C6E2-4913-9B4C-76FD78DFDBF4}"/>
    <cellStyle name="Normal 3 16 5" xfId="12481" xr:uid="{FFFBB200-1499-49F3-8046-A1E7B60F0B7A}"/>
    <cellStyle name="Normal 3 16 6" xfId="12482" xr:uid="{F2E9182A-CAC2-474F-B296-7ED658DA0501}"/>
    <cellStyle name="Normal 3 16 7" xfId="12483" xr:uid="{EEEFB763-D97E-4D3B-B454-E5755EC48619}"/>
    <cellStyle name="Normal 3 16 8" xfId="12484" xr:uid="{DC351C56-E7EA-4637-8131-44B88571D67C}"/>
    <cellStyle name="Normal 3 16 9" xfId="12485" xr:uid="{5E022235-EF3C-4FA4-BA2D-35B15F99CA42}"/>
    <cellStyle name="Normal 3 17" xfId="12486" xr:uid="{F99B87EA-EC9C-4CB1-A9A4-59F546301ABF}"/>
    <cellStyle name="Normal 3 17 2" xfId="12487" xr:uid="{6141281A-6801-4653-9CFB-4288ED70382A}"/>
    <cellStyle name="Normal 3 17 3" xfId="12488" xr:uid="{901FD28E-6BEA-4AEB-899F-C192A2F70868}"/>
    <cellStyle name="Normal 3 17 4" xfId="12489" xr:uid="{62B8680B-AA7A-41F1-8AF1-BA7EC2C93D37}"/>
    <cellStyle name="Normal 3 17 5" xfId="12490" xr:uid="{B92D6639-E861-43F7-891A-069CBD3BFAEC}"/>
    <cellStyle name="Normal 3 17 6" xfId="12491" xr:uid="{E9CA23E8-80CD-4B59-81C9-A37DE475D381}"/>
    <cellStyle name="Normal 3 18" xfId="12492" xr:uid="{9A5831CB-6942-400E-AD7C-257747F484D7}"/>
    <cellStyle name="Normal 3 18 2" xfId="12493" xr:uid="{2A6506BC-F8D7-4FB3-82A1-3C56509CDBE4}"/>
    <cellStyle name="Normal 3 18 3" xfId="12494" xr:uid="{9F10F23E-3015-4EA0-B051-0050CAF4B706}"/>
    <cellStyle name="Normal 3 18 4" xfId="12495" xr:uid="{3E5ACA67-78BB-433F-AAFE-706E45F58DDE}"/>
    <cellStyle name="Normal 3 18 5" xfId="12496" xr:uid="{AB728904-90F0-4E50-9F04-186DCCFC59DC}"/>
    <cellStyle name="Normal 3 18 6" xfId="12497" xr:uid="{14284367-AB14-4E8C-80D9-F885CD98F4B8}"/>
    <cellStyle name="Normal 3 19" xfId="12498" xr:uid="{09BA8FAA-0855-4E07-8A13-0E9E39AC3720}"/>
    <cellStyle name="Normal 3 19 2" xfId="12499" xr:uid="{2060ADD6-F770-4F77-9782-6317EB689A2D}"/>
    <cellStyle name="Normal 3 19 3" xfId="12500" xr:uid="{EAF0D5F6-4BCC-4813-8748-02AB2EAD37AB}"/>
    <cellStyle name="Normal 3 19 4" xfId="12501" xr:uid="{B96C1ED0-5D80-4A27-9955-9A5BCE5593CC}"/>
    <cellStyle name="Normal 3 19 5" xfId="12502" xr:uid="{797FDC5F-3082-4884-85CA-46726212C224}"/>
    <cellStyle name="Normal 3 19 6" xfId="12503" xr:uid="{0DDED8E7-C5D8-4A49-BF6E-BEA92671FA76}"/>
    <cellStyle name="Normal 3 2" xfId="12504" xr:uid="{A29B79AF-9C72-4E64-8CD3-4C6FE722F98D}"/>
    <cellStyle name="Normal 3 2 10" xfId="12505" xr:uid="{B5E681F2-F35E-47C9-87F2-ADDE29269756}"/>
    <cellStyle name="Normal 3 2 11" xfId="12506" xr:uid="{6F0742EC-A87A-4A43-81CC-4285B73F0AE4}"/>
    <cellStyle name="Normal 3 2 12" xfId="12507" xr:uid="{04CBB6FF-F1CA-4602-BBA2-26EFB8AFD569}"/>
    <cellStyle name="Normal 3 2 13" xfId="12508" xr:uid="{2404F0C6-9C28-46A4-AA0D-C3DD4C6216EC}"/>
    <cellStyle name="Normal 3 2 14" xfId="12509" xr:uid="{561495E9-2D3C-427B-83CC-38C164651F1B}"/>
    <cellStyle name="Normal 3 2 15" xfId="12510" xr:uid="{E72DC0D7-4EF4-4EF8-817A-B18AF6FD95AE}"/>
    <cellStyle name="Normal 3 2 16" xfId="12511" xr:uid="{4EF9996E-449D-41C3-946A-049DC64D093B}"/>
    <cellStyle name="Normal 3 2 17" xfId="12512" xr:uid="{5ACA98BD-D194-40A1-AC28-7CAE87E466A7}"/>
    <cellStyle name="Normal 3 2 18" xfId="12513" xr:uid="{078F71FD-7D68-4E51-897B-E8579641102F}"/>
    <cellStyle name="Normal 3 2 19" xfId="12514" xr:uid="{49ED6B34-64F9-4B46-AE0E-A95EA09C0F34}"/>
    <cellStyle name="Normal 3 2 2" xfId="12515" xr:uid="{E0EC4119-C367-4FBB-9D3D-4322B5E9FB6B}"/>
    <cellStyle name="Normal 3 2 2 10" xfId="12516" xr:uid="{157002FB-594F-4910-9989-3CA53979A2D8}"/>
    <cellStyle name="Normal 3 2 2 11" xfId="12517" xr:uid="{6142A1BB-1101-49CC-955B-4420569CC832}"/>
    <cellStyle name="Normal 3 2 2 12" xfId="12518" xr:uid="{A36BA698-8DD9-4045-B1DD-3E7CEB9F8912}"/>
    <cellStyle name="Normal 3 2 2 13" xfId="12519" xr:uid="{844822C8-E2ED-4A1C-8453-D9B400198F07}"/>
    <cellStyle name="Normal 3 2 2 14" xfId="12520" xr:uid="{A8A6F821-A3CF-42F1-BCE5-1C158F5832DF}"/>
    <cellStyle name="Normal 3 2 2 15" xfId="12521" xr:uid="{B6C38D80-9DE7-42C7-AFEA-956022C73F1B}"/>
    <cellStyle name="Normal 3 2 2 16" xfId="12522" xr:uid="{1E08EC42-31D8-47ED-A640-214A38D7A455}"/>
    <cellStyle name="Normal 3 2 2 17" xfId="12523" xr:uid="{54C388DB-6751-49C1-98EA-2EBF9DC4C2F3}"/>
    <cellStyle name="Normal 3 2 2 18" xfId="12524" xr:uid="{BCC4EA57-3E59-48FE-B96A-09AE1DE46BCF}"/>
    <cellStyle name="Normal 3 2 2 19" xfId="12525" xr:uid="{9FD27229-81ED-46B0-ABB8-A80CA145E842}"/>
    <cellStyle name="Normal 3 2 2 2" xfId="12526" xr:uid="{43CE9818-B662-40B9-BFF3-32440C5B3513}"/>
    <cellStyle name="Normal 3 2 2 2 10" xfId="12527" xr:uid="{373FAF25-98F3-4FFB-8621-F80D4FED10A0}"/>
    <cellStyle name="Normal 3 2 2 2 11" xfId="12528" xr:uid="{A3FABDDF-223C-4F4D-90A9-FF4942EBE25B}"/>
    <cellStyle name="Normal 3 2 2 2 12" xfId="12529" xr:uid="{0C3B5F0A-12A7-41A7-BADE-69BA76008B37}"/>
    <cellStyle name="Normal 3 2 2 2 13" xfId="12530" xr:uid="{482D4ECF-F0A9-4C85-AB99-B68419997AE1}"/>
    <cellStyle name="Normal 3 2 2 2 14" xfId="12531" xr:uid="{FA3909D6-7794-4EA5-A02E-B2B7BE469320}"/>
    <cellStyle name="Normal 3 2 2 2 15" xfId="12532" xr:uid="{BBC04FFC-01A7-453E-9B9E-42B42F637A4A}"/>
    <cellStyle name="Normal 3 2 2 2 16" xfId="12533" xr:uid="{7CCC705E-19A3-43E9-B98B-D90760A35567}"/>
    <cellStyle name="Normal 3 2 2 2 17" xfId="12534" xr:uid="{0A589781-AF29-4341-9F3F-013D41959941}"/>
    <cellStyle name="Normal 3 2 2 2 18" xfId="12535" xr:uid="{6BC8EACF-430F-4BD8-9DBA-649D1AD59FA2}"/>
    <cellStyle name="Normal 3 2 2 2 19" xfId="12536" xr:uid="{A4389CE1-43C1-4772-B753-0570083B7A4C}"/>
    <cellStyle name="Normal 3 2 2 2 2" xfId="12537" xr:uid="{B85F32FB-B090-4B3B-87FC-A7D3E8008E98}"/>
    <cellStyle name="Normal 3 2 2 2 2 10" xfId="12538" xr:uid="{B853A8CE-B813-47B0-AD70-FFD028D11CDB}"/>
    <cellStyle name="Normal 3 2 2 2 2 11" xfId="12539" xr:uid="{04C0AF22-04EC-467C-8395-25DDAA75CED3}"/>
    <cellStyle name="Normal 3 2 2 2 2 12" xfId="12540" xr:uid="{961ECADE-E246-4A30-B718-F7959C0F1D54}"/>
    <cellStyle name="Normal 3 2 2 2 2 13" xfId="12541" xr:uid="{7D53D3C7-3103-4018-B4CF-CC9ECEDA132B}"/>
    <cellStyle name="Normal 3 2 2 2 2 14" xfId="12542" xr:uid="{65C721D3-357F-4216-A065-5DEE74093980}"/>
    <cellStyle name="Normal 3 2 2 2 2 15" xfId="12543" xr:uid="{C96509F5-673F-4C39-946D-38565B76B7EF}"/>
    <cellStyle name="Normal 3 2 2 2 2 16" xfId="12544" xr:uid="{BB065D04-DD96-42A9-96ED-8C44B3F1DBE0}"/>
    <cellStyle name="Normal 3 2 2 2 2 17" xfId="12545" xr:uid="{FAA57D54-D329-4C9D-8023-61F45394E8B6}"/>
    <cellStyle name="Normal 3 2 2 2 2 18" xfId="12546" xr:uid="{65661DD5-A1AE-49E4-9C9F-B33F24A583C1}"/>
    <cellStyle name="Normal 3 2 2 2 2 19" xfId="12547" xr:uid="{BBD27F44-AADE-44E0-9877-0DD58CD115D0}"/>
    <cellStyle name="Normal 3 2 2 2 2 2" xfId="12548" xr:uid="{33E81DF6-7D1F-4E1A-B490-4E145036C764}"/>
    <cellStyle name="Normal 3 2 2 2 2 2 10" xfId="12549" xr:uid="{5919656B-8B66-4B86-B7D6-9465DDF0F041}"/>
    <cellStyle name="Normal 3 2 2 2 2 2 11" xfId="12550" xr:uid="{5E3E06A8-680E-49AC-9A74-05F05821C863}"/>
    <cellStyle name="Normal 3 2 2 2 2 2 12" xfId="12551" xr:uid="{45DFCE5F-83DE-4798-971B-DBD3991705F8}"/>
    <cellStyle name="Normal 3 2 2 2 2 2 13" xfId="12552" xr:uid="{54B20F09-19BC-4994-B0D5-514B2EDA9C26}"/>
    <cellStyle name="Normal 3 2 2 2 2 2 14" xfId="12553" xr:uid="{F772744D-1D47-4AC6-8AA0-47DAC2C05F5C}"/>
    <cellStyle name="Normal 3 2 2 2 2 2 15" xfId="12554" xr:uid="{7A2F2398-2045-4B4B-9CC3-10A855913873}"/>
    <cellStyle name="Normal 3 2 2 2 2 2 16" xfId="12555" xr:uid="{3B09C551-710B-4452-B0EB-DD0777EFDF53}"/>
    <cellStyle name="Normal 3 2 2 2 2 2 17" xfId="12556" xr:uid="{E393D3F2-9EC4-45DF-AB0B-DB4EE42F3ABA}"/>
    <cellStyle name="Normal 3 2 2 2 2 2 18" xfId="12557" xr:uid="{0D40F504-E9AA-4182-BEC5-94186F028A13}"/>
    <cellStyle name="Normal 3 2 2 2 2 2 19" xfId="12558" xr:uid="{C20B7F63-2256-4A02-BBB4-71CBEF38E854}"/>
    <cellStyle name="Normal 3 2 2 2 2 2 2" xfId="12559" xr:uid="{F7F0BC3D-C9A4-4851-A7AC-1027DB332A68}"/>
    <cellStyle name="Normal 3 2 2 2 2 2 20" xfId="12560" xr:uid="{C7112BDF-3075-4787-926F-B972C43B34D8}"/>
    <cellStyle name="Normal 3 2 2 2 2 2 21" xfId="12561" xr:uid="{47DC3186-7FBD-419D-A0D1-A1A75181F6BF}"/>
    <cellStyle name="Normal 3 2 2 2 2 2 22" xfId="12562" xr:uid="{E80A2144-E1AE-4625-AFA0-CF1B82C64674}"/>
    <cellStyle name="Normal 3 2 2 2 2 2 23" xfId="12563" xr:uid="{E3B27F54-2CAA-4E35-957E-7858CAE201FE}"/>
    <cellStyle name="Normal 3 2 2 2 2 2 24" xfId="12564" xr:uid="{FA35DC49-0FAB-4D7A-9E31-BACE71F8730F}"/>
    <cellStyle name="Normal 3 2 2 2 2 2 25" xfId="12565" xr:uid="{0830CE35-43FE-4297-9788-0371BA81E459}"/>
    <cellStyle name="Normal 3 2 2 2 2 2 26" xfId="12566" xr:uid="{788A824A-34E8-487C-AD5B-C2E414D67BF8}"/>
    <cellStyle name="Normal 3 2 2 2 2 2 27" xfId="12567" xr:uid="{F1ABED56-DE99-4049-AE81-5FD4F7E6DBE8}"/>
    <cellStyle name="Normal 3 2 2 2 2 2 28" xfId="12568" xr:uid="{CCC6DCD8-0BF9-4561-97E3-23D6F83F50DD}"/>
    <cellStyle name="Normal 3 2 2 2 2 2 29" xfId="12569" xr:uid="{71DD40DD-8391-4DB7-9822-B5BB3471B51B}"/>
    <cellStyle name="Normal 3 2 2 2 2 2 3" xfId="12570" xr:uid="{A5321095-1DCC-4312-9E00-DC6586EB6A08}"/>
    <cellStyle name="Normal 3 2 2 2 2 2 30" xfId="12571" xr:uid="{73F63564-BEDB-4564-9FF4-8D33798E7F67}"/>
    <cellStyle name="Normal 3 2 2 2 2 2 31" xfId="12572" xr:uid="{0EFF2FE9-B8D1-4C3B-8B5D-0BB3E343EAF0}"/>
    <cellStyle name="Normal 3 2 2 2 2 2 32" xfId="12573" xr:uid="{F6E75CAB-68EF-4443-822A-35ADEA57F916}"/>
    <cellStyle name="Normal 3 2 2 2 2 2 33" xfId="12574" xr:uid="{F943DDA2-C08B-4EB1-9C92-47BB6620A1C6}"/>
    <cellStyle name="Normal 3 2 2 2 2 2 34" xfId="12575" xr:uid="{0B760F2C-C474-4EE2-BD94-11DC5481D9CD}"/>
    <cellStyle name="Normal 3 2 2 2 2 2 35" xfId="12576" xr:uid="{BB9F9717-5051-44DE-A06A-9521CF940066}"/>
    <cellStyle name="Normal 3 2 2 2 2 2 36" xfId="12577" xr:uid="{456D2816-1380-4049-9993-FA6F6EED3EE4}"/>
    <cellStyle name="Normal 3 2 2 2 2 2 37" xfId="12578" xr:uid="{ECD96EC8-07D2-4E27-B9BE-F7EBBA9488A4}"/>
    <cellStyle name="Normal 3 2 2 2 2 2 38" xfId="12579" xr:uid="{905869D1-0B2C-48D6-B37B-8A675D3DBD14}"/>
    <cellStyle name="Normal 3 2 2 2 2 2 39" xfId="12580" xr:uid="{28FBC58A-0008-498F-84A6-14DDA78DACCA}"/>
    <cellStyle name="Normal 3 2 2 2 2 2 4" xfId="12581" xr:uid="{C60B7016-DE78-4977-A9B0-B1F00D27135F}"/>
    <cellStyle name="Normal 3 2 2 2 2 2 40" xfId="12582" xr:uid="{E43432CB-6D57-4113-8A66-C1057D9EF872}"/>
    <cellStyle name="Normal 3 2 2 2 2 2 41" xfId="12583" xr:uid="{D8455380-C38F-4E27-B74E-63FE9E91B3F7}"/>
    <cellStyle name="Normal 3 2 2 2 2 2 42" xfId="12584" xr:uid="{760E9690-A680-4A35-9127-D4D39F248599}"/>
    <cellStyle name="Normal 3 2 2 2 2 2 43" xfId="12585" xr:uid="{999E6E0C-2F7D-4B99-96FB-F1DD124DF653}"/>
    <cellStyle name="Normal 3 2 2 2 2 2 44" xfId="12586" xr:uid="{5B02C510-03FE-4B39-BF2F-122933CC53B1}"/>
    <cellStyle name="Normal 3 2 2 2 2 2 45" xfId="12587" xr:uid="{7BEFEAD7-8FE4-4EA1-A259-ACE32F125240}"/>
    <cellStyle name="Normal 3 2 2 2 2 2 46" xfId="12588" xr:uid="{8B582C9B-81CD-48E3-9906-A8F58BAE310A}"/>
    <cellStyle name="Normal 3 2 2 2 2 2 47" xfId="12589" xr:uid="{B636BEC0-B93A-4906-AD59-9E12118C6D61}"/>
    <cellStyle name="Normal 3 2 2 2 2 2 5" xfId="12590" xr:uid="{244298A5-D59E-4C59-A631-601FEF154D59}"/>
    <cellStyle name="Normal 3 2 2 2 2 2 6" xfId="12591" xr:uid="{922DDD23-4BF5-4932-B72A-AC380204EF28}"/>
    <cellStyle name="Normal 3 2 2 2 2 2 7" xfId="12592" xr:uid="{414380B5-1702-4420-ADF5-1FCC3A8D0BA2}"/>
    <cellStyle name="Normal 3 2 2 2 2 2 8" xfId="12593" xr:uid="{E230BC13-C980-4833-9FB4-311861B7C482}"/>
    <cellStyle name="Normal 3 2 2 2 2 2 9" xfId="12594" xr:uid="{65BA8036-EFBA-48EE-ADE6-8BC2A7B52D1F}"/>
    <cellStyle name="Normal 3 2 2 2 2 20" xfId="12595" xr:uid="{4F1BD5A5-6453-420A-8AFC-372ADE17E867}"/>
    <cellStyle name="Normal 3 2 2 2 2 21" xfId="12596" xr:uid="{22F81C10-0957-49BC-B1D5-237497E36728}"/>
    <cellStyle name="Normal 3 2 2 2 2 22" xfId="12597" xr:uid="{2F4A5AA2-C85C-4D30-A79F-FD53CB43E927}"/>
    <cellStyle name="Normal 3 2 2 2 2 23" xfId="12598" xr:uid="{F3DADC34-2E91-4932-B75B-FFC12B3CC613}"/>
    <cellStyle name="Normal 3 2 2 2 2 24" xfId="12599" xr:uid="{59F96DD0-BF07-4BB0-8092-90F29366043B}"/>
    <cellStyle name="Normal 3 2 2 2 2 25" xfId="12600" xr:uid="{EA09DDAA-BBDA-47FD-B5A9-6CD1A99E3851}"/>
    <cellStyle name="Normal 3 2 2 2 2 26" xfId="12601" xr:uid="{7C097E53-E281-4B4A-87CB-81F1F97C2A6B}"/>
    <cellStyle name="Normal 3 2 2 2 2 27" xfId="12602" xr:uid="{B0E1545F-DB18-462A-8B39-3E8DDAE800AC}"/>
    <cellStyle name="Normal 3 2 2 2 2 28" xfId="12603" xr:uid="{3D31DC61-AC6A-4BEE-A260-82515ABAD4CB}"/>
    <cellStyle name="Normal 3 2 2 2 2 29" xfId="12604" xr:uid="{449D7D34-61B6-4C78-9B20-22478C06E37D}"/>
    <cellStyle name="Normal 3 2 2 2 2 3" xfId="12605" xr:uid="{0369A3FB-A930-47B0-9E88-9D0B6FA8D7E2}"/>
    <cellStyle name="Normal 3 2 2 2 2 30" xfId="12606" xr:uid="{2C2B3818-FDC4-4C05-82BA-AF42ABD3DD48}"/>
    <cellStyle name="Normal 3 2 2 2 2 31" xfId="12607" xr:uid="{29F28107-43E0-409D-BFB8-56CF5D57C409}"/>
    <cellStyle name="Normal 3 2 2 2 2 32" xfId="12608" xr:uid="{A74B2978-0D03-420A-9216-62E62B78D9F0}"/>
    <cellStyle name="Normal 3 2 2 2 2 33" xfId="12609" xr:uid="{BF204A9D-572C-45CD-83E7-75127E8A2DDC}"/>
    <cellStyle name="Normal 3 2 2 2 2 34" xfId="12610" xr:uid="{E5BCA7A3-DA47-457D-BBF2-E0DC637327F8}"/>
    <cellStyle name="Normal 3 2 2 2 2 35" xfId="12611" xr:uid="{AAEEF7B2-9F85-496D-BBD8-DB35899AA406}"/>
    <cellStyle name="Normal 3 2 2 2 2 36" xfId="12612" xr:uid="{2C97E65E-8445-4072-BF33-F94B777133DC}"/>
    <cellStyle name="Normal 3 2 2 2 2 37" xfId="12613" xr:uid="{22E0C955-5394-43B8-A5BD-9D896F3363ED}"/>
    <cellStyle name="Normal 3 2 2 2 2 38" xfId="12614" xr:uid="{C32EB66C-E066-484C-A32B-F6649147F673}"/>
    <cellStyle name="Normal 3 2 2 2 2 39" xfId="12615" xr:uid="{8D3974A8-140F-4E8A-9099-62E00EB657B7}"/>
    <cellStyle name="Normal 3 2 2 2 2 4" xfId="12616" xr:uid="{656FE65F-3060-4672-B3BC-BF17690E170D}"/>
    <cellStyle name="Normal 3 2 2 2 2 40" xfId="12617" xr:uid="{C217AAF1-BC67-4B43-BC51-C69F22865B6F}"/>
    <cellStyle name="Normal 3 2 2 2 2 41" xfId="12618" xr:uid="{D729E31E-A91B-4D48-A234-3547E6D54C34}"/>
    <cellStyle name="Normal 3 2 2 2 2 42" xfId="12619" xr:uid="{F1E8917B-A775-48FC-8E70-B5DF65A5B169}"/>
    <cellStyle name="Normal 3 2 2 2 2 43" xfId="12620" xr:uid="{51A70D25-A8E4-4817-959A-188211D6BEAF}"/>
    <cellStyle name="Normal 3 2 2 2 2 44" xfId="12621" xr:uid="{AB87F0E7-5327-44EE-AD39-3ACD9DF8394A}"/>
    <cellStyle name="Normal 3 2 2 2 2 45" xfId="12622" xr:uid="{6636502C-A4A6-477F-8973-0FEAC91B9938}"/>
    <cellStyle name="Normal 3 2 2 2 2 46" xfId="12623" xr:uid="{65995E92-6537-431B-B25B-06104CB23BD7}"/>
    <cellStyle name="Normal 3 2 2 2 2 47" xfId="12624" xr:uid="{06305BF6-4446-464F-97FF-5FEF5DD2085B}"/>
    <cellStyle name="Normal 3 2 2 2 2 5" xfId="12625" xr:uid="{BA6B608B-7772-4897-8B95-A38597237B93}"/>
    <cellStyle name="Normal 3 2 2 2 2 6" xfId="12626" xr:uid="{0F08402A-CB5E-44EE-9719-F329C62B35D6}"/>
    <cellStyle name="Normal 3 2 2 2 2 7" xfId="12627" xr:uid="{BB26CA83-2281-4732-BFDF-749CAE8D667E}"/>
    <cellStyle name="Normal 3 2 2 2 2 8" xfId="12628" xr:uid="{97F3635E-FE0C-4C26-8190-E1860B17A872}"/>
    <cellStyle name="Normal 3 2 2 2 2 9" xfId="12629" xr:uid="{9622034D-8DAD-4EAC-8316-839ABE2FB469}"/>
    <cellStyle name="Normal 3 2 2 2 20" xfId="12630" xr:uid="{FD5F9769-EA45-45E0-AB9F-BF8DCF44FA66}"/>
    <cellStyle name="Normal 3 2 2 2 21" xfId="12631" xr:uid="{5D0CD964-2851-4A48-9509-AE08E0108899}"/>
    <cellStyle name="Normal 3 2 2 2 22" xfId="12632" xr:uid="{78E3C406-046C-4EDD-A3CB-B7E1058E0A57}"/>
    <cellStyle name="Normal 3 2 2 2 23" xfId="12633" xr:uid="{5A83F94C-41E7-4EDA-AB60-B96117C68B37}"/>
    <cellStyle name="Normal 3 2 2 2 24" xfId="12634" xr:uid="{32D13433-959D-44D5-A6C0-770AE002E865}"/>
    <cellStyle name="Normal 3 2 2 2 25" xfId="12635" xr:uid="{82D8D7B9-F3B0-4FD5-9E6B-418C00F95471}"/>
    <cellStyle name="Normal 3 2 2 2 26" xfId="12636" xr:uid="{C479265F-0DCB-4630-B5EB-5EF896728E5D}"/>
    <cellStyle name="Normal 3 2 2 2 27" xfId="12637" xr:uid="{1238FE25-3E38-4982-9A4C-63A9D3CFBFD2}"/>
    <cellStyle name="Normal 3 2 2 2 28" xfId="12638" xr:uid="{295C8930-C193-4234-9E69-7BF02A72CA13}"/>
    <cellStyle name="Normal 3 2 2 2 29" xfId="12639" xr:uid="{3DD85D77-95EB-4B4E-BDA9-66AA21FEC0FD}"/>
    <cellStyle name="Normal 3 2 2 2 3" xfId="12640" xr:uid="{8958B7FF-8BA9-4881-88A4-B3956036FA21}"/>
    <cellStyle name="Normal 3 2 2 2 30" xfId="12641" xr:uid="{D408FD81-C9A3-46C1-8402-1531DFE0FAD7}"/>
    <cellStyle name="Normal 3 2 2 2 31" xfId="12642" xr:uid="{615610F6-637C-4A95-80F1-97AE8F7FF1E7}"/>
    <cellStyle name="Normal 3 2 2 2 32" xfId="12643" xr:uid="{CB406652-D06B-42FD-9EDB-4DDA0BD67250}"/>
    <cellStyle name="Normal 3 2 2 2 33" xfId="12644" xr:uid="{4E6EFB33-F07B-4D5C-A052-8369AA8A580A}"/>
    <cellStyle name="Normal 3 2 2 2 34" xfId="12645" xr:uid="{F86611B0-B2F3-4400-AE61-AE6BCFF5F323}"/>
    <cellStyle name="Normal 3 2 2 2 35" xfId="12646" xr:uid="{F97A6805-F03D-4AC0-9807-6FAA6123B5AB}"/>
    <cellStyle name="Normal 3 2 2 2 36" xfId="12647" xr:uid="{D94543DE-95DA-4AC0-A032-AF5CD69D8102}"/>
    <cellStyle name="Normal 3 2 2 2 37" xfId="12648" xr:uid="{B34360C3-1C7D-4EAC-B607-A028DB0C54BA}"/>
    <cellStyle name="Normal 3 2 2 2 38" xfId="12649" xr:uid="{5F27FADA-ED96-4730-9527-04E1662E3DDD}"/>
    <cellStyle name="Normal 3 2 2 2 39" xfId="12650" xr:uid="{1B4C8F90-8D80-4C00-B5FE-AB66AEE5D59A}"/>
    <cellStyle name="Normal 3 2 2 2 4" xfId="12651" xr:uid="{68AF5C2A-4EC2-4BC3-954A-C1B58F7FB2F9}"/>
    <cellStyle name="Normal 3 2 2 2 40" xfId="12652" xr:uid="{0B0049F1-E996-4C16-BE02-F256CBEA5DD0}"/>
    <cellStyle name="Normal 3 2 2 2 41" xfId="12653" xr:uid="{EC333370-00B9-4C25-825C-5E06B120E0E9}"/>
    <cellStyle name="Normal 3 2 2 2 42" xfId="12654" xr:uid="{E090BD3A-BEFA-4340-BDD2-CD51CF178361}"/>
    <cellStyle name="Normal 3 2 2 2 43" xfId="12655" xr:uid="{163B4FA2-AFCD-4B5E-880A-FF8A612A9A2C}"/>
    <cellStyle name="Normal 3 2 2 2 44" xfId="12656" xr:uid="{7B136837-811E-4D34-816C-967C8ED0D68D}"/>
    <cellStyle name="Normal 3 2 2 2 45" xfId="12657" xr:uid="{973C90EF-251F-465C-8CEF-50BF7E7D3039}"/>
    <cellStyle name="Normal 3 2 2 2 46" xfId="12658" xr:uid="{FD3AE2BD-5F3F-46A2-BF54-EE85AF948A55}"/>
    <cellStyle name="Normal 3 2 2 2 47" xfId="12659" xr:uid="{3AAA103A-A033-477A-9AC7-B25C50E1D9C1}"/>
    <cellStyle name="Normal 3 2 2 2 48" xfId="12660" xr:uid="{3285D0EA-C4E7-4A5C-90D5-21BE1FB97E7F}"/>
    <cellStyle name="Normal 3 2 2 2 5" xfId="12661" xr:uid="{473BF4AD-AD20-4B8F-AAB2-6F58D761CDCE}"/>
    <cellStyle name="Normal 3 2 2 2 6" xfId="12662" xr:uid="{6AD96E09-BE60-4441-ADCC-EF36AA51782F}"/>
    <cellStyle name="Normal 3 2 2 2 7" xfId="12663" xr:uid="{1E03E84F-C1F9-46C0-A2C3-686FCCECA3B3}"/>
    <cellStyle name="Normal 3 2 2 2 8" xfId="12664" xr:uid="{1A8770C3-0493-438F-84AE-BB02B861CB33}"/>
    <cellStyle name="Normal 3 2 2 2 9" xfId="12665" xr:uid="{11958623-485C-4180-B84E-66D2313788CB}"/>
    <cellStyle name="Normal 3 2 2 20" xfId="12666" xr:uid="{3E8EB57D-4268-49DA-AEFB-8CD9968D550F}"/>
    <cellStyle name="Normal 3 2 2 21" xfId="12667" xr:uid="{14B9A7EF-44AA-45B8-BD70-70FBCFFDB6F9}"/>
    <cellStyle name="Normal 3 2 2 22" xfId="12668" xr:uid="{E92F3B6C-ADC0-4F8F-BEB0-D35A00A712E8}"/>
    <cellStyle name="Normal 3 2 2 23" xfId="12669" xr:uid="{5E430811-38E9-4A6F-9BAA-EDF8BCCD66E4}"/>
    <cellStyle name="Normal 3 2 2 24" xfId="12670" xr:uid="{66000418-1207-48BB-B12A-5A633F927A5E}"/>
    <cellStyle name="Normal 3 2 2 25" xfId="12671" xr:uid="{EE247262-4472-46AD-8EF0-8F511C49C528}"/>
    <cellStyle name="Normal 3 2 2 26" xfId="12672" xr:uid="{85C05BDC-4227-4055-A89B-C77C63AAD48B}"/>
    <cellStyle name="Normal 3 2 2 27" xfId="12673" xr:uid="{307053B0-D131-41CB-9EF8-2AC9718EA62E}"/>
    <cellStyle name="Normal 3 2 2 28" xfId="12674" xr:uid="{E69F4C3E-A3F5-4376-A2D9-BDB400A63804}"/>
    <cellStyle name="Normal 3 2 2 29" xfId="12675" xr:uid="{EE9FDDB1-DDE3-47FF-AD5A-E24BB1B342C5}"/>
    <cellStyle name="Normal 3 2 2 3" xfId="12676" xr:uid="{D6C30A9C-0DC8-40F6-8BD7-0D0E5EB1C862}"/>
    <cellStyle name="Normal 3 2 2 3 10" xfId="12677" xr:uid="{325C3704-ABFB-43B4-9771-057F93F4D5BF}"/>
    <cellStyle name="Normal 3 2 2 3 11" xfId="12678" xr:uid="{C020993F-F65C-4D80-B9B1-3D538825346D}"/>
    <cellStyle name="Normal 3 2 2 3 12" xfId="12679" xr:uid="{AD92984F-30EA-4B17-9790-C8A81E76873C}"/>
    <cellStyle name="Normal 3 2 2 3 13" xfId="12680" xr:uid="{FE3B033C-1347-49A1-A562-6C7AA4323C36}"/>
    <cellStyle name="Normal 3 2 2 3 14" xfId="12681" xr:uid="{D116FF14-AC21-4DAB-86CD-AAD08A89165F}"/>
    <cellStyle name="Normal 3 2 2 3 15" xfId="12682" xr:uid="{63FD0203-8954-4B60-8809-67EE26B8C6DD}"/>
    <cellStyle name="Normal 3 2 2 3 16" xfId="12683" xr:uid="{C695AAC7-5817-42D4-AC05-9FED1410F1F5}"/>
    <cellStyle name="Normal 3 2 2 3 17" xfId="12684" xr:uid="{73E42CA4-0334-4C43-86B8-ABE4DF8D993C}"/>
    <cellStyle name="Normal 3 2 2 3 18" xfId="12685" xr:uid="{AC988774-5C19-413D-84D0-AF4D6EA86838}"/>
    <cellStyle name="Normal 3 2 2 3 19" xfId="12686" xr:uid="{2DA1C52B-0BDF-453B-A268-ADA8FE237D82}"/>
    <cellStyle name="Normal 3 2 2 3 2" xfId="12687" xr:uid="{3929903C-9F7E-4EAF-B115-4177BC2BF143}"/>
    <cellStyle name="Normal 3 2 2 3 20" xfId="12688" xr:uid="{B1738A61-F370-48CD-8263-09F3D0AB1185}"/>
    <cellStyle name="Normal 3 2 2 3 21" xfId="12689" xr:uid="{B583F774-C4DD-4CD5-A407-F24F54D96A4D}"/>
    <cellStyle name="Normal 3 2 2 3 22" xfId="12690" xr:uid="{38CF4B3D-6549-4905-AA9C-4264B616B064}"/>
    <cellStyle name="Normal 3 2 2 3 23" xfId="12691" xr:uid="{3679F0B0-F5C5-412C-A5DF-15368E6AFD11}"/>
    <cellStyle name="Normal 3 2 2 3 24" xfId="12692" xr:uid="{D36DB438-37B6-42F0-A244-4F4148A03083}"/>
    <cellStyle name="Normal 3 2 2 3 25" xfId="12693" xr:uid="{63A450B9-3BD1-4296-A366-3F45C0C38539}"/>
    <cellStyle name="Normal 3 2 2 3 26" xfId="12694" xr:uid="{519936FA-A34A-4CC0-90E2-36B75234442D}"/>
    <cellStyle name="Normal 3 2 2 3 27" xfId="12695" xr:uid="{F390C9C0-01A1-461E-88C1-2159E762CD18}"/>
    <cellStyle name="Normal 3 2 2 3 28" xfId="12696" xr:uid="{AB861469-898E-41E6-91F9-3269F5B0812B}"/>
    <cellStyle name="Normal 3 2 2 3 29" xfId="12697" xr:uid="{D9BC212F-6B1E-47F8-A27D-2AA47D98B505}"/>
    <cellStyle name="Normal 3 2 2 3 3" xfId="12698" xr:uid="{23B3C266-6F4E-4011-85E9-4AD560BD2E4C}"/>
    <cellStyle name="Normal 3 2 2 3 30" xfId="12699" xr:uid="{F9FED149-1B10-4C9C-868F-85700480A212}"/>
    <cellStyle name="Normal 3 2 2 3 31" xfId="12700" xr:uid="{2B000311-87A1-4CB7-ACC5-7090AE5D6FE3}"/>
    <cellStyle name="Normal 3 2 2 3 32" xfId="12701" xr:uid="{A24EFCF6-BDD1-4101-9A50-6EF938FD4727}"/>
    <cellStyle name="Normal 3 2 2 3 33" xfId="12702" xr:uid="{D60C8955-5F45-4894-BBD6-ADC287A8ECEC}"/>
    <cellStyle name="Normal 3 2 2 3 34" xfId="12703" xr:uid="{75F560F5-2A23-4B96-A6FC-A14A5ADBF444}"/>
    <cellStyle name="Normal 3 2 2 3 35" xfId="12704" xr:uid="{D4C72B0B-4028-4646-9E30-23B9D8200C90}"/>
    <cellStyle name="Normal 3 2 2 3 36" xfId="12705" xr:uid="{4F19258A-9BF8-420E-86BE-B61CD1BAA47F}"/>
    <cellStyle name="Normal 3 2 2 3 37" xfId="12706" xr:uid="{FF850543-A8A1-48F8-AC24-3E7A026BC524}"/>
    <cellStyle name="Normal 3 2 2 3 38" xfId="12707" xr:uid="{154C694A-2952-4B5B-8F63-43B42E4B68E0}"/>
    <cellStyle name="Normal 3 2 2 3 39" xfId="12708" xr:uid="{DAF9EB18-FAFF-43BC-9DF1-C1DF587ADF70}"/>
    <cellStyle name="Normal 3 2 2 3 4" xfId="12709" xr:uid="{F52F5CC9-1F16-42B5-899A-6B42AD902983}"/>
    <cellStyle name="Normal 3 2 2 3 40" xfId="12710" xr:uid="{A399D416-AD27-4003-BCDF-E3A039305C97}"/>
    <cellStyle name="Normal 3 2 2 3 41" xfId="12711" xr:uid="{9746A7F7-0D57-4D12-8894-69B13F6738E8}"/>
    <cellStyle name="Normal 3 2 2 3 42" xfId="12712" xr:uid="{C5C0EC88-F5C9-43DA-A245-B10011B3EFC7}"/>
    <cellStyle name="Normal 3 2 2 3 43" xfId="12713" xr:uid="{23AA0D94-0F16-42CA-A8AC-02F8B5FCA046}"/>
    <cellStyle name="Normal 3 2 2 3 44" xfId="12714" xr:uid="{F22266E4-D4B9-4CC3-9782-E72A227A31CD}"/>
    <cellStyle name="Normal 3 2 2 3 45" xfId="12715" xr:uid="{818424C0-07C9-4AC4-817C-C1E4DA4ECB92}"/>
    <cellStyle name="Normal 3 2 2 3 46" xfId="12716" xr:uid="{054E9CAB-BE8F-472F-9B8F-963D404955DD}"/>
    <cellStyle name="Normal 3 2 2 3 47" xfId="12717" xr:uid="{7DF7F2AB-1280-4DE9-8F68-A005D4D0DBD3}"/>
    <cellStyle name="Normal 3 2 2 3 5" xfId="12718" xr:uid="{1231F178-5EA8-4D26-AB65-4C4D2C313FB2}"/>
    <cellStyle name="Normal 3 2 2 3 6" xfId="12719" xr:uid="{9101115D-6339-46D5-B33F-1352F2341136}"/>
    <cellStyle name="Normal 3 2 2 3 7" xfId="12720" xr:uid="{5C7255CF-9E89-4BE6-9C7C-2ABA9F30D664}"/>
    <cellStyle name="Normal 3 2 2 3 8" xfId="12721" xr:uid="{233F47A2-0356-4FC5-B821-70964E30B1A1}"/>
    <cellStyle name="Normal 3 2 2 3 9" xfId="12722" xr:uid="{0C1D2C4F-BC61-40F8-9827-245F75146339}"/>
    <cellStyle name="Normal 3 2 2 30" xfId="12723" xr:uid="{33D1E2E4-522E-4E7F-AFC8-842C3BC376E8}"/>
    <cellStyle name="Normal 3 2 2 31" xfId="12724" xr:uid="{BD885E66-EDAA-4DA3-B344-680DF53A8A26}"/>
    <cellStyle name="Normal 3 2 2 32" xfId="12725" xr:uid="{B2B620E2-2D08-48FB-99F7-9FAA4AEB6188}"/>
    <cellStyle name="Normal 3 2 2 33" xfId="12726" xr:uid="{6B52DE80-4243-4FCD-B95A-641DAC75A2B3}"/>
    <cellStyle name="Normal 3 2 2 34" xfId="12727" xr:uid="{CDB5156E-3057-4194-83DB-9DFEB93DE728}"/>
    <cellStyle name="Normal 3 2 2 35" xfId="12728" xr:uid="{DB22C97C-32CA-4E6F-8BB6-0A5E18131BD2}"/>
    <cellStyle name="Normal 3 2 2 36" xfId="12729" xr:uid="{1ADD8983-F360-4970-8893-CCE3DAD02840}"/>
    <cellStyle name="Normal 3 2 2 37" xfId="12730" xr:uid="{5133EE18-0668-4707-8A11-FBC24C0039E8}"/>
    <cellStyle name="Normal 3 2 2 38" xfId="12731" xr:uid="{C1ADFEE1-924C-4BE3-BA96-2C8DC90BC9FA}"/>
    <cellStyle name="Normal 3 2 2 39" xfId="12732" xr:uid="{2792B0D9-AAE0-433A-B3B1-6D22EC7A423E}"/>
    <cellStyle name="Normal 3 2 2 4" xfId="12733" xr:uid="{4C9E9108-B20F-4C9E-9AC5-2F538C3D02E5}"/>
    <cellStyle name="Normal 3 2 2 40" xfId="12734" xr:uid="{DAC88DC3-CB57-40C7-9F52-BE031BB2B674}"/>
    <cellStyle name="Normal 3 2 2 41" xfId="12735" xr:uid="{8A57E411-4E0C-4EE1-B41A-F70ADC9AE27E}"/>
    <cellStyle name="Normal 3 2 2 42" xfId="12736" xr:uid="{76254C89-DD29-4844-98EE-4DD02F946468}"/>
    <cellStyle name="Normal 3 2 2 43" xfId="12737" xr:uid="{55EFFE7D-5450-4BE4-B05A-F7BD5B69BC01}"/>
    <cellStyle name="Normal 3 2 2 44" xfId="12738" xr:uid="{BC6B8177-EDCE-4858-AB4B-4BACB27BFD00}"/>
    <cellStyle name="Normal 3 2 2 45" xfId="12739" xr:uid="{57B85B84-DF7E-4041-ACD3-BF4C3CE379B7}"/>
    <cellStyle name="Normal 3 2 2 46" xfId="12740" xr:uid="{85F530A6-753E-4764-AE4F-4E1C20B51CCB}"/>
    <cellStyle name="Normal 3 2 2 47" xfId="12741" xr:uid="{90874F68-8EDD-4A91-9001-A4A011FB3793}"/>
    <cellStyle name="Normal 3 2 2 48" xfId="12742" xr:uid="{4B11FB01-4915-47F3-9B42-1D62E5026B71}"/>
    <cellStyle name="Normal 3 2 2 49" xfId="12743" xr:uid="{1D6D97B7-1097-4B45-98F1-B884F9D11823}"/>
    <cellStyle name="Normal 3 2 2 5" xfId="12744" xr:uid="{144E66F8-CD7E-4087-9D38-28F2C237ABBE}"/>
    <cellStyle name="Normal 3 2 2 50" xfId="12745" xr:uid="{BD1942F2-C3A7-485F-A2BC-8F124E91DD72}"/>
    <cellStyle name="Normal 3 2 2 51" xfId="12746" xr:uid="{AA4F4074-546D-4A53-B915-AFB239F377C0}"/>
    <cellStyle name="Normal 3 2 2 52" xfId="12747" xr:uid="{871BD3CA-5E55-40BA-8D7D-2BC63F3173E9}"/>
    <cellStyle name="Normal 3 2 2 53" xfId="12748" xr:uid="{F131751E-D691-4ECA-94F6-F7AF4F3C8A27}"/>
    <cellStyle name="Normal 3 2 2 6" xfId="12749" xr:uid="{EFC6F1C6-B433-4280-8752-386FDB8C90D3}"/>
    <cellStyle name="Normal 3 2 2 7" xfId="12750" xr:uid="{1584C550-60D9-4DE5-A703-BC92324DD2B4}"/>
    <cellStyle name="Normal 3 2 2 8" xfId="12751" xr:uid="{643DBD5B-CDF9-4FC4-9F91-9E978BDDF262}"/>
    <cellStyle name="Normal 3 2 2 9" xfId="12752" xr:uid="{2599FCFA-3AFB-4934-92F7-9941B982258C}"/>
    <cellStyle name="Normal 3 2 20" xfId="12753" xr:uid="{1B4BAD90-8EB6-4EDE-BBDE-CD80AD562A6E}"/>
    <cellStyle name="Normal 3 2 21" xfId="12754" xr:uid="{DEA850A6-7227-4FB3-9C8E-0DDBABA19683}"/>
    <cellStyle name="Normal 3 2 22" xfId="12755" xr:uid="{6A1F8378-47E9-46B4-84C4-21C1257E220C}"/>
    <cellStyle name="Normal 3 2 23" xfId="12756" xr:uid="{6D99F64B-7318-4CD3-8EB0-C14F042284ED}"/>
    <cellStyle name="Normal 3 2 24" xfId="12757" xr:uid="{78955B1C-58B8-4906-AC36-96F14AE7CC97}"/>
    <cellStyle name="Normal 3 2 25" xfId="12758" xr:uid="{83B3839C-A4A4-4C7F-B1F6-B3BABB1B95A2}"/>
    <cellStyle name="Normal 3 2 26" xfId="12759" xr:uid="{F6BAAEE7-BB1A-4A6C-96AB-9E6F867BBBA5}"/>
    <cellStyle name="Normal 3 2 27" xfId="12760" xr:uid="{71F62EEC-9E60-44DF-A841-924E7B0E700D}"/>
    <cellStyle name="Normal 3 2 28" xfId="12761" xr:uid="{D66B9C5E-CCC5-44E9-9BF9-FE902AC15278}"/>
    <cellStyle name="Normal 3 2 29" xfId="12762" xr:uid="{E84290C5-1E5A-4979-B755-05125E168D61}"/>
    <cellStyle name="Normal 3 2 3" xfId="12763" xr:uid="{4114AF1C-53DE-495F-8A9E-C7E7A8A22FDF}"/>
    <cellStyle name="Normal 3 2 3 10" xfId="12764" xr:uid="{750F7D85-97B3-44E6-B2BF-8675AF926F7A}"/>
    <cellStyle name="Normal 3 2 3 11" xfId="12765" xr:uid="{A82B28C5-967F-4C7C-BBFF-A1796B976CBF}"/>
    <cellStyle name="Normal 3 2 3 12" xfId="12766" xr:uid="{37F38DDE-08E5-4B01-B77C-C88C51EE51DB}"/>
    <cellStyle name="Normal 3 2 3 13" xfId="12767" xr:uid="{61A7E58A-82C6-40E0-94C1-D0EBF7722A16}"/>
    <cellStyle name="Normal 3 2 3 14" xfId="12768" xr:uid="{6F9353D3-8059-48F7-911C-55E8DBAC0C66}"/>
    <cellStyle name="Normal 3 2 3 15" xfId="12769" xr:uid="{3424291E-7848-4374-9371-E53ACB881CE2}"/>
    <cellStyle name="Normal 3 2 3 16" xfId="12770" xr:uid="{B7A97063-B050-4238-AE93-C2952B9C7DF2}"/>
    <cellStyle name="Normal 3 2 3 17" xfId="12771" xr:uid="{2A1170BE-FFAB-45E7-B04D-626911BF551C}"/>
    <cellStyle name="Normal 3 2 3 18" xfId="12772" xr:uid="{1A6157D5-CEE3-4A01-84DC-663B995CB533}"/>
    <cellStyle name="Normal 3 2 3 19" xfId="12773" xr:uid="{390B2AB0-8886-4E12-AF62-B4CE1D69ECDF}"/>
    <cellStyle name="Normal 3 2 3 2" xfId="12774" xr:uid="{6988FC10-0056-4440-8161-D65346FA7B41}"/>
    <cellStyle name="Normal 3 2 3 2 10" xfId="12775" xr:uid="{2F172A1A-6D2C-4A41-A290-50D9CE33C536}"/>
    <cellStyle name="Normal 3 2 3 2 11" xfId="12776" xr:uid="{322C9124-D857-4123-B9D1-D68E3EEFD55E}"/>
    <cellStyle name="Normal 3 2 3 2 12" xfId="12777" xr:uid="{DF5E67E7-DA36-48D5-B7D0-6C713192E5F2}"/>
    <cellStyle name="Normal 3 2 3 2 13" xfId="12778" xr:uid="{6B22A8F0-6225-449D-825B-D04F1247AB9C}"/>
    <cellStyle name="Normal 3 2 3 2 14" xfId="12779" xr:uid="{23C84FDC-E6FC-415C-A3A5-05E716EB291B}"/>
    <cellStyle name="Normal 3 2 3 2 15" xfId="12780" xr:uid="{E9FE7DC5-88CE-47FB-9FE4-A8A51A5489C3}"/>
    <cellStyle name="Normal 3 2 3 2 16" xfId="12781" xr:uid="{D6C92980-7E63-40D3-93D7-C9144E44C72A}"/>
    <cellStyle name="Normal 3 2 3 2 17" xfId="12782" xr:uid="{5E271854-4E7A-486C-A908-6B062399F8AF}"/>
    <cellStyle name="Normal 3 2 3 2 18" xfId="12783" xr:uid="{B5C7C7E7-D094-4C46-9D04-D5A82A6768AC}"/>
    <cellStyle name="Normal 3 2 3 2 19" xfId="12784" xr:uid="{541FD0D2-D65E-4D14-BCCE-9A51A6E69006}"/>
    <cellStyle name="Normal 3 2 3 2 2" xfId="12785" xr:uid="{4B717F81-AC77-4D07-A96A-6F7269F69397}"/>
    <cellStyle name="Normal 3 2 3 2 20" xfId="12786" xr:uid="{201F1F23-32A1-41A8-A85C-F3089699DA36}"/>
    <cellStyle name="Normal 3 2 3 2 21" xfId="12787" xr:uid="{25AD6A8D-9C1E-4494-B99F-89D7CA41E675}"/>
    <cellStyle name="Normal 3 2 3 2 22" xfId="12788" xr:uid="{2594770D-D39E-46FE-800D-9816C453E27F}"/>
    <cellStyle name="Normal 3 2 3 2 23" xfId="12789" xr:uid="{1546D621-3236-4ED8-BF9B-3C71F093A04E}"/>
    <cellStyle name="Normal 3 2 3 2 24" xfId="12790" xr:uid="{38CCBB09-8DA4-4AE4-9D65-2E9A8BD88ACE}"/>
    <cellStyle name="Normal 3 2 3 2 25" xfId="12791" xr:uid="{DCB637DD-D7F2-4EC7-AD64-10BA4D299E80}"/>
    <cellStyle name="Normal 3 2 3 2 26" xfId="12792" xr:uid="{FDDAB433-4C17-4DC7-B6B1-987EDAFC7217}"/>
    <cellStyle name="Normal 3 2 3 2 27" xfId="12793" xr:uid="{1701D908-7949-4B33-A3B0-161B03AAB30B}"/>
    <cellStyle name="Normal 3 2 3 2 28" xfId="12794" xr:uid="{4D429E26-87B4-4FFC-88F4-308E1425E903}"/>
    <cellStyle name="Normal 3 2 3 2 29" xfId="12795" xr:uid="{D238254B-E9C5-487B-9ABC-48952D99BC81}"/>
    <cellStyle name="Normal 3 2 3 2 3" xfId="12796" xr:uid="{17437C30-7D7F-4A7C-86D8-B4334B51C392}"/>
    <cellStyle name="Normal 3 2 3 2 30" xfId="12797" xr:uid="{C4295A98-4AAB-4368-AC3D-8FAC3B277E58}"/>
    <cellStyle name="Normal 3 2 3 2 31" xfId="12798" xr:uid="{9E81CF06-EC29-46E5-A0A2-58AA94A6C56B}"/>
    <cellStyle name="Normal 3 2 3 2 32" xfId="12799" xr:uid="{7D156BE3-50EB-430C-B56E-5F233ABA4C3C}"/>
    <cellStyle name="Normal 3 2 3 2 33" xfId="12800" xr:uid="{F8FA0D54-498A-483D-9473-E993803A23DE}"/>
    <cellStyle name="Normal 3 2 3 2 34" xfId="12801" xr:uid="{23631B6C-F4D5-4FAF-ADE5-00F1419B675D}"/>
    <cellStyle name="Normal 3 2 3 2 35" xfId="12802" xr:uid="{31636BE9-CA68-491F-80CC-277FECEF2723}"/>
    <cellStyle name="Normal 3 2 3 2 36" xfId="12803" xr:uid="{5E234FF9-C51D-4FF5-B203-4B3BCEDACA01}"/>
    <cellStyle name="Normal 3 2 3 2 37" xfId="12804" xr:uid="{484F6D1B-B8C2-457C-A672-A467A33B4A44}"/>
    <cellStyle name="Normal 3 2 3 2 38" xfId="12805" xr:uid="{27EA7FCE-457B-4B25-9B8A-556F63E30E72}"/>
    <cellStyle name="Normal 3 2 3 2 39" xfId="12806" xr:uid="{D14C9AC5-2FA5-4AA9-8697-C2EDA54B2D2B}"/>
    <cellStyle name="Normal 3 2 3 2 4" xfId="12807" xr:uid="{7F6FAAC7-2B05-46A0-9C64-D18A00C6B752}"/>
    <cellStyle name="Normal 3 2 3 2 40" xfId="12808" xr:uid="{6EB39D70-3576-46EB-BCD4-4D248EB8FD0A}"/>
    <cellStyle name="Normal 3 2 3 2 41" xfId="12809" xr:uid="{D6FA5B2F-0E93-41F0-8E74-52AF6F52EB4F}"/>
    <cellStyle name="Normal 3 2 3 2 42" xfId="12810" xr:uid="{7EA3A42F-9AC5-47CD-8F2F-FE3AD4868FB9}"/>
    <cellStyle name="Normal 3 2 3 2 43" xfId="12811" xr:uid="{7939F71F-267D-40CE-B994-E49FBF284221}"/>
    <cellStyle name="Normal 3 2 3 2 44" xfId="12812" xr:uid="{7DCB9CD6-DDC4-4F04-8DF7-5522CCD4B8C0}"/>
    <cellStyle name="Normal 3 2 3 2 45" xfId="12813" xr:uid="{752EDB4F-1123-4A38-AF88-9F0CA78AA83F}"/>
    <cellStyle name="Normal 3 2 3 2 46" xfId="12814" xr:uid="{E85B9FDB-335F-4193-A368-3D6675441341}"/>
    <cellStyle name="Normal 3 2 3 2 47" xfId="12815" xr:uid="{1F607B46-047F-4EF6-898D-3F03CB6CA174}"/>
    <cellStyle name="Normal 3 2 3 2 5" xfId="12816" xr:uid="{FD32980B-F112-43F1-8120-5BB718095186}"/>
    <cellStyle name="Normal 3 2 3 2 6" xfId="12817" xr:uid="{73C13D94-B781-4275-9497-BC0D40C261A5}"/>
    <cellStyle name="Normal 3 2 3 2 7" xfId="12818" xr:uid="{059F1641-3414-472E-BE2D-4D3A3976D2BC}"/>
    <cellStyle name="Normal 3 2 3 2 8" xfId="12819" xr:uid="{0EA1C1D9-5574-4D8B-B519-B92EE76AE8A0}"/>
    <cellStyle name="Normal 3 2 3 2 9" xfId="12820" xr:uid="{36BEAD4B-3B05-44EA-BD2F-2E56BD87E009}"/>
    <cellStyle name="Normal 3 2 3 20" xfId="12821" xr:uid="{B86079A7-3270-4ACD-8CC3-1DD19481615D}"/>
    <cellStyle name="Normal 3 2 3 21" xfId="12822" xr:uid="{42769C2B-78D3-4334-9426-F4736989F166}"/>
    <cellStyle name="Normal 3 2 3 22" xfId="12823" xr:uid="{05776647-E42E-406E-B7E7-85A531635104}"/>
    <cellStyle name="Normal 3 2 3 23" xfId="12824" xr:uid="{F3006FDA-B3F4-4C57-A93E-90E9B2FF08D3}"/>
    <cellStyle name="Normal 3 2 3 24" xfId="12825" xr:uid="{1FB91EDD-5552-46C8-AEB9-7758A5293012}"/>
    <cellStyle name="Normal 3 2 3 25" xfId="12826" xr:uid="{FE8FA934-3711-4983-923C-B2A12F5A532F}"/>
    <cellStyle name="Normal 3 2 3 26" xfId="12827" xr:uid="{DF2A6A00-EFC8-457C-8F49-B7FA8F908634}"/>
    <cellStyle name="Normal 3 2 3 27" xfId="12828" xr:uid="{1AF5BAD3-BE59-4420-A33E-1F012291592B}"/>
    <cellStyle name="Normal 3 2 3 28" xfId="12829" xr:uid="{4B041A93-82CB-45BE-85C3-508905287D59}"/>
    <cellStyle name="Normal 3 2 3 29" xfId="12830" xr:uid="{16D95CF8-7A29-4D88-830B-B0C6D2D678AA}"/>
    <cellStyle name="Normal 3 2 3 3" xfId="12831" xr:uid="{D216FEA1-838E-49B8-8DE9-F809DA8B4DDB}"/>
    <cellStyle name="Normal 3 2 3 30" xfId="12832" xr:uid="{0503419B-2D46-4A4D-89D7-95B0E3BAA093}"/>
    <cellStyle name="Normal 3 2 3 31" xfId="12833" xr:uid="{48358DD3-2034-4ADC-AF53-84853F4DCE1B}"/>
    <cellStyle name="Normal 3 2 3 32" xfId="12834" xr:uid="{56AD2F3C-9005-46C4-A5C0-6254BCE25105}"/>
    <cellStyle name="Normal 3 2 3 33" xfId="12835" xr:uid="{858ED9C7-B488-4EB1-BBC1-9D0446EECE71}"/>
    <cellStyle name="Normal 3 2 3 34" xfId="12836" xr:uid="{1AC8F478-EEEA-499E-995F-E71354F93D5B}"/>
    <cellStyle name="Normal 3 2 3 35" xfId="12837" xr:uid="{740119AD-94C3-446F-9CC5-93A3EF3E0E35}"/>
    <cellStyle name="Normal 3 2 3 36" xfId="12838" xr:uid="{B7698B38-0032-4549-9BBE-333CA46C7FE5}"/>
    <cellStyle name="Normal 3 2 3 37" xfId="12839" xr:uid="{B0B235D7-E33F-4A54-B002-4499BCEA3794}"/>
    <cellStyle name="Normal 3 2 3 38" xfId="12840" xr:uid="{D2F5284D-8B1A-4D61-935D-C5677D81C5AC}"/>
    <cellStyle name="Normal 3 2 3 39" xfId="12841" xr:uid="{DC777334-4B54-487D-89AC-1938F0A9BCBB}"/>
    <cellStyle name="Normal 3 2 3 4" xfId="12842" xr:uid="{97609204-794A-4E03-B33B-E21117263782}"/>
    <cellStyle name="Normal 3 2 3 40" xfId="12843" xr:uid="{79AFAF09-04B5-4548-A5A6-794F608D38E6}"/>
    <cellStyle name="Normal 3 2 3 41" xfId="12844" xr:uid="{A3BF655F-0C27-4B8B-ABA4-83D535A1ACDB}"/>
    <cellStyle name="Normal 3 2 3 42" xfId="12845" xr:uid="{BCD46145-A7C7-4BB6-A2B7-44500C39C305}"/>
    <cellStyle name="Normal 3 2 3 43" xfId="12846" xr:uid="{3F63B7F8-B593-4255-B7D8-341D33D32003}"/>
    <cellStyle name="Normal 3 2 3 44" xfId="12847" xr:uid="{5E3610F1-278F-4284-99B7-FE2957976CDE}"/>
    <cellStyle name="Normal 3 2 3 45" xfId="12848" xr:uid="{DDB21474-D03C-4397-A012-892859092A55}"/>
    <cellStyle name="Normal 3 2 3 46" xfId="12849" xr:uid="{6455F6AD-D21A-45B4-90B7-0000FE22E81E}"/>
    <cellStyle name="Normal 3 2 3 47" xfId="12850" xr:uid="{FABDFCF8-727B-40DE-9DDA-FD0407AFB528}"/>
    <cellStyle name="Normal 3 2 3 48" xfId="12851" xr:uid="{558CD1D1-F8BE-4AA1-A4AC-92BAD30B92B2}"/>
    <cellStyle name="Normal 3 2 3 49" xfId="12852" xr:uid="{6ECB9A77-7A8C-4CE8-BE39-80ABC4E33687}"/>
    <cellStyle name="Normal 3 2 3 5" xfId="12853" xr:uid="{CE81FC01-288E-49D3-BDEE-A35B71FBF9F1}"/>
    <cellStyle name="Normal 3 2 3 50" xfId="12854" xr:uid="{20772A12-1207-49E0-A22F-AB7B9807AC7D}"/>
    <cellStyle name="Normal 3 2 3 51" xfId="12855" xr:uid="{55F191CF-7F60-4EB9-90FD-7E7840EDEF9E}"/>
    <cellStyle name="Normal 3 2 3 52" xfId="12856" xr:uid="{786CA22C-00BF-4C7A-AF0F-AD032F304E4C}"/>
    <cellStyle name="Normal 3 2 3 6" xfId="12857" xr:uid="{C45A5963-893E-4F0B-AC2F-B2578B027D5C}"/>
    <cellStyle name="Normal 3 2 3 7" xfId="12858" xr:uid="{191944E4-CA2D-4676-AECD-DF96E389AFFE}"/>
    <cellStyle name="Normal 3 2 3 8" xfId="12859" xr:uid="{70D3938A-6A01-4FDA-82AB-5E8580578EEC}"/>
    <cellStyle name="Normal 3 2 3 9" xfId="12860" xr:uid="{BBEC9704-E76E-4282-8B88-6BAFB83E924A}"/>
    <cellStyle name="Normal 3 2 30" xfId="12861" xr:uid="{051E4C00-F457-4004-86CB-6D9077BAC6E8}"/>
    <cellStyle name="Normal 3 2 31" xfId="12862" xr:uid="{E48229C2-AE72-4144-8786-23A93DE01B0E}"/>
    <cellStyle name="Normal 3 2 32" xfId="12863" xr:uid="{0A50EC8A-8D36-4B5A-AB4D-9A01BE5F9120}"/>
    <cellStyle name="Normal 3 2 33" xfId="12864" xr:uid="{1407053E-23EA-4509-AC16-E8EF3F9FBA99}"/>
    <cellStyle name="Normal 3 2 34" xfId="12865" xr:uid="{9492A3A3-8127-4C2A-B71B-7EE539D3050A}"/>
    <cellStyle name="Normal 3 2 35" xfId="12866" xr:uid="{D25DD089-4F40-4E28-B0BC-925A6A1708D1}"/>
    <cellStyle name="Normal 3 2 36" xfId="12867" xr:uid="{1664D3F0-30BD-4AD5-AF9B-29E01475EEF2}"/>
    <cellStyle name="Normal 3 2 37" xfId="12868" xr:uid="{1D59527F-DA5A-4A4A-8E7B-9B41CC8E30CE}"/>
    <cellStyle name="Normal 3 2 38" xfId="12869" xr:uid="{CC978BB7-D271-4B65-BE0C-80A10FB14F76}"/>
    <cellStyle name="Normal 3 2 39" xfId="12870" xr:uid="{A57D7B12-7F2D-4ADA-96A3-3FAB0EB972EE}"/>
    <cellStyle name="Normal 3 2 4" xfId="12871" xr:uid="{48302982-5A58-47E4-ABFA-3174E1342411}"/>
    <cellStyle name="Normal 3 2 4 2" xfId="12872" xr:uid="{3F629CEE-BA98-4870-BAA5-CA2AF7331679}"/>
    <cellStyle name="Normal 3 2 4 3" xfId="12873" xr:uid="{57CF5A23-941C-439A-813D-9079EF5CF221}"/>
    <cellStyle name="Normal 3 2 4 4" xfId="12874" xr:uid="{5FA53CED-CC1E-4389-999C-A93858CDEE20}"/>
    <cellStyle name="Normal 3 2 4 5" xfId="12875" xr:uid="{154CD7D3-5281-49AF-AD28-6ACB0AEB13C2}"/>
    <cellStyle name="Normal 3 2 4 6" xfId="12876" xr:uid="{FE41DB75-4D2C-40B0-BE89-F281D1C13F73}"/>
    <cellStyle name="Normal 3 2 40" xfId="12877" xr:uid="{480F76D8-FC5E-4A5F-B185-3134FAC72AD8}"/>
    <cellStyle name="Normal 3 2 41" xfId="12878" xr:uid="{9131E543-30BC-4DCB-A615-0E3E8FF462B4}"/>
    <cellStyle name="Normal 3 2 42" xfId="12879" xr:uid="{AB3DA657-C5A7-46E6-B6FB-EC34AF088308}"/>
    <cellStyle name="Normal 3 2 43" xfId="12880" xr:uid="{2C696E6A-9B61-412D-90AA-70E6FED2BE92}"/>
    <cellStyle name="Normal 3 2 44" xfId="12881" xr:uid="{432A15E2-5D09-4AE1-A9D8-8F619D71FD7F}"/>
    <cellStyle name="Normal 3 2 45" xfId="12882" xr:uid="{8F50A7F0-C046-4000-93F1-0EC52EEAA6E4}"/>
    <cellStyle name="Normal 3 2 46" xfId="12883" xr:uid="{2B28BF82-7255-49F6-9358-C727F1FEC023}"/>
    <cellStyle name="Normal 3 2 47" xfId="12884" xr:uid="{4F817BEA-BC80-4957-9F0F-0C1C1F187DD9}"/>
    <cellStyle name="Normal 3 2 48" xfId="12885" xr:uid="{A21EE97E-ABE7-465D-B9FD-B5941721E9BC}"/>
    <cellStyle name="Normal 3 2 49" xfId="12886" xr:uid="{D2943C4A-0A34-4B1B-92DD-D2B503C9F4B4}"/>
    <cellStyle name="Normal 3 2 5" xfId="12887" xr:uid="{482ED1C1-BF7E-44F0-BAC3-E69716184C47}"/>
    <cellStyle name="Normal 3 2 5 2" xfId="12888" xr:uid="{F27C5ACA-BCAD-42F9-973D-CC710EF6F9A0}"/>
    <cellStyle name="Normal 3 2 5 3" xfId="12889" xr:uid="{6285A1B2-5E47-4BE8-AF0E-22DA36AA620D}"/>
    <cellStyle name="Normal 3 2 5 4" xfId="12890" xr:uid="{055A408D-B4CE-4FBE-A712-D4F8D4D1D7AC}"/>
    <cellStyle name="Normal 3 2 5 5" xfId="12891" xr:uid="{B52623BF-F085-4A5F-8382-384DC94AAC5E}"/>
    <cellStyle name="Normal 3 2 5 6" xfId="12892" xr:uid="{51E29765-C861-4E4E-90A2-C9599164BB19}"/>
    <cellStyle name="Normal 3 2 6" xfId="12893" xr:uid="{90DA707A-ED1C-4F58-A2D5-1BBCCA6C1F1E}"/>
    <cellStyle name="Normal 3 2 7" xfId="12894" xr:uid="{42840302-290B-4DA7-A13B-0931C8026702}"/>
    <cellStyle name="Normal 3 2 8" xfId="12895" xr:uid="{675DB61D-00D1-4D5D-8BBD-E36E07AC1087}"/>
    <cellStyle name="Normal 3 2 9" xfId="12896" xr:uid="{5B0801D2-5EAF-4D86-99C4-E4920CC86FBD}"/>
    <cellStyle name="Normal 3 20" xfId="12897" xr:uid="{442E4B41-CF11-4D92-AB0B-50295B65C2DA}"/>
    <cellStyle name="Normal 3 20 2" xfId="12898" xr:uid="{81507ABC-D676-4B0D-926D-362EED7ED14A}"/>
    <cellStyle name="Normal 3 20 3" xfId="12899" xr:uid="{01D3EB05-ACC7-4DA9-B952-292CBAD0B04A}"/>
    <cellStyle name="Normal 3 20 4" xfId="12900" xr:uid="{38C7AE3F-BC43-4A0D-97C0-8C95456A48D1}"/>
    <cellStyle name="Normal 3 20 5" xfId="12901" xr:uid="{7026429D-F2D7-4E04-BCDD-6F9088431A4F}"/>
    <cellStyle name="Normal 3 20 6" xfId="12902" xr:uid="{EB662F02-FF33-426E-9C09-F94EF291D195}"/>
    <cellStyle name="Normal 3 21" xfId="12903" xr:uid="{EE75FBB1-6C70-4F7D-996A-AEB118EBE763}"/>
    <cellStyle name="Normal 3 21 2" xfId="12904" xr:uid="{EC16BF6E-CF67-4985-ACB7-7751915506CC}"/>
    <cellStyle name="Normal 3 21 3" xfId="12905" xr:uid="{ADC40FC5-FDE1-496B-85B4-B0BA875F4F5C}"/>
    <cellStyle name="Normal 3 21 4" xfId="12906" xr:uid="{6A202346-0247-4511-B27C-F668303B1160}"/>
    <cellStyle name="Normal 3 21 5" xfId="12907" xr:uid="{0685FB13-48BA-4FA7-A62E-57D46AF794A9}"/>
    <cellStyle name="Normal 3 21 6" xfId="12908" xr:uid="{9A6046C2-1893-450B-A9F7-C21626464C58}"/>
    <cellStyle name="Normal 3 22" xfId="12909" xr:uid="{D28FF1DA-8D3B-4E36-B189-C8E3640F6216}"/>
    <cellStyle name="Normal 3 22 2" xfId="12910" xr:uid="{D0945D4A-5CF3-451E-8126-DD21E9CCF094}"/>
    <cellStyle name="Normal 3 22 3" xfId="12911" xr:uid="{E2F0B380-6B6F-48C0-A6AF-6B3B008D740D}"/>
    <cellStyle name="Normal 3 22 4" xfId="12912" xr:uid="{44DE1147-EE22-404C-A7CB-AFCE6C01C725}"/>
    <cellStyle name="Normal 3 22 5" xfId="12913" xr:uid="{BDD1C1EC-7262-4EFC-8AB5-C1F34EF5ED5A}"/>
    <cellStyle name="Normal 3 22 6" xfId="12914" xr:uid="{0B1D2559-8BE6-418D-9CBF-DA0BD7286524}"/>
    <cellStyle name="Normal 3 23" xfId="12915" xr:uid="{A824E549-9B49-4E45-8182-8DFA195E7A40}"/>
    <cellStyle name="Normal 3 23 2" xfId="12916" xr:uid="{D6C1B4BD-AF78-4CCB-87D2-9C3CF1776223}"/>
    <cellStyle name="Normal 3 23 3" xfId="12917" xr:uid="{F651B163-6173-4241-9EDA-AC155C8E9489}"/>
    <cellStyle name="Normal 3 23 4" xfId="12918" xr:uid="{0D966E51-0A2D-4E58-A585-5EF376287886}"/>
    <cellStyle name="Normal 3 23 5" xfId="12919" xr:uid="{6E431D7A-1F33-448E-90ED-AF659CEFF455}"/>
    <cellStyle name="Normal 3 23 6" xfId="12920" xr:uid="{39BC3715-C617-40A8-A7AB-13D6749D9E27}"/>
    <cellStyle name="Normal 3 24" xfId="12921" xr:uid="{720E6B22-3264-49B2-B220-2D764FDDD6C8}"/>
    <cellStyle name="Normal 3 24 2" xfId="12922" xr:uid="{BE940737-1E06-4297-BC9B-C5704C257DF3}"/>
    <cellStyle name="Normal 3 24 3" xfId="12923" xr:uid="{B619CE9B-3046-49E6-8C14-6D2470CAF15D}"/>
    <cellStyle name="Normal 3 24 4" xfId="12924" xr:uid="{F75D3E63-9349-4B1B-AD38-FEA496298753}"/>
    <cellStyle name="Normal 3 24 5" xfId="12925" xr:uid="{C2E7B6BA-16E9-4740-A8DF-CB5B8402C6B4}"/>
    <cellStyle name="Normal 3 24 6" xfId="12926" xr:uid="{76A4F40E-4DFF-46A2-9DA4-41E00C211BF2}"/>
    <cellStyle name="Normal 3 25" xfId="12927" xr:uid="{80180758-5557-41A6-9342-CAFF664288DF}"/>
    <cellStyle name="Normal 3 25 2" xfId="12928" xr:uid="{89EA63D0-A24A-4F3D-8317-C991A36BE449}"/>
    <cellStyle name="Normal 3 25 3" xfId="12929" xr:uid="{4D25D947-C248-4590-8C63-BA4309D11079}"/>
    <cellStyle name="Normal 3 25 4" xfId="12930" xr:uid="{7DA2BAFF-8741-40D1-B901-5CC3B95B51F9}"/>
    <cellStyle name="Normal 3 25 5" xfId="12931" xr:uid="{7B05D252-0909-43AC-9288-2C877C54EBFE}"/>
    <cellStyle name="Normal 3 25 6" xfId="12932" xr:uid="{9CBC8787-E433-4A9B-A024-3B61FA90F826}"/>
    <cellStyle name="Normal 3 26" xfId="12933" xr:uid="{9860F4DC-2CA9-4602-9FFD-8156A8B07912}"/>
    <cellStyle name="Normal 3 26 2" xfId="12934" xr:uid="{195C9C92-2192-4CC5-99B7-56565245CD0B}"/>
    <cellStyle name="Normal 3 26 3" xfId="12935" xr:uid="{EBC96493-6BD1-4A76-BF54-C28D9CBB63A5}"/>
    <cellStyle name="Normal 3 26 4" xfId="12936" xr:uid="{E9A77700-8D11-4B8A-9624-248550EEBD85}"/>
    <cellStyle name="Normal 3 26 5" xfId="12937" xr:uid="{575DDCEE-677F-4424-BA36-92BD2EA181B3}"/>
    <cellStyle name="Normal 3 26 6" xfId="12938" xr:uid="{B436DCD6-DB48-4741-BA0F-1FE4E81433B2}"/>
    <cellStyle name="Normal 3 27" xfId="12939" xr:uid="{CF6854B6-EE85-4E9A-9F60-A3B3001306A7}"/>
    <cellStyle name="Normal 3 27 2" xfId="12940" xr:uid="{79F9B173-B2D2-491B-9109-117DF1767D2E}"/>
    <cellStyle name="Normal 3 27 3" xfId="12941" xr:uid="{32AC74B9-5A29-4B11-BBED-FB7B359B09E5}"/>
    <cellStyle name="Normal 3 27 4" xfId="12942" xr:uid="{857C09F3-D92D-4C90-97D0-408A63723327}"/>
    <cellStyle name="Normal 3 27 5" xfId="12943" xr:uid="{E3473508-8418-45FA-AA7A-CA151FE499DE}"/>
    <cellStyle name="Normal 3 27 6" xfId="12944" xr:uid="{BBBB1174-E1BD-447D-B620-3EC12C17B73F}"/>
    <cellStyle name="Normal 3 28" xfId="12945" xr:uid="{48B3369A-E944-4C0B-AD53-0871FEF11077}"/>
    <cellStyle name="Normal 3 28 2" xfId="12946" xr:uid="{07C347CC-6405-45C5-99BC-4AAD2D167D64}"/>
    <cellStyle name="Normal 3 28 3" xfId="12947" xr:uid="{93CF69BA-B230-4D30-9555-7494C12A0F51}"/>
    <cellStyle name="Normal 3 28 4" xfId="12948" xr:uid="{8EDA4EF6-2ED9-4EF4-91A0-124784768DAD}"/>
    <cellStyle name="Normal 3 28 5" xfId="12949" xr:uid="{18CF748F-B913-434D-B661-5AE2C5A7621C}"/>
    <cellStyle name="Normal 3 28 6" xfId="12950" xr:uid="{022DA97B-D8EB-4559-8F24-0277130D77B1}"/>
    <cellStyle name="Normal 3 29" xfId="12951" xr:uid="{CE55D3B2-4306-49B2-99BB-88541090BEF7}"/>
    <cellStyle name="Normal 3 29 2" xfId="12952" xr:uid="{838C2E99-91E6-493A-B599-248F2A90C003}"/>
    <cellStyle name="Normal 3 29 3" xfId="12953" xr:uid="{A8A10670-A346-4CFA-BBAF-C63CA74B2DEB}"/>
    <cellStyle name="Normal 3 29 4" xfId="12954" xr:uid="{A0A72AB9-FE07-451F-9BA7-95EF22EE742F}"/>
    <cellStyle name="Normal 3 29 5" xfId="12955" xr:uid="{CAE53C90-DB2B-48AC-B32C-C232AED67313}"/>
    <cellStyle name="Normal 3 29 6" xfId="12956" xr:uid="{5A7C123C-3925-4160-A4A6-B052C3904C1A}"/>
    <cellStyle name="Normal 3 3" xfId="12957" xr:uid="{67D00312-A70C-4450-A85B-93B751C59499}"/>
    <cellStyle name="Normal 3 3 2" xfId="12958" xr:uid="{3E7274A9-1EEE-493D-9D73-6128D9DF4111}"/>
    <cellStyle name="Normal 3 3 3" xfId="12959" xr:uid="{CE5A83E5-483E-4AFC-B972-1097ED695E9D}"/>
    <cellStyle name="Normal 3 3 4" xfId="12960" xr:uid="{1A76AA24-24D4-4262-AB85-DB181288D59F}"/>
    <cellStyle name="Normal 3 3 5" xfId="12961" xr:uid="{E9D2D288-8EC4-4829-8F71-BC0C16AE2C83}"/>
    <cellStyle name="Normal 3 3 5 10" xfId="12962" xr:uid="{7FBF1325-41FC-4FC8-A421-192144952CF0}"/>
    <cellStyle name="Normal 3 3 5 11" xfId="12963" xr:uid="{F02AEA51-E367-40A4-8BD6-E6FBF735BAF2}"/>
    <cellStyle name="Normal 3 3 5 12" xfId="12964" xr:uid="{466599C1-8440-42A3-A0EF-130AC664699D}"/>
    <cellStyle name="Normal 3 3 5 13" xfId="12965" xr:uid="{A4D204E0-515C-4ACD-B1AE-DCCD8AD4DF15}"/>
    <cellStyle name="Normal 3 3 5 14" xfId="12966" xr:uid="{5689B314-7048-4CD5-A5C2-D73D7A5CBBDB}"/>
    <cellStyle name="Normal 3 3 5 15" xfId="12967" xr:uid="{46DBC9C7-7DF7-470E-BE1A-AED79D82D9A6}"/>
    <cellStyle name="Normal 3 3 5 16" xfId="12968" xr:uid="{3335F549-87E7-4193-A249-C17BD5AB1784}"/>
    <cellStyle name="Normal 3 3 5 17" xfId="12969" xr:uid="{95BB6BC6-BD24-4870-967F-984A4CA18CF0}"/>
    <cellStyle name="Normal 3 3 5 18" xfId="12970" xr:uid="{0C39E3CA-A5C8-4A56-B793-74FBFB7CF988}"/>
    <cellStyle name="Normal 3 3 5 19" xfId="12971" xr:uid="{356BB963-2569-49DB-B791-8B333B5C7CD5}"/>
    <cellStyle name="Normal 3 3 5 2" xfId="12972" xr:uid="{507B4E11-B120-4DED-AC03-77F48E17D639}"/>
    <cellStyle name="Normal 3 3 5 20" xfId="12973" xr:uid="{878F1999-1503-4166-B249-1160739BEAC2}"/>
    <cellStyle name="Normal 3 3 5 21" xfId="12974" xr:uid="{F81CF57A-A8C0-4700-B399-58B0FBDCE85A}"/>
    <cellStyle name="Normal 3 3 5 22" xfId="12975" xr:uid="{277D09FB-06BE-4686-9ED9-38F0DDDC7767}"/>
    <cellStyle name="Normal 3 3 5 23" xfId="12976" xr:uid="{0ECF1D7B-9407-4E72-BAB0-A2100E2E685E}"/>
    <cellStyle name="Normal 3 3 5 24" xfId="12977" xr:uid="{77B862AE-B29A-4AC8-9DCB-271BD884A14C}"/>
    <cellStyle name="Normal 3 3 5 25" xfId="12978" xr:uid="{18164F27-F04A-4536-B0A2-3C67B1D929FD}"/>
    <cellStyle name="Normal 3 3 5 26" xfId="12979" xr:uid="{ADA6E8DA-6563-408A-A055-D78EF417DC11}"/>
    <cellStyle name="Normal 3 3 5 27" xfId="12980" xr:uid="{AA2A69C8-3A61-4789-8FA4-8541E41B571E}"/>
    <cellStyle name="Normal 3 3 5 28" xfId="12981" xr:uid="{0460DF08-9228-4B14-A828-34947FBF431A}"/>
    <cellStyle name="Normal 3 3 5 29" xfId="12982" xr:uid="{21DFC965-38EC-4A25-BDE3-30EC22189C33}"/>
    <cellStyle name="Normal 3 3 5 3" xfId="12983" xr:uid="{37A5988A-9403-4DB9-8631-BA120E9D97D1}"/>
    <cellStyle name="Normal 3 3 5 30" xfId="12984" xr:uid="{C41B8710-60B5-4E16-9E28-EC754C7B5CA9}"/>
    <cellStyle name="Normal 3 3 5 31" xfId="12985" xr:uid="{75E1B9B7-EF1B-417F-A339-5B3F092DDEAF}"/>
    <cellStyle name="Normal 3 3 5 32" xfId="12986" xr:uid="{B3F519A8-4E71-4D47-A3CA-3A340A444E29}"/>
    <cellStyle name="Normal 3 3 5 33" xfId="12987" xr:uid="{43630633-D413-4CE4-B0A3-86FC8DBA20F2}"/>
    <cellStyle name="Normal 3 3 5 34" xfId="12988" xr:uid="{FF0949DA-FD74-4163-B373-EB362D2F6055}"/>
    <cellStyle name="Normal 3 3 5 35" xfId="12989" xr:uid="{4E6FE055-62B8-4942-865E-45F8C35D17FB}"/>
    <cellStyle name="Normal 3 3 5 36" xfId="12990" xr:uid="{7FF88602-1494-4ACB-8C27-679A47147D30}"/>
    <cellStyle name="Normal 3 3 5 37" xfId="12991" xr:uid="{2B0380BD-DFF6-43C9-B009-C5BDA8027E59}"/>
    <cellStyle name="Normal 3 3 5 38" xfId="12992" xr:uid="{C777475D-07C4-4DE6-8346-EC64890E07D9}"/>
    <cellStyle name="Normal 3 3 5 39" xfId="12993" xr:uid="{74A4173F-8DE8-4370-A638-7FBC51609C21}"/>
    <cellStyle name="Normal 3 3 5 4" xfId="12994" xr:uid="{28FA2BCA-5108-4232-8295-141498B04717}"/>
    <cellStyle name="Normal 3 3 5 40" xfId="12995" xr:uid="{FDDED4CE-F28B-4A09-8FFE-6A848C47B69E}"/>
    <cellStyle name="Normal 3 3 5 41" xfId="12996" xr:uid="{42E31730-FE5D-4DDF-8141-993E3E024480}"/>
    <cellStyle name="Normal 3 3 5 42" xfId="12997" xr:uid="{700BA598-F41A-419C-A8CA-6666C14EA54C}"/>
    <cellStyle name="Normal 3 3 5 43" xfId="12998" xr:uid="{94DF516C-87C1-4D41-8408-6AA32E00FC4B}"/>
    <cellStyle name="Normal 3 3 5 44" xfId="12999" xr:uid="{CCB141F2-C72B-4692-B1C7-661C6CB78280}"/>
    <cellStyle name="Normal 3 3 5 45" xfId="13000" xr:uid="{ADBE77FC-4DD1-4FD8-B94E-F84E81F3759B}"/>
    <cellStyle name="Normal 3 3 5 46" xfId="13001" xr:uid="{E70EC6D7-1BAD-449D-8DDC-D31867985C34}"/>
    <cellStyle name="Normal 3 3 5 47" xfId="13002" xr:uid="{B06F346B-7ED2-4CB9-B2DD-D5D637B479FF}"/>
    <cellStyle name="Normal 3 3 5 5" xfId="13003" xr:uid="{B8834E06-AA4B-41D6-A9E0-46A32F92860A}"/>
    <cellStyle name="Normal 3 3 5 6" xfId="13004" xr:uid="{1E7E5D8D-2FBD-435D-B516-CCFA468B10E0}"/>
    <cellStyle name="Normal 3 3 5 7" xfId="13005" xr:uid="{A173F800-9809-47C9-8A53-5B38F6431133}"/>
    <cellStyle name="Normal 3 3 5 8" xfId="13006" xr:uid="{DD3108ED-331E-440E-8AAD-FCD9E8F05969}"/>
    <cellStyle name="Normal 3 3 5 9" xfId="13007" xr:uid="{BDD31A9E-1081-49DA-B02B-CFB5B01E03A5}"/>
    <cellStyle name="Normal 3 30" xfId="13008" xr:uid="{33517E27-EB5C-4089-8D09-AA848EE5C840}"/>
    <cellStyle name="Normal 3 30 2" xfId="13009" xr:uid="{88B5637E-2419-4A0E-906E-87887D44EAC9}"/>
    <cellStyle name="Normal 3 30 3" xfId="13010" xr:uid="{B2A6864B-B1C2-4DFF-A000-8E1CBA018E5E}"/>
    <cellStyle name="Normal 3 30 4" xfId="13011" xr:uid="{AE316B11-13DF-4E5B-ABDA-A76604D73E96}"/>
    <cellStyle name="Normal 3 30 5" xfId="13012" xr:uid="{86752199-449F-45E7-9374-03C79B2489A0}"/>
    <cellStyle name="Normal 3 30 6" xfId="13013" xr:uid="{76DD2C81-7CA7-4777-9129-A3F0D703A5E1}"/>
    <cellStyle name="Normal 3 31" xfId="13014" xr:uid="{AF3409B0-6BC4-4F2C-B728-4FB7C900D37A}"/>
    <cellStyle name="Normal 3 31 2" xfId="13015" xr:uid="{FA289E9B-2B75-43BC-99EF-A3A8CEA87A2C}"/>
    <cellStyle name="Normal 3 31 3" xfId="13016" xr:uid="{36B4528B-0663-4EF0-AC5F-EA28A5D53C55}"/>
    <cellStyle name="Normal 3 31 4" xfId="13017" xr:uid="{83B26C0F-D34D-4003-B80E-4E60D56693FD}"/>
    <cellStyle name="Normal 3 31 5" xfId="13018" xr:uid="{DF5CAEDF-83DC-4B61-9A1A-0A411B020F4C}"/>
    <cellStyle name="Normal 3 31 6" xfId="13019" xr:uid="{B2B4AFCC-7B83-4FC8-810C-24F99492298C}"/>
    <cellStyle name="Normal 3 32" xfId="13020" xr:uid="{A78DD2BC-0C56-4B87-83FE-317B13C8A45F}"/>
    <cellStyle name="Normal 3 32 2" xfId="13021" xr:uid="{4CF31543-E656-4A5E-9BE0-D0D6EC397C3A}"/>
    <cellStyle name="Normal 3 32 3" xfId="13022" xr:uid="{5AC2239A-26FF-4D90-B490-1869861085A3}"/>
    <cellStyle name="Normal 3 32 4" xfId="13023" xr:uid="{4C3EC34E-A82A-40F2-B0B0-8D48BE0A370C}"/>
    <cellStyle name="Normal 3 32 5" xfId="13024" xr:uid="{74FE2DEA-A004-4001-8743-480334AB0A01}"/>
    <cellStyle name="Normal 3 32 6" xfId="13025" xr:uid="{1E4A80FB-0E8E-45F6-A908-7BBD89355AE4}"/>
    <cellStyle name="Normal 3 33" xfId="13026" xr:uid="{465157C2-BA0E-4C95-AAA3-83316D48605E}"/>
    <cellStyle name="Normal 3 33 2" xfId="13027" xr:uid="{AE5168B4-94B3-4454-8D9A-152C190DC24E}"/>
    <cellStyle name="Normal 3 33 3" xfId="13028" xr:uid="{3EE4CA62-5D40-412E-8039-FD927E85EDD9}"/>
    <cellStyle name="Normal 3 33 4" xfId="13029" xr:uid="{EB664C1E-3928-40F9-AAEC-5803DD5605C6}"/>
    <cellStyle name="Normal 3 33 5" xfId="13030" xr:uid="{05469163-C831-41CB-8EB4-20AD6292EB85}"/>
    <cellStyle name="Normal 3 33 6" xfId="13031" xr:uid="{A6FDF68E-9949-4DC7-BD1B-9849D61FBB8C}"/>
    <cellStyle name="Normal 3 34" xfId="13032" xr:uid="{A609461A-D68B-41EF-A738-9F02050BE365}"/>
    <cellStyle name="Normal 3 35" xfId="13033" xr:uid="{EC034371-944E-4E23-A072-1D23BBAFEB11}"/>
    <cellStyle name="Normal 3 36" xfId="13034" xr:uid="{65CFA14E-3664-49BC-957F-0963B6AAF807}"/>
    <cellStyle name="Normal 3 37" xfId="13035" xr:uid="{81B06D1B-C0AB-45D8-B7C5-0EDD1A045B82}"/>
    <cellStyle name="Normal 3 38" xfId="13036" xr:uid="{F632E835-C577-44EE-9319-D62FD9CE24BB}"/>
    <cellStyle name="Normal 3 39" xfId="13037" xr:uid="{157B3977-024C-4A4B-ADE4-F5CBDD881F74}"/>
    <cellStyle name="Normal 3 4" xfId="13038" xr:uid="{96336978-A92C-4E87-8EB2-5D6DC687EEFE}"/>
    <cellStyle name="Normal 3 4 2" xfId="13039" xr:uid="{30726B04-C9F9-4CEB-8066-66187A613E6E}"/>
    <cellStyle name="Normal 3 4 3" xfId="13040" xr:uid="{183282D6-34C6-4E0E-A288-C0E7AF5EE12B}"/>
    <cellStyle name="Normal 3 4 4" xfId="13041" xr:uid="{2C4C9D16-805B-4F6D-B22B-013530D3F087}"/>
    <cellStyle name="Normal 3 4 5" xfId="13042" xr:uid="{836566B4-EC3F-468B-84E5-00038325FCCE}"/>
    <cellStyle name="Normal 3 40" xfId="58" xr:uid="{6D0E298E-2E0C-497F-B992-8087FC87CE7C}"/>
    <cellStyle name="Normal 3 41" xfId="13043" xr:uid="{22E40C1E-76E2-41CA-83CE-BDA941110B07}"/>
    <cellStyle name="Normal 3 42" xfId="13044" xr:uid="{6707CF0C-5BFB-45B2-ACDC-980D76A53CC3}"/>
    <cellStyle name="Normal 3 43" xfId="13045" xr:uid="{F0575B46-B41B-4CD8-A660-D3C822383922}"/>
    <cellStyle name="Normal 3 44" xfId="13046" xr:uid="{E843753D-BF30-4879-89F2-07CD369ABC45}"/>
    <cellStyle name="Normal 3 45" xfId="13047" xr:uid="{F6CF31E3-EDFD-4441-9C1B-46F7BD90C4EB}"/>
    <cellStyle name="Normal 3 46" xfId="13048" xr:uid="{9B3DA575-8911-4CAD-96ED-8A91D5352E97}"/>
    <cellStyle name="Normal 3 47" xfId="13049" xr:uid="{64041D56-96BD-41DA-AB22-AD8D27C9A0CA}"/>
    <cellStyle name="Normal 3 48" xfId="13050" xr:uid="{4EE56FC8-EC16-4408-AB7C-E86A24D1CB79}"/>
    <cellStyle name="Normal 3 49" xfId="13051" xr:uid="{12D36924-C722-4D0A-910F-9870E98D5DED}"/>
    <cellStyle name="Normal 3 5" xfId="13052" xr:uid="{94E784C5-0433-48D3-BE6A-05B2F9B17676}"/>
    <cellStyle name="Normal 3 5 2" xfId="13053" xr:uid="{65A97C0E-6CD9-4207-A5F6-555E9B24AE37}"/>
    <cellStyle name="Normal 3 5 3" xfId="13054" xr:uid="{8F9FAA5F-0C02-4272-9CA5-F3029AAE6B6B}"/>
    <cellStyle name="Normal 3 5 4" xfId="13055" xr:uid="{95E8510D-577B-491A-8F89-E8B9D223495A}"/>
    <cellStyle name="Normal 3 5 5" xfId="13056" xr:uid="{FB6B401D-144D-4677-8FE4-22B975B5D52F}"/>
    <cellStyle name="Normal 3 50" xfId="13057" xr:uid="{96B8725C-DBAF-4D3F-97A0-2DE1C99BF23E}"/>
    <cellStyle name="Normal 3 51" xfId="13058" xr:uid="{B6617FF4-710B-4A5C-98F1-C107D51FCBDE}"/>
    <cellStyle name="Normal 3 52" xfId="13059" xr:uid="{2D8089D2-7DF0-4E49-904E-3F8B280B0786}"/>
    <cellStyle name="Normal 3 53" xfId="13060" xr:uid="{E300C9DB-55D1-491B-BA1E-FC8FECCBBDE5}"/>
    <cellStyle name="Normal 3 54" xfId="13061" xr:uid="{408D817A-0182-412D-8B31-A5C77B5FA59A}"/>
    <cellStyle name="Normal 3 55" xfId="13062" xr:uid="{310CB979-025B-49BB-A1FB-66EC5E57EF1F}"/>
    <cellStyle name="Normal 3 56" xfId="13063" xr:uid="{8D91A15E-B239-4124-8F47-D43F1F0867A0}"/>
    <cellStyle name="Normal 3 57" xfId="13064" xr:uid="{039650D3-33B3-48E2-92E3-EE4236D4758E}"/>
    <cellStyle name="Normal 3 58" xfId="13065" xr:uid="{7F63A0A8-D32C-49CE-9BA5-24E9848B55E2}"/>
    <cellStyle name="Normal 3 59" xfId="13066" xr:uid="{0B534315-1EAB-4EE7-BE1B-2FE7043869C7}"/>
    <cellStyle name="Normal 3 6" xfId="13067" xr:uid="{E5CF7580-D836-45BB-A3BB-F8536D5EBA0B}"/>
    <cellStyle name="Normal 3 6 2" xfId="13068" xr:uid="{3B7C17A2-1C28-4EBD-B7E8-6D3C7C5F2BC9}"/>
    <cellStyle name="Normal 3 6 3" xfId="13069" xr:uid="{09499A66-CB36-4619-B7E1-EDC7A72B0A2A}"/>
    <cellStyle name="Normal 3 6 4" xfId="13070" xr:uid="{32D8BC7A-FEA5-4F99-84F9-315A56153EAB}"/>
    <cellStyle name="Normal 3 6 5" xfId="13071" xr:uid="{B6A250F8-34A1-4C0C-8ED8-D3258AEEBD24}"/>
    <cellStyle name="Normal 3 60" xfId="13072" xr:uid="{D0B4D172-5DBD-4810-8C14-C309D18F508A}"/>
    <cellStyle name="Normal 3 61" xfId="13073" xr:uid="{795FF100-4403-4998-A848-7079E1869E4D}"/>
    <cellStyle name="Normal 3 62" xfId="13074" xr:uid="{D1A341B1-9B08-4773-96E9-311FA98A306E}"/>
    <cellStyle name="Normal 3 63" xfId="13075" xr:uid="{34395D04-D03A-4D3F-A3ED-451BB68A7023}"/>
    <cellStyle name="Normal 3 64" xfId="13076" xr:uid="{BF39368C-D066-40A8-A221-2A2A55582312}"/>
    <cellStyle name="Normal 3 65" xfId="12096" xr:uid="{5E28A774-9248-4A5A-A293-79E4C1BEFF85}"/>
    <cellStyle name="Normal 3 66" xfId="16781" xr:uid="{6301B237-495E-4C91-8D44-AC2F4310EA24}"/>
    <cellStyle name="Normal 3 67" xfId="16776" xr:uid="{F9412756-576D-451C-84E5-45F81A7F3116}"/>
    <cellStyle name="Normal 3 7" xfId="13077" xr:uid="{AF3D1569-6C66-4441-8CBA-4006B8753C49}"/>
    <cellStyle name="Normal 3 7 10" xfId="13078" xr:uid="{C7A06D5A-8D07-4AC7-B29A-B6A340E07734}"/>
    <cellStyle name="Normal 3 7 11" xfId="13079" xr:uid="{01301887-ADA1-4632-BE08-7A345F367DDF}"/>
    <cellStyle name="Normal 3 7 12" xfId="13080" xr:uid="{E69EDB67-7CFE-4364-8B38-185B7B49FD2E}"/>
    <cellStyle name="Normal 3 7 13" xfId="13081" xr:uid="{BDF04E6D-AB62-43F9-8B5E-70F7D2F47AE9}"/>
    <cellStyle name="Normal 3 7 14" xfId="13082" xr:uid="{DBE09630-96A9-4737-968E-4FBC92646264}"/>
    <cellStyle name="Normal 3 7 15" xfId="13083" xr:uid="{123B1897-AEDF-4C79-B244-614A5BFDC55F}"/>
    <cellStyle name="Normal 3 7 16" xfId="13084" xr:uid="{6BF06E5E-2C49-4962-AEFF-EDF58C3EA262}"/>
    <cellStyle name="Normal 3 7 17" xfId="13085" xr:uid="{A1406061-7154-406E-9C45-539C847A5CC7}"/>
    <cellStyle name="Normal 3 7 18" xfId="13086" xr:uid="{94C8153D-E8DB-467A-A100-84C67157CC4C}"/>
    <cellStyle name="Normal 3 7 19" xfId="13087" xr:uid="{9F391B7B-F4E8-4BE1-BD9C-F42B228ADAE7}"/>
    <cellStyle name="Normal 3 7 2" xfId="13088" xr:uid="{21568389-BC8B-4049-B6EF-691C4DC96326}"/>
    <cellStyle name="Normal 3 7 2 10" xfId="13089" xr:uid="{D632746D-CB3D-4237-8C98-83DD5BECDDED}"/>
    <cellStyle name="Normal 3 7 2 11" xfId="13090" xr:uid="{696D1BBB-5EEC-413A-9C6E-F59FE014789C}"/>
    <cellStyle name="Normal 3 7 2 12" xfId="13091" xr:uid="{50358AE2-E58E-46D7-9BD1-D518404D27CE}"/>
    <cellStyle name="Normal 3 7 2 13" xfId="13092" xr:uid="{CAF80ED3-0F80-4B87-9F4A-95BB5E4D4DBD}"/>
    <cellStyle name="Normal 3 7 2 14" xfId="13093" xr:uid="{019F4249-D713-42CF-B0E6-979A654CF7EF}"/>
    <cellStyle name="Normal 3 7 2 15" xfId="13094" xr:uid="{6A6A8E5F-5A55-4B5A-8980-FD6D0CFAF878}"/>
    <cellStyle name="Normal 3 7 2 16" xfId="13095" xr:uid="{3F4702C4-7681-4C29-81D2-38C2CBC43FAD}"/>
    <cellStyle name="Normal 3 7 2 17" xfId="13096" xr:uid="{2B8223C2-8395-4ECC-A122-AF38A3ECC944}"/>
    <cellStyle name="Normal 3 7 2 18" xfId="13097" xr:uid="{265AC045-9940-40FE-9074-6A4B8163C023}"/>
    <cellStyle name="Normal 3 7 2 19" xfId="13098" xr:uid="{B2D0353C-E439-4977-AE36-26B1E098E056}"/>
    <cellStyle name="Normal 3 7 2 2" xfId="13099" xr:uid="{A684690E-93A4-4402-83D2-ADAA2298EB57}"/>
    <cellStyle name="Normal 3 7 2 20" xfId="13100" xr:uid="{074E852A-0458-4A3A-86FB-1141B892ADEC}"/>
    <cellStyle name="Normal 3 7 2 21" xfId="13101" xr:uid="{29179DE7-0E03-4EA3-A508-4D74F8A825D3}"/>
    <cellStyle name="Normal 3 7 2 22" xfId="13102" xr:uid="{949E4176-7532-4E47-88C1-6B1EFFDBC582}"/>
    <cellStyle name="Normal 3 7 2 23" xfId="13103" xr:uid="{F2D3B9CA-C17D-432A-BC88-D1D51E128851}"/>
    <cellStyle name="Normal 3 7 2 24" xfId="13104" xr:uid="{77ED0EF6-559E-4A54-9A7E-10968CE84E26}"/>
    <cellStyle name="Normal 3 7 2 25" xfId="13105" xr:uid="{332EEF04-9841-49A8-AF7F-0EFA2D0D753D}"/>
    <cellStyle name="Normal 3 7 2 26" xfId="13106" xr:uid="{532982BE-F659-41F2-B61A-D111A2C670EF}"/>
    <cellStyle name="Normal 3 7 2 27" xfId="13107" xr:uid="{0D864614-EF46-4F52-85AB-E22609139609}"/>
    <cellStyle name="Normal 3 7 2 28" xfId="13108" xr:uid="{4E92F938-7B5F-4C83-87D3-8F882EC32FE2}"/>
    <cellStyle name="Normal 3 7 2 29" xfId="13109" xr:uid="{AED3BD28-0315-4C04-B394-99C1855D90BA}"/>
    <cellStyle name="Normal 3 7 2 3" xfId="13110" xr:uid="{5210D616-F7B8-4A62-96D7-295576A37CED}"/>
    <cellStyle name="Normal 3 7 2 30" xfId="13111" xr:uid="{75BD2DBC-8E15-44B8-B0EB-96F053245C8F}"/>
    <cellStyle name="Normal 3 7 2 31" xfId="13112" xr:uid="{8EC6D3EE-7C30-4E83-B05E-1D2A8A32C416}"/>
    <cellStyle name="Normal 3 7 2 32" xfId="13113" xr:uid="{EC562471-0B37-426C-BA87-B0F950486534}"/>
    <cellStyle name="Normal 3 7 2 4" xfId="13114" xr:uid="{03C32797-3A04-4E14-A1D1-A8DA4EFB7CE7}"/>
    <cellStyle name="Normal 3 7 2 5" xfId="13115" xr:uid="{6A67B989-18D3-48C3-AE21-8AAAF922C544}"/>
    <cellStyle name="Normal 3 7 2 6" xfId="13116" xr:uid="{2CF462BE-65D8-4864-9702-A3DA1A8B2D45}"/>
    <cellStyle name="Normal 3 7 2 7" xfId="13117" xr:uid="{8221CEB4-360C-412B-8EA0-C0AE9BF37206}"/>
    <cellStyle name="Normal 3 7 2 8" xfId="13118" xr:uid="{4942313A-7F17-4E01-B9DB-3E5676F9E9D2}"/>
    <cellStyle name="Normal 3 7 2 9" xfId="13119" xr:uid="{0D590697-5289-4ADB-AC6B-A69BA63FFEA5}"/>
    <cellStyle name="Normal 3 7 20" xfId="13120" xr:uid="{58C68EC2-1529-4E92-B7EC-88E934FEF333}"/>
    <cellStyle name="Normal 3 7 21" xfId="13121" xr:uid="{BC32817A-FBB6-4FE5-AD48-175EED401B55}"/>
    <cellStyle name="Normal 3 7 22" xfId="13122" xr:uid="{AD97E5A7-0DA6-43B2-AF74-B7DCFECFAF74}"/>
    <cellStyle name="Normal 3 7 23" xfId="13123" xr:uid="{8102636E-DE53-4272-BFFA-15F514D60C92}"/>
    <cellStyle name="Normal 3 7 24" xfId="13124" xr:uid="{090FFC5F-72F3-48E9-9A11-7EFB23557787}"/>
    <cellStyle name="Normal 3 7 25" xfId="13125" xr:uid="{872C94FD-30F3-4C8E-B79A-6764B11F0052}"/>
    <cellStyle name="Normal 3 7 26" xfId="13126" xr:uid="{31D54117-9370-4C4A-BB63-F870F7D9B23A}"/>
    <cellStyle name="Normal 3 7 27" xfId="13127" xr:uid="{E33BA5F6-7558-4A5D-8A3C-6A4E5960C8F7}"/>
    <cellStyle name="Normal 3 7 28" xfId="13128" xr:uid="{2D597319-F72B-410A-AC22-89D9649D8147}"/>
    <cellStyle name="Normal 3 7 29" xfId="13129" xr:uid="{5B425DA7-6654-4BA2-806E-1724930371DB}"/>
    <cellStyle name="Normal 3 7 3" xfId="13130" xr:uid="{A5D12409-AE76-48F4-A573-8951D4B38053}"/>
    <cellStyle name="Normal 3 7 30" xfId="13131" xr:uid="{E8DD6430-5A50-4E4E-9419-3EEA714C919B}"/>
    <cellStyle name="Normal 3 7 31" xfId="13132" xr:uid="{56DD6503-B09C-4473-8EE4-1B1F59C88277}"/>
    <cellStyle name="Normal 3 7 32" xfId="13133" xr:uid="{FFA24FB3-669E-4330-B1AD-AE5F7B93FA26}"/>
    <cellStyle name="Normal 3 7 33" xfId="13134" xr:uid="{FF411047-F07F-4645-A965-CFE893F6E7FB}"/>
    <cellStyle name="Normal 3 7 34" xfId="13135" xr:uid="{6213873B-7503-4ED0-B3F2-3EC45D4F6103}"/>
    <cellStyle name="Normal 3 7 35" xfId="13136" xr:uid="{8E77B37C-4C42-48CF-A6C3-31CDFB45055D}"/>
    <cellStyle name="Normal 3 7 4" xfId="13137" xr:uid="{B453F048-5CDB-4919-A586-16ACC4094BC6}"/>
    <cellStyle name="Normal 3 7 5" xfId="13138" xr:uid="{2E195D3E-4696-4D40-B800-FC5E8A554EC7}"/>
    <cellStyle name="Normal 3 7 6" xfId="13139" xr:uid="{80B2F79B-8358-461F-B1DB-9247AB46BE71}"/>
    <cellStyle name="Normal 3 7 7" xfId="13140" xr:uid="{3ADFF4FF-FC76-4A3C-9A3D-BC3E13091A51}"/>
    <cellStyle name="Normal 3 7 8" xfId="13141" xr:uid="{D530627C-808F-4265-A216-D0BB81981185}"/>
    <cellStyle name="Normal 3 7 9" xfId="13142" xr:uid="{B4E3CE10-E9CE-4925-96E6-80A4ECCE47C5}"/>
    <cellStyle name="Normal 3 8" xfId="13143" xr:uid="{7221DC57-C66B-4F10-965F-D24D7A6C7188}"/>
    <cellStyle name="Normal 3 8 10" xfId="13144" xr:uid="{DD3DC1D5-AE80-43F7-ACE3-54CB0DD5A4E2}"/>
    <cellStyle name="Normal 3 8 11" xfId="13145" xr:uid="{4888A260-16FD-4791-A3A1-559F78D658EB}"/>
    <cellStyle name="Normal 3 8 12" xfId="13146" xr:uid="{A8E895C1-6D46-43E9-B579-7E8A39D608E4}"/>
    <cellStyle name="Normal 3 8 13" xfId="13147" xr:uid="{36C11E32-BEBB-4520-94F3-8316860FEAD8}"/>
    <cellStyle name="Normal 3 8 14" xfId="13148" xr:uid="{7812057E-EA3B-49F0-A49A-ED272E47A9A7}"/>
    <cellStyle name="Normal 3 8 15" xfId="13149" xr:uid="{46B25D2F-5A66-4C6A-A4B7-6A6EB384032D}"/>
    <cellStyle name="Normal 3 8 16" xfId="13150" xr:uid="{9F1B7F86-0F47-4C61-AE36-9D93D468C4BB}"/>
    <cellStyle name="Normal 3 8 17" xfId="13151" xr:uid="{974A0E00-2564-4A90-A687-35F1B557BE37}"/>
    <cellStyle name="Normal 3 8 18" xfId="13152" xr:uid="{FC823441-3314-48B4-9A1C-4E16D0D7313B}"/>
    <cellStyle name="Normal 3 8 19" xfId="13153" xr:uid="{D15FF3D1-D9DB-458D-9B32-B3E581A0A4F9}"/>
    <cellStyle name="Normal 3 8 2" xfId="13154" xr:uid="{FA8584AE-4261-4487-8427-9126F58E72A0}"/>
    <cellStyle name="Normal 3 8 2 10" xfId="13155" xr:uid="{F0686A9E-2A41-47A6-A7A5-943951FC42BE}"/>
    <cellStyle name="Normal 3 8 2 11" xfId="13156" xr:uid="{D6F789EC-0BAA-4F47-8421-DAAED0419A36}"/>
    <cellStyle name="Normal 3 8 2 12" xfId="13157" xr:uid="{7A632B7A-474C-43A4-A6A4-03DE8C77BF5D}"/>
    <cellStyle name="Normal 3 8 2 13" xfId="13158" xr:uid="{C6B85E99-265D-4843-AE43-0290783ACD64}"/>
    <cellStyle name="Normal 3 8 2 14" xfId="13159" xr:uid="{F39F4A12-0174-4628-A008-8209223E697B}"/>
    <cellStyle name="Normal 3 8 2 15" xfId="13160" xr:uid="{CE619F68-42A6-4AB8-B34A-0E2E3CB77EBB}"/>
    <cellStyle name="Normal 3 8 2 16" xfId="13161" xr:uid="{F4A58006-4193-443A-B5DB-E0A636294873}"/>
    <cellStyle name="Normal 3 8 2 17" xfId="13162" xr:uid="{CA680421-60A4-4CCB-BD37-7280E5EE59A6}"/>
    <cellStyle name="Normal 3 8 2 18" xfId="13163" xr:uid="{4F95D3F6-B051-499D-A670-3B7F865DCB13}"/>
    <cellStyle name="Normal 3 8 2 19" xfId="13164" xr:uid="{C2D53E63-B93E-43B0-B8F9-EC5A504DE135}"/>
    <cellStyle name="Normal 3 8 2 2" xfId="13165" xr:uid="{A860ACE3-8A28-458A-B9D4-250D6E312BAB}"/>
    <cellStyle name="Normal 3 8 2 20" xfId="13166" xr:uid="{142D15F3-26A7-4EE1-996A-6DBC384DDABA}"/>
    <cellStyle name="Normal 3 8 2 21" xfId="13167" xr:uid="{947F7C43-BC5E-4353-8ECD-EA0805834F47}"/>
    <cellStyle name="Normal 3 8 2 22" xfId="13168" xr:uid="{1F2BDDE6-473F-4DDD-8E2D-0866120D6D39}"/>
    <cellStyle name="Normal 3 8 2 23" xfId="13169" xr:uid="{0A3A7024-2C12-407C-B0C1-EFCBF162D781}"/>
    <cellStyle name="Normal 3 8 2 24" xfId="13170" xr:uid="{4624CF88-5C8B-4D85-9785-6E264F1CE868}"/>
    <cellStyle name="Normal 3 8 2 25" xfId="13171" xr:uid="{19420217-889B-4898-A84A-C9C9AFB12EC5}"/>
    <cellStyle name="Normal 3 8 2 26" xfId="13172" xr:uid="{7B93D699-E158-42E0-920E-C38BE748D983}"/>
    <cellStyle name="Normal 3 8 2 27" xfId="13173" xr:uid="{F75AEDFD-C746-4AB1-BD6D-0E099F7739F0}"/>
    <cellStyle name="Normal 3 8 2 28" xfId="13174" xr:uid="{FA40FA52-51E8-4F55-B6F0-1127E1488710}"/>
    <cellStyle name="Normal 3 8 2 29" xfId="13175" xr:uid="{211C333A-4B66-4371-AACD-7C75D26B1C98}"/>
    <cellStyle name="Normal 3 8 2 3" xfId="13176" xr:uid="{614A63C7-E633-4703-935F-CCF2EAF076D0}"/>
    <cellStyle name="Normal 3 8 2 30" xfId="13177" xr:uid="{78549578-89A4-4051-A564-4F3B75095CDB}"/>
    <cellStyle name="Normal 3 8 2 31" xfId="13178" xr:uid="{C2D5CD3F-0370-4F23-B9F2-947CAAE20140}"/>
    <cellStyle name="Normal 3 8 2 32" xfId="13179" xr:uid="{B73E1D05-3F45-4E6D-8EBC-8F49E6D767F6}"/>
    <cellStyle name="Normal 3 8 2 4" xfId="13180" xr:uid="{7A90A12B-D3DE-4959-B684-9440089EDC9C}"/>
    <cellStyle name="Normal 3 8 2 5" xfId="13181" xr:uid="{955A8F7A-2772-4187-B0B5-80BA3B613817}"/>
    <cellStyle name="Normal 3 8 2 6" xfId="13182" xr:uid="{08815B06-1803-4AA3-A0E2-74A65BB904AE}"/>
    <cellStyle name="Normal 3 8 2 7" xfId="13183" xr:uid="{BE1D91E1-801D-41ED-8DCE-461694E7FC9B}"/>
    <cellStyle name="Normal 3 8 2 8" xfId="13184" xr:uid="{F2594492-1D8C-4DCB-98D7-08EB85F2B736}"/>
    <cellStyle name="Normal 3 8 2 9" xfId="13185" xr:uid="{43E23564-C5AF-4756-B384-DCBF13E1FD90}"/>
    <cellStyle name="Normal 3 8 20" xfId="13186" xr:uid="{B6DD7581-707E-4BF0-8227-4ED47FE6A5A0}"/>
    <cellStyle name="Normal 3 8 21" xfId="13187" xr:uid="{F5387DDE-5ADC-49A4-A422-6395D800B6A5}"/>
    <cellStyle name="Normal 3 8 22" xfId="13188" xr:uid="{8722AAB0-7605-4CA3-B3CD-1AB5C705D636}"/>
    <cellStyle name="Normal 3 8 23" xfId="13189" xr:uid="{8DE58330-AB37-4490-8AA8-F98CD775B202}"/>
    <cellStyle name="Normal 3 8 24" xfId="13190" xr:uid="{7BDA7EA8-664C-4E2C-B6DF-FD638BD3C062}"/>
    <cellStyle name="Normal 3 8 25" xfId="13191" xr:uid="{0B8FC1A3-DBB6-4989-9F05-B061D76E24D9}"/>
    <cellStyle name="Normal 3 8 26" xfId="13192" xr:uid="{35F9DF65-8AE3-44D0-B541-BBAC92E24AEE}"/>
    <cellStyle name="Normal 3 8 27" xfId="13193" xr:uid="{667D5312-1760-49BB-8969-B2B6A9B4CB4E}"/>
    <cellStyle name="Normal 3 8 28" xfId="13194" xr:uid="{9173962C-CD11-4BB9-8590-287EBD1C2F73}"/>
    <cellStyle name="Normal 3 8 29" xfId="13195" xr:uid="{B1D22247-4AE4-40D5-B7CD-73C086218853}"/>
    <cellStyle name="Normal 3 8 3" xfId="13196" xr:uid="{9CE836E9-9DA3-4F3C-8DF7-9A1213D982E3}"/>
    <cellStyle name="Normal 3 8 30" xfId="13197" xr:uid="{B15C4F0E-5235-442B-B7E5-1AF0976F4D15}"/>
    <cellStyle name="Normal 3 8 31" xfId="13198" xr:uid="{8BEE6C6B-5F58-483A-9D21-32031E0F3907}"/>
    <cellStyle name="Normal 3 8 32" xfId="13199" xr:uid="{A8602E33-B659-45F2-8FA3-E26AB94B92C9}"/>
    <cellStyle name="Normal 3 8 33" xfId="13200" xr:uid="{BA487069-73DC-4118-9558-923FABF6914D}"/>
    <cellStyle name="Normal 3 8 34" xfId="13201" xr:uid="{8362150D-865B-497A-A4CB-9268869A37A7}"/>
    <cellStyle name="Normal 3 8 4" xfId="13202" xr:uid="{AFF5BEA8-DB99-4F76-977E-B70006D03798}"/>
    <cellStyle name="Normal 3 8 5" xfId="13203" xr:uid="{EDCBF633-F0C5-4C2F-B712-F896145757A5}"/>
    <cellStyle name="Normal 3 8 6" xfId="13204" xr:uid="{55A2EE26-4287-4C46-BDFD-E2C459CD2FB8}"/>
    <cellStyle name="Normal 3 8 7" xfId="13205" xr:uid="{044FCD45-743A-490E-82A5-A1F43F7FC8D7}"/>
    <cellStyle name="Normal 3 8 8" xfId="13206" xr:uid="{2518301B-631F-4BFD-AFCB-1316F2829C08}"/>
    <cellStyle name="Normal 3 8 9" xfId="13207" xr:uid="{A950FF0E-591B-494D-AB29-396AC80490E2}"/>
    <cellStyle name="Normal 3 9" xfId="13208" xr:uid="{58ED9EB7-07C9-40C2-A0B5-4EE49EE3FFF3}"/>
    <cellStyle name="Normal 3 9 10" xfId="13209" xr:uid="{96D24352-A578-47B9-997D-A1FE942BA756}"/>
    <cellStyle name="Normal 3 9 11" xfId="13210" xr:uid="{A442C5E8-5EF6-499A-BF3F-9CEB2C96E0A9}"/>
    <cellStyle name="Normal 3 9 12" xfId="13211" xr:uid="{3048B6E3-60D9-4B93-B319-C1F2CF4DF6B3}"/>
    <cellStyle name="Normal 3 9 13" xfId="13212" xr:uid="{F2B7B684-DF40-4508-8113-E2D046D26F22}"/>
    <cellStyle name="Normal 3 9 14" xfId="13213" xr:uid="{28AF2B2B-7B53-4839-97BD-C047A05B37A7}"/>
    <cellStyle name="Normal 3 9 15" xfId="13214" xr:uid="{B1DC5136-4476-4925-9CE2-077DFCDF76DC}"/>
    <cellStyle name="Normal 3 9 16" xfId="13215" xr:uid="{489B0D9A-ADED-4869-AD57-5F14BD7A2F97}"/>
    <cellStyle name="Normal 3 9 17" xfId="13216" xr:uid="{589D50E8-15F9-490B-848D-BBFAD5CB2211}"/>
    <cellStyle name="Normal 3 9 18" xfId="13217" xr:uid="{A0E6061F-5FE2-4BA8-BB3A-6B1D0FC10576}"/>
    <cellStyle name="Normal 3 9 19" xfId="13218" xr:uid="{7E728B91-D02A-4D0B-A367-BC025BD2D642}"/>
    <cellStyle name="Normal 3 9 2" xfId="13219" xr:uid="{EAE02F19-9B34-442B-B932-5B34DCE944F1}"/>
    <cellStyle name="Normal 3 9 2 10" xfId="13220" xr:uid="{864B0216-A9C6-488B-88C3-4F15AC50B3C4}"/>
    <cellStyle name="Normal 3 9 2 11" xfId="13221" xr:uid="{C586B726-E08A-4681-9DE2-71E27A38569D}"/>
    <cellStyle name="Normal 3 9 2 12" xfId="13222" xr:uid="{78E4E607-4A91-48FE-915C-9D54EA35CBD1}"/>
    <cellStyle name="Normal 3 9 2 13" xfId="13223" xr:uid="{63438B00-00B4-466D-A1AB-9F3786157DD9}"/>
    <cellStyle name="Normal 3 9 2 14" xfId="13224" xr:uid="{3F86BE38-2867-4A65-857D-A4DFC9C74827}"/>
    <cellStyle name="Normal 3 9 2 15" xfId="13225" xr:uid="{7762816F-5FF1-4646-971E-B69090D32D9E}"/>
    <cellStyle name="Normal 3 9 2 16" xfId="13226" xr:uid="{298D9BA0-BC35-4C9D-A33F-DDBD4F64C5B8}"/>
    <cellStyle name="Normal 3 9 2 17" xfId="13227" xr:uid="{D57DCCD0-0574-4400-86A4-3EAC54E3213A}"/>
    <cellStyle name="Normal 3 9 2 18" xfId="13228" xr:uid="{82ABEACD-04FA-416B-9054-1741DC4ED853}"/>
    <cellStyle name="Normal 3 9 2 19" xfId="13229" xr:uid="{1D7604F9-FE53-4206-97AC-67959AF53B04}"/>
    <cellStyle name="Normal 3 9 2 2" xfId="13230" xr:uid="{1E9011B6-9CF3-454E-B071-DA240609B7E4}"/>
    <cellStyle name="Normal 3 9 2 20" xfId="13231" xr:uid="{E119904E-1997-4F84-982B-1DF38EEB6E20}"/>
    <cellStyle name="Normal 3 9 2 21" xfId="13232" xr:uid="{569C2B60-7BCA-4785-B9D9-03C5AC1FF1B6}"/>
    <cellStyle name="Normal 3 9 2 22" xfId="13233" xr:uid="{E40F2272-C8FA-4BFE-8D8F-40D684C6A38B}"/>
    <cellStyle name="Normal 3 9 2 23" xfId="13234" xr:uid="{7DC5C915-C3A8-4F2F-86C5-9F99EFE96B0B}"/>
    <cellStyle name="Normal 3 9 2 24" xfId="13235" xr:uid="{711A9DAB-C7D5-4B05-AEFD-5825BBF198C9}"/>
    <cellStyle name="Normal 3 9 2 25" xfId="13236" xr:uid="{2CFF71A3-F53C-4D75-9986-660DE9889F29}"/>
    <cellStyle name="Normal 3 9 2 26" xfId="13237" xr:uid="{E89CDA3B-8179-4DE2-B8F2-42DCC5B39925}"/>
    <cellStyle name="Normal 3 9 2 27" xfId="13238" xr:uid="{233B3C31-3A8B-426C-87E0-769F7F7A0238}"/>
    <cellStyle name="Normal 3 9 2 28" xfId="13239" xr:uid="{E614F653-4CD3-45F9-AC23-81B23FCA3DDB}"/>
    <cellStyle name="Normal 3 9 2 29" xfId="13240" xr:uid="{B9E25E5C-B229-4342-A059-346834B05C5C}"/>
    <cellStyle name="Normal 3 9 2 3" xfId="13241" xr:uid="{EF2F94C5-B84C-49F1-98C3-B7F20391BF56}"/>
    <cellStyle name="Normal 3 9 2 30" xfId="13242" xr:uid="{C06982AA-7BB2-4AEF-8A71-C740F118FF14}"/>
    <cellStyle name="Normal 3 9 2 31" xfId="13243" xr:uid="{1CA6486A-6E43-404D-AFA5-F26DC00507F3}"/>
    <cellStyle name="Normal 3 9 2 32" xfId="13244" xr:uid="{50721BAA-3292-4B31-8A59-A2C440519D17}"/>
    <cellStyle name="Normal 3 9 2 4" xfId="13245" xr:uid="{1AF4A385-1DBA-4301-A775-61B5FE268CE9}"/>
    <cellStyle name="Normal 3 9 2 5" xfId="13246" xr:uid="{73D56F15-C939-4813-987D-1AF9489C9750}"/>
    <cellStyle name="Normal 3 9 2 6" xfId="13247" xr:uid="{DE2E8903-D49B-417C-82E2-6B0208A55DD8}"/>
    <cellStyle name="Normal 3 9 2 7" xfId="13248" xr:uid="{8027FD0C-195A-416D-A4FB-EEB6F7BDD907}"/>
    <cellStyle name="Normal 3 9 2 8" xfId="13249" xr:uid="{D1C2C19C-D098-42C5-ACC5-23018965F458}"/>
    <cellStyle name="Normal 3 9 2 9" xfId="13250" xr:uid="{D857928A-DDBE-4924-9294-9E123F9336C9}"/>
    <cellStyle name="Normal 3 9 20" xfId="13251" xr:uid="{8DCBCA8F-0E62-482B-89A1-247C02734204}"/>
    <cellStyle name="Normal 3 9 21" xfId="13252" xr:uid="{0FCBE636-EF27-46F3-9101-6F2823B4EEBA}"/>
    <cellStyle name="Normal 3 9 22" xfId="13253" xr:uid="{74C39800-15D1-4A34-90C1-31B17F79C36E}"/>
    <cellStyle name="Normal 3 9 23" xfId="13254" xr:uid="{1D7C0F22-F431-4EC0-B1F0-660979F92F9A}"/>
    <cellStyle name="Normal 3 9 24" xfId="13255" xr:uid="{5B4B1214-7500-452E-9DF3-8B540D05DDD3}"/>
    <cellStyle name="Normal 3 9 25" xfId="13256" xr:uid="{014DED48-F6C0-47FE-B17E-53D3E269600E}"/>
    <cellStyle name="Normal 3 9 26" xfId="13257" xr:uid="{7C16697B-3872-4180-A175-28645B67A202}"/>
    <cellStyle name="Normal 3 9 27" xfId="13258" xr:uid="{A99328C6-71B3-4EF8-AE5B-F1BCA8C134BD}"/>
    <cellStyle name="Normal 3 9 28" xfId="13259" xr:uid="{CD4CC56A-1F7A-4D75-AED3-3BE2F8E0FA8F}"/>
    <cellStyle name="Normal 3 9 29" xfId="13260" xr:uid="{E47C472E-4884-4DC9-B2B8-F4056BD0E663}"/>
    <cellStyle name="Normal 3 9 3" xfId="13261" xr:uid="{B3AEAB33-2F06-4FFD-811E-1F0CA5969F55}"/>
    <cellStyle name="Normal 3 9 30" xfId="13262" xr:uid="{BA177F39-437F-4B4B-A9E7-8DD475339D90}"/>
    <cellStyle name="Normal 3 9 31" xfId="13263" xr:uid="{625CDA36-B742-4EF8-8D59-5C2E9A073BB7}"/>
    <cellStyle name="Normal 3 9 32" xfId="13264" xr:uid="{1952DD02-18EC-4284-A908-F531AF402F74}"/>
    <cellStyle name="Normal 3 9 33" xfId="13265" xr:uid="{A6C46C23-E6EC-44AA-9F05-5954DCDF3917}"/>
    <cellStyle name="Normal 3 9 34" xfId="13266" xr:uid="{4676AD3B-55C6-47DE-9255-12F4B9C2595C}"/>
    <cellStyle name="Normal 3 9 4" xfId="13267" xr:uid="{F5C84BEF-CC1B-40F1-86BF-261DE731B24D}"/>
    <cellStyle name="Normal 3 9 5" xfId="13268" xr:uid="{8844CD8F-7535-4627-8ADA-0B2FD2C8C783}"/>
    <cellStyle name="Normal 3 9 6" xfId="13269" xr:uid="{1F892298-6796-4616-B798-C2FEAA24F929}"/>
    <cellStyle name="Normal 3 9 7" xfId="13270" xr:uid="{F5044CC2-FF8B-47D0-9CFB-1498F1F0D1E9}"/>
    <cellStyle name="Normal 3 9 8" xfId="13271" xr:uid="{D7A79C79-1EA2-401D-915B-752DE32102DC}"/>
    <cellStyle name="Normal 3 9 9" xfId="13272" xr:uid="{A59F04CF-F0D6-4DEF-8D14-0541A5BCF743}"/>
    <cellStyle name="Normal 4" xfId="52" xr:uid="{049C87B0-C985-4298-88BB-DE5757933B8F}"/>
    <cellStyle name="Normal 4 10" xfId="13274" xr:uid="{D2303156-DE7C-4646-A664-E2670FFEB81D}"/>
    <cellStyle name="Normal 4 10 10" xfId="13275" xr:uid="{A03187AC-B7BE-4765-AFD8-DC03AE356820}"/>
    <cellStyle name="Normal 4 10 11" xfId="13276" xr:uid="{54CD6C22-8054-4F98-8758-3691331B078C}"/>
    <cellStyle name="Normal 4 10 12" xfId="13277" xr:uid="{F9D01827-5576-4880-A38A-DB71621119E0}"/>
    <cellStyle name="Normal 4 10 13" xfId="13278" xr:uid="{26A02932-CA98-4A98-A261-0DDAFB56D635}"/>
    <cellStyle name="Normal 4 10 14" xfId="13279" xr:uid="{BC7A22E3-2C29-48F2-8FED-2B2FFA363E6E}"/>
    <cellStyle name="Normal 4 10 15" xfId="13280" xr:uid="{9BD1F3AF-6CB0-4A46-94F9-0451268F42FD}"/>
    <cellStyle name="Normal 4 10 16" xfId="13281" xr:uid="{420C1A8F-660F-4015-9533-41AF2474F333}"/>
    <cellStyle name="Normal 4 10 17" xfId="13282" xr:uid="{DEBE74B1-6E15-4B01-872B-1891DEE32DD8}"/>
    <cellStyle name="Normal 4 10 18" xfId="13283" xr:uid="{DA60B160-1E10-4A7C-92A6-53996169F860}"/>
    <cellStyle name="Normal 4 10 19" xfId="13284" xr:uid="{8748E63A-D089-41EF-98D0-081E501A7DB0}"/>
    <cellStyle name="Normal 4 10 2" xfId="13285" xr:uid="{60B8DEEB-B079-4CB9-B9BA-CFA9D197F93A}"/>
    <cellStyle name="Normal 4 10 2 10" xfId="13286" xr:uid="{5AEA705C-65B3-4CA8-9E20-7425768686AF}"/>
    <cellStyle name="Normal 4 10 2 11" xfId="13287" xr:uid="{4AF9E4C9-9905-4FF3-A197-62CB76D97DCA}"/>
    <cellStyle name="Normal 4 10 2 12" xfId="13288" xr:uid="{E4756593-75E6-4094-999C-EEC18F9D6DFC}"/>
    <cellStyle name="Normal 4 10 2 13" xfId="13289" xr:uid="{DEB699D9-2615-4024-BA6F-A4E0655F3C57}"/>
    <cellStyle name="Normal 4 10 2 14" xfId="13290" xr:uid="{8AC3F8FF-03B2-4AA6-AA61-F80E76C9E46B}"/>
    <cellStyle name="Normal 4 10 2 15" xfId="13291" xr:uid="{944EE4A5-7757-4CA4-B3F5-B2573B853B98}"/>
    <cellStyle name="Normal 4 10 2 16" xfId="13292" xr:uid="{4C587D24-BFD7-4E8C-B489-668368BB2316}"/>
    <cellStyle name="Normal 4 10 2 17" xfId="13293" xr:uid="{B1F0568D-B86F-4C72-B0D4-A6AEA647FE17}"/>
    <cellStyle name="Normal 4 10 2 18" xfId="13294" xr:uid="{0DC5C606-43F9-4905-869E-1735CE0D1335}"/>
    <cellStyle name="Normal 4 10 2 19" xfId="13295" xr:uid="{163B39C9-5E01-45DD-B6CB-DD6EC5E49BE2}"/>
    <cellStyle name="Normal 4 10 2 2" xfId="13296" xr:uid="{02CF7FB1-6675-4E22-B783-134F8A48BAA2}"/>
    <cellStyle name="Normal 4 10 2 2 10" xfId="13297" xr:uid="{43A68871-594F-4D8C-B0DF-8CDC593A3463}"/>
    <cellStyle name="Normal 4 10 2 2 11" xfId="13298" xr:uid="{223410EB-039B-451A-8588-E5B59F6316F6}"/>
    <cellStyle name="Normal 4 10 2 2 12" xfId="13299" xr:uid="{FAD8D3E3-A7E3-43A8-AB35-6C9A5CDC3AAE}"/>
    <cellStyle name="Normal 4 10 2 2 13" xfId="13300" xr:uid="{1E4E4EB3-1E9A-4CA2-B82F-ACEE4820A8BA}"/>
    <cellStyle name="Normal 4 10 2 2 14" xfId="13301" xr:uid="{E17786E4-3271-4874-8E8C-B515B1E0FA7E}"/>
    <cellStyle name="Normal 4 10 2 2 15" xfId="13302" xr:uid="{D3FB9157-AA5B-4A72-BCA3-EED5797AD5B2}"/>
    <cellStyle name="Normal 4 10 2 2 16" xfId="13303" xr:uid="{B6DE2CF7-ADE7-4EFD-A6E1-E4C110E56F43}"/>
    <cellStyle name="Normal 4 10 2 2 17" xfId="13304" xr:uid="{7202BDF6-328A-4CA4-987F-0B7B5B993F00}"/>
    <cellStyle name="Normal 4 10 2 2 18" xfId="13305" xr:uid="{F894A1EA-5533-4C40-B780-7B97E6BA3A51}"/>
    <cellStyle name="Normal 4 10 2 2 19" xfId="13306" xr:uid="{64620425-BD41-4B38-A51B-9ED95EB4059E}"/>
    <cellStyle name="Normal 4 10 2 2 2" xfId="13307" xr:uid="{BBCD7A20-D99C-43A0-93E7-784C63643B8F}"/>
    <cellStyle name="Normal 4 10 2 2 2 10" xfId="13308" xr:uid="{A7FC2621-56CC-48BF-AE0D-7F58576E4385}"/>
    <cellStyle name="Normal 4 10 2 2 2 11" xfId="13309" xr:uid="{036DFA71-AA66-4CF3-91CF-9CF6B90D7B19}"/>
    <cellStyle name="Normal 4 10 2 2 2 12" xfId="13310" xr:uid="{0432188D-7ED5-43EC-8225-D6D9E4FDB053}"/>
    <cellStyle name="Normal 4 10 2 2 2 13" xfId="13311" xr:uid="{B8E690CC-F0CB-496B-A92E-1F26E7847C56}"/>
    <cellStyle name="Normal 4 10 2 2 2 14" xfId="13312" xr:uid="{5D315B85-43E5-44E9-B3AB-E1FEA2B82E8B}"/>
    <cellStyle name="Normal 4 10 2 2 2 15" xfId="13313" xr:uid="{FB7BF037-A4B8-4C9A-8E5E-50A44826BD7D}"/>
    <cellStyle name="Normal 4 10 2 2 2 16" xfId="13314" xr:uid="{0FA69D6A-6B4E-4E7C-A0B3-1D8724C7DCE7}"/>
    <cellStyle name="Normal 4 10 2 2 2 17" xfId="13315" xr:uid="{C91D5A67-9DB5-4967-9341-A99F52A2C275}"/>
    <cellStyle name="Normal 4 10 2 2 2 18" xfId="13316" xr:uid="{2CC377F5-724A-4983-ABAB-96C4C6ACB7BC}"/>
    <cellStyle name="Normal 4 10 2 2 2 19" xfId="13317" xr:uid="{4F484C63-4B4E-46A2-B26D-19DE71CE7539}"/>
    <cellStyle name="Normal 4 10 2 2 2 2" xfId="13318" xr:uid="{6DB7B776-5D8C-4459-A9CA-431D19BFB5B3}"/>
    <cellStyle name="Normal 4 10 2 2 2 20" xfId="13319" xr:uid="{8DF88F13-B073-4F62-AD0A-A138A0671C85}"/>
    <cellStyle name="Normal 4 10 2 2 2 21" xfId="13320" xr:uid="{1CF62DEB-EF01-453B-B9B9-9DFC093CBF1B}"/>
    <cellStyle name="Normal 4 10 2 2 2 22" xfId="13321" xr:uid="{269F572F-B58B-4250-BC82-B334AEA1F2B5}"/>
    <cellStyle name="Normal 4 10 2 2 2 23" xfId="13322" xr:uid="{96F53100-8848-4DD3-A683-7A6E4485BAEE}"/>
    <cellStyle name="Normal 4 10 2 2 2 24" xfId="13323" xr:uid="{7317B883-0867-49A5-967A-2D58515758F6}"/>
    <cellStyle name="Normal 4 10 2 2 2 25" xfId="13324" xr:uid="{EBBD8F11-F4A1-4AA8-8824-478202336E92}"/>
    <cellStyle name="Normal 4 10 2 2 2 26" xfId="13325" xr:uid="{29D4584E-E194-40BC-9E41-CF60A0AA1816}"/>
    <cellStyle name="Normal 4 10 2 2 2 27" xfId="13326" xr:uid="{A8AAD816-C287-4D7E-9542-DAFEC38E64C6}"/>
    <cellStyle name="Normal 4 10 2 2 2 28" xfId="13327" xr:uid="{D8DB2A6B-1F1D-4579-81E1-3E003CD32BFC}"/>
    <cellStyle name="Normal 4 10 2 2 2 29" xfId="13328" xr:uid="{C18A334D-7FA3-4EFE-8FDC-B75F4A134E0F}"/>
    <cellStyle name="Normal 4 10 2 2 2 3" xfId="13329" xr:uid="{FDC96148-D07B-4A1A-A776-0965509FBFEB}"/>
    <cellStyle name="Normal 4 10 2 2 2 30" xfId="13330" xr:uid="{036539EE-EFB3-422C-BD5B-3E28D57E87CF}"/>
    <cellStyle name="Normal 4 10 2 2 2 31" xfId="13331" xr:uid="{4DDDAACB-D8C3-4892-8429-C1CBFCA0EB76}"/>
    <cellStyle name="Normal 4 10 2 2 2 32" xfId="13332" xr:uid="{C571D50E-F36B-4A14-8CBE-8EF1C66352A2}"/>
    <cellStyle name="Normal 4 10 2 2 2 33" xfId="13333" xr:uid="{54F100B7-06AB-43CE-B463-6E0A101B0214}"/>
    <cellStyle name="Normal 4 10 2 2 2 34" xfId="13334" xr:uid="{A746BF93-CD70-4299-994C-ADD0B1DFC3A9}"/>
    <cellStyle name="Normal 4 10 2 2 2 35" xfId="13335" xr:uid="{847633C4-AE62-4A7C-B0C2-56457DDDFED2}"/>
    <cellStyle name="Normal 4 10 2 2 2 36" xfId="13336" xr:uid="{1FF49574-201F-4690-B201-A4915D0D3925}"/>
    <cellStyle name="Normal 4 10 2 2 2 37" xfId="13337" xr:uid="{72B07BD3-45C4-4442-A847-8D6023C3A351}"/>
    <cellStyle name="Normal 4 10 2 2 2 38" xfId="13338" xr:uid="{B02931F9-ECEA-4D88-A342-EEC36209AAAE}"/>
    <cellStyle name="Normal 4 10 2 2 2 4" xfId="13339" xr:uid="{7872D6ED-9B7B-40AE-BCC0-0E8D28F50349}"/>
    <cellStyle name="Normal 4 10 2 2 2 5" xfId="13340" xr:uid="{E1C692E1-7B62-4BD7-A1D7-284D3F716A47}"/>
    <cellStyle name="Normal 4 10 2 2 2 6" xfId="13341" xr:uid="{B7355AD6-B7AE-40D0-9CB0-4DBDA9081C3C}"/>
    <cellStyle name="Normal 4 10 2 2 2 7" xfId="13342" xr:uid="{7FBB6174-4F03-46FB-B0A6-8F77DD3CEEA2}"/>
    <cellStyle name="Normal 4 10 2 2 2 8" xfId="13343" xr:uid="{192F8694-7360-4F09-8BF9-23715D5E1134}"/>
    <cellStyle name="Normal 4 10 2 2 2 9" xfId="13344" xr:uid="{871FEEE7-40E1-4159-BA16-800779CE90A6}"/>
    <cellStyle name="Normal 4 10 2 2 20" xfId="13345" xr:uid="{1429FBB0-D862-4BDF-8C06-18EF05FF2E8B}"/>
    <cellStyle name="Normal 4 10 2 2 21" xfId="13346" xr:uid="{453B933E-8116-4F5D-AD4C-17C6A15CC7DA}"/>
    <cellStyle name="Normal 4 10 2 2 22" xfId="13347" xr:uid="{9F3DCC70-C6EF-4754-947D-DB664D55D383}"/>
    <cellStyle name="Normal 4 10 2 2 23" xfId="13348" xr:uid="{E272F39C-6A7D-4573-BE66-2579BFDE9889}"/>
    <cellStyle name="Normal 4 10 2 2 24" xfId="13349" xr:uid="{AA211348-EF86-4F4B-8EFF-31C01A0419F4}"/>
    <cellStyle name="Normal 4 10 2 2 25" xfId="13350" xr:uid="{B66675AD-8785-41CE-8EC2-A54B4C2564D3}"/>
    <cellStyle name="Normal 4 10 2 2 26" xfId="13351" xr:uid="{391DC64F-537D-467D-AFFF-D2492AC63D4A}"/>
    <cellStyle name="Normal 4 10 2 2 27" xfId="13352" xr:uid="{911BBC0A-1D18-40FA-B05D-6F66B337FBE1}"/>
    <cellStyle name="Normal 4 10 2 2 28" xfId="13353" xr:uid="{6CFC95CE-6002-4311-9314-164704A62164}"/>
    <cellStyle name="Normal 4 10 2 2 29" xfId="13354" xr:uid="{E5274441-4A8D-4CA2-B49F-385C55E48DA6}"/>
    <cellStyle name="Normal 4 10 2 2 3" xfId="13355" xr:uid="{7FE7710F-FCDB-4DF7-A6A2-EB62E4F98D74}"/>
    <cellStyle name="Normal 4 10 2 2 30" xfId="13356" xr:uid="{6B33AA6F-5E8E-4F01-84FD-510D31E65C3F}"/>
    <cellStyle name="Normal 4 10 2 2 31" xfId="13357" xr:uid="{943CDC65-2D2A-41A3-8D97-F6ED8AD458D2}"/>
    <cellStyle name="Normal 4 10 2 2 32" xfId="13358" xr:uid="{E28B41B0-8828-4192-B585-33C17D3196C6}"/>
    <cellStyle name="Normal 4 10 2 2 33" xfId="13359" xr:uid="{1DD45BC9-1E88-48EE-9F10-40793402D1CE}"/>
    <cellStyle name="Normal 4 10 2 2 34" xfId="13360" xr:uid="{798C5EFB-CD2B-44D3-960D-9477F278B574}"/>
    <cellStyle name="Normal 4 10 2 2 35" xfId="13361" xr:uid="{95FC621E-A20C-4271-A4D8-01D07C69362D}"/>
    <cellStyle name="Normal 4 10 2 2 36" xfId="13362" xr:uid="{C2ED2E52-0785-4825-B1B5-17A7336D2160}"/>
    <cellStyle name="Normal 4 10 2 2 37" xfId="13363" xr:uid="{84D612DC-A8DD-43EC-A64D-8ED44AA36823}"/>
    <cellStyle name="Normal 4 10 2 2 38" xfId="13364" xr:uid="{2D578F24-6F8D-4D62-B40E-DD84238056CF}"/>
    <cellStyle name="Normal 4 10 2 2 4" xfId="13365" xr:uid="{49D81A02-BD36-4618-A954-F72F0B533B8A}"/>
    <cellStyle name="Normal 4 10 2 2 5" xfId="13366" xr:uid="{15998608-334E-4EFB-8BC5-79E3E699EA47}"/>
    <cellStyle name="Normal 4 10 2 2 6" xfId="13367" xr:uid="{DA7601A3-2BDD-4760-986C-F521C7CB3599}"/>
    <cellStyle name="Normal 4 10 2 2 7" xfId="13368" xr:uid="{7C17D8CC-1618-45FA-936A-7D5D6739397A}"/>
    <cellStyle name="Normal 4 10 2 2 8" xfId="13369" xr:uid="{5ADA8972-B5A9-4464-850D-6702AF66C335}"/>
    <cellStyle name="Normal 4 10 2 2 9" xfId="13370" xr:uid="{23585142-4EAB-4126-B5D1-33CEA5F408D5}"/>
    <cellStyle name="Normal 4 10 2 20" xfId="13371" xr:uid="{98004AD0-DF7A-4F10-A62E-55AA6FF3A6C8}"/>
    <cellStyle name="Normal 4 10 2 21" xfId="13372" xr:uid="{09452F37-0D18-4BFC-8DE9-9D1AD13A3CD3}"/>
    <cellStyle name="Normal 4 10 2 22" xfId="13373" xr:uid="{551DB2D8-73E3-4205-998A-E228B4BDC9D2}"/>
    <cellStyle name="Normal 4 10 2 23" xfId="13374" xr:uid="{36A49A63-CD9C-4C24-8F2C-E67E3405766E}"/>
    <cellStyle name="Normal 4 10 2 24" xfId="13375" xr:uid="{221C2EE3-7D6E-45BF-AE53-C5217C3A5B21}"/>
    <cellStyle name="Normal 4 10 2 25" xfId="13376" xr:uid="{BE904CAB-1F70-45DE-A6E6-F500BAC55A13}"/>
    <cellStyle name="Normal 4 10 2 26" xfId="13377" xr:uid="{E85AC4B8-9AF1-4781-87A8-47E66CCC5FA2}"/>
    <cellStyle name="Normal 4 10 2 27" xfId="13378" xr:uid="{4A142209-D9A7-4A9E-A80D-D4569F54D563}"/>
    <cellStyle name="Normal 4 10 2 28" xfId="13379" xr:uid="{69AED6A8-AA23-4955-833F-D531F2BE11E9}"/>
    <cellStyle name="Normal 4 10 2 29" xfId="13380" xr:uid="{4E20ECC5-33DF-4E17-A98E-DC776D3835E4}"/>
    <cellStyle name="Normal 4 10 2 3" xfId="13381" xr:uid="{CEFCAFE3-9559-4A66-A3BC-082BA90F3B3A}"/>
    <cellStyle name="Normal 4 10 2 30" xfId="13382" xr:uid="{34F4261B-FA9C-4A4C-B958-5AD680C63E6D}"/>
    <cellStyle name="Normal 4 10 2 31" xfId="13383" xr:uid="{F385E990-9C8D-4D9F-90D2-39037E6C885C}"/>
    <cellStyle name="Normal 4 10 2 32" xfId="13384" xr:uid="{42295C03-50AE-479E-9CCD-C226DBFFD088}"/>
    <cellStyle name="Normal 4 10 2 33" xfId="13385" xr:uid="{E7D46392-C2B5-42BB-8003-C550063D9BC3}"/>
    <cellStyle name="Normal 4 10 2 34" xfId="13386" xr:uid="{47C858FF-172F-431E-B4CB-AC24706601ED}"/>
    <cellStyle name="Normal 4 10 2 35" xfId="13387" xr:uid="{BC635963-021E-423C-87DA-4DD834286E32}"/>
    <cellStyle name="Normal 4 10 2 36" xfId="13388" xr:uid="{8FC6FEFD-92F3-4656-822D-6140C5ADD9C6}"/>
    <cellStyle name="Normal 4 10 2 37" xfId="13389" xr:uid="{BAC76C0D-9117-4590-A20C-A4E6872AAF41}"/>
    <cellStyle name="Normal 4 10 2 38" xfId="13390" xr:uid="{3A182CA3-EC3E-4D88-8CB9-1B3774F26941}"/>
    <cellStyle name="Normal 4 10 2 39" xfId="13391" xr:uid="{17F0E925-8B96-412F-8D31-9329FE8A2DFD}"/>
    <cellStyle name="Normal 4 10 2 4" xfId="13392" xr:uid="{E9E1F634-25F5-40D2-8645-6B70EE8581D4}"/>
    <cellStyle name="Normal 4 10 2 40" xfId="13393" xr:uid="{AC321024-08E1-48FF-8DBC-651E72EF694D}"/>
    <cellStyle name="Normal 4 10 2 5" xfId="13394" xr:uid="{4E90F079-3493-4A07-B6E5-4BC7949EB309}"/>
    <cellStyle name="Normal 4 10 2 6" xfId="13395" xr:uid="{60EFCFAE-6808-46A4-97C6-6FEBD4C6E698}"/>
    <cellStyle name="Normal 4 10 2 7" xfId="13396" xr:uid="{8D4855A9-501A-48B1-BE95-3441E8316B66}"/>
    <cellStyle name="Normal 4 10 2 8" xfId="13397" xr:uid="{B98DC54E-99C3-4C62-9166-D4FB979F1BE5}"/>
    <cellStyle name="Normal 4 10 2 9" xfId="13398" xr:uid="{F6BA732A-A48A-406E-BBD4-ED04B0CBDF4D}"/>
    <cellStyle name="Normal 4 10 20" xfId="13399" xr:uid="{FCD92653-911D-4421-8890-78D8EDD2C817}"/>
    <cellStyle name="Normal 4 10 21" xfId="13400" xr:uid="{0491027D-816E-4C49-A8A3-718BEB9086D5}"/>
    <cellStyle name="Normal 4 10 22" xfId="13401" xr:uid="{B0683C4E-19AF-4559-BA87-D41A09E040B7}"/>
    <cellStyle name="Normal 4 10 23" xfId="13402" xr:uid="{FCCA966D-5D26-42EF-BB3A-0E5ED59E1618}"/>
    <cellStyle name="Normal 4 10 24" xfId="13403" xr:uid="{DB226FFE-4814-4772-A6B5-2D5DB609200C}"/>
    <cellStyle name="Normal 4 10 25" xfId="13404" xr:uid="{9A3DCD3A-DBD7-4DAC-AF6E-30E953DF43C5}"/>
    <cellStyle name="Normal 4 10 26" xfId="13405" xr:uid="{5663E208-E60C-4F14-94ED-EAA4DA53B1FE}"/>
    <cellStyle name="Normal 4 10 27" xfId="13406" xr:uid="{123C4E4B-D44F-44E9-8691-C233506A7F91}"/>
    <cellStyle name="Normal 4 10 28" xfId="13407" xr:uid="{121F7AD0-59F0-47FA-9134-E205C626D5F9}"/>
    <cellStyle name="Normal 4 10 29" xfId="13408" xr:uid="{B52ED02B-7B3E-471E-A3D7-E89B7963B16F}"/>
    <cellStyle name="Normal 4 10 3" xfId="13409" xr:uid="{6A2295F9-6D47-4F24-BFA7-D30EF11C0A2D}"/>
    <cellStyle name="Normal 4 10 3 10" xfId="13410" xr:uid="{CEC45CCE-9C5A-4A29-9E89-A2C48B27E1E9}"/>
    <cellStyle name="Normal 4 10 3 11" xfId="13411" xr:uid="{4AD3AE49-E273-465D-9068-DAF664DBE6CF}"/>
    <cellStyle name="Normal 4 10 3 12" xfId="13412" xr:uid="{8BA4F7AB-4F41-40EC-8B18-ACD36036AF18}"/>
    <cellStyle name="Normal 4 10 3 13" xfId="13413" xr:uid="{268B0ADC-60CF-425C-9E80-C44486EBFAA8}"/>
    <cellStyle name="Normal 4 10 3 14" xfId="13414" xr:uid="{6FFE25DF-DE3F-466E-8DC0-8212373A40E0}"/>
    <cellStyle name="Normal 4 10 3 15" xfId="13415" xr:uid="{22DFDCA2-E210-4336-A9EC-7C98715CF418}"/>
    <cellStyle name="Normal 4 10 3 16" xfId="13416" xr:uid="{9F56CA51-90EB-4E2D-9653-0F203939EAF8}"/>
    <cellStyle name="Normal 4 10 3 17" xfId="13417" xr:uid="{260234E8-CAD4-4D63-8527-57BA7E6D0E9F}"/>
    <cellStyle name="Normal 4 10 3 18" xfId="13418" xr:uid="{6070DC0A-6EC5-4B1D-931D-0733E3E7C803}"/>
    <cellStyle name="Normal 4 10 3 19" xfId="13419" xr:uid="{C361813D-7C85-431F-A027-E74746CE5BF7}"/>
    <cellStyle name="Normal 4 10 3 2" xfId="13420" xr:uid="{F9114464-33AA-4FD2-8377-79FBF3A72AB1}"/>
    <cellStyle name="Normal 4 10 3 2 10" xfId="13421" xr:uid="{87948FFA-9A56-44A7-9726-682CAD612B05}"/>
    <cellStyle name="Normal 4 10 3 2 11" xfId="13422" xr:uid="{9FA62BAD-3F28-4086-B2F9-DA507896278F}"/>
    <cellStyle name="Normal 4 10 3 2 12" xfId="13423" xr:uid="{473AA171-757D-4EFF-B4A3-2E62D701B9F7}"/>
    <cellStyle name="Normal 4 10 3 2 13" xfId="13424" xr:uid="{BBBCF11F-B572-439D-A0C1-1F497BA871D5}"/>
    <cellStyle name="Normal 4 10 3 2 14" xfId="13425" xr:uid="{620EC00D-9BE3-4FB4-92A8-A19F3B9125B0}"/>
    <cellStyle name="Normal 4 10 3 2 15" xfId="13426" xr:uid="{56313905-E891-4D01-987D-59B0D7E41E9D}"/>
    <cellStyle name="Normal 4 10 3 2 16" xfId="13427" xr:uid="{FC62F804-70F1-46DC-913E-0F8226105117}"/>
    <cellStyle name="Normal 4 10 3 2 17" xfId="13428" xr:uid="{418C755E-F8F5-4F2A-81C4-6F904D76B4FF}"/>
    <cellStyle name="Normal 4 10 3 2 18" xfId="13429" xr:uid="{36E02E17-EB8C-4AF2-A73D-798AC23066EB}"/>
    <cellStyle name="Normal 4 10 3 2 19" xfId="13430" xr:uid="{2E7A698B-D105-424F-9F8A-F24BCE66C7ED}"/>
    <cellStyle name="Normal 4 10 3 2 2" xfId="13431" xr:uid="{7F39AB90-0FFE-44B9-8B55-6E2EA5283E4A}"/>
    <cellStyle name="Normal 4 10 3 2 20" xfId="13432" xr:uid="{EDFE4C8F-7AA8-44B7-BB64-C86C8F7735F5}"/>
    <cellStyle name="Normal 4 10 3 2 21" xfId="13433" xr:uid="{21C583E9-8EE9-4E0A-A940-37D17CF72A2E}"/>
    <cellStyle name="Normal 4 10 3 2 22" xfId="13434" xr:uid="{689A5DE7-E02C-4FA2-9834-907C88ED5B55}"/>
    <cellStyle name="Normal 4 10 3 2 23" xfId="13435" xr:uid="{DA51603C-37A7-43CD-9750-0696E3FED0B1}"/>
    <cellStyle name="Normal 4 10 3 2 24" xfId="13436" xr:uid="{9636D2FB-99B4-4C91-94A1-AF8D7E295EFF}"/>
    <cellStyle name="Normal 4 10 3 2 25" xfId="13437" xr:uid="{C4B6F2A2-62E0-4876-8327-61B3B3F7FED8}"/>
    <cellStyle name="Normal 4 10 3 2 26" xfId="13438" xr:uid="{49B70DC8-D744-4509-94E9-624329AF38BD}"/>
    <cellStyle name="Normal 4 10 3 2 27" xfId="13439" xr:uid="{AD6E15AE-1D30-4989-BA06-7FAFC641E445}"/>
    <cellStyle name="Normal 4 10 3 2 28" xfId="13440" xr:uid="{F7D8CED6-4D02-4B51-8CB1-9BD114AAE7F3}"/>
    <cellStyle name="Normal 4 10 3 2 29" xfId="13441" xr:uid="{3B5E9996-7716-43AF-9D20-DBA74DEFB607}"/>
    <cellStyle name="Normal 4 10 3 2 3" xfId="13442" xr:uid="{1CC0D3C5-A390-44E4-A278-ECB36548CCA2}"/>
    <cellStyle name="Normal 4 10 3 2 30" xfId="13443" xr:uid="{B0E919A4-5C10-4CD7-AC21-A7BE7403016B}"/>
    <cellStyle name="Normal 4 10 3 2 31" xfId="13444" xr:uid="{7E39997C-71AF-4E90-B4F2-63A34AEEA919}"/>
    <cellStyle name="Normal 4 10 3 2 32" xfId="13445" xr:uid="{4AE80B4B-FD53-41B3-B69E-4FF688AE7A76}"/>
    <cellStyle name="Normal 4 10 3 2 33" xfId="13446" xr:uid="{5F33B07B-DED5-43C2-871F-C844B773629C}"/>
    <cellStyle name="Normal 4 10 3 2 34" xfId="13447" xr:uid="{F8FFAFC2-6421-4C43-9DCE-29FE960170B4}"/>
    <cellStyle name="Normal 4 10 3 2 35" xfId="13448" xr:uid="{3D2911A3-E7F8-40FD-A166-B463A06AAAF5}"/>
    <cellStyle name="Normal 4 10 3 2 36" xfId="13449" xr:uid="{43D9DBF7-E3D8-41D6-80F9-45208AD3D81B}"/>
    <cellStyle name="Normal 4 10 3 2 37" xfId="13450" xr:uid="{3A07987D-04F4-4889-AE47-2A8018F20B8F}"/>
    <cellStyle name="Normal 4 10 3 2 38" xfId="13451" xr:uid="{CDD384A4-CA2A-41EE-AF94-4A094FF0B6BF}"/>
    <cellStyle name="Normal 4 10 3 2 4" xfId="13452" xr:uid="{0ED9B3AC-1E62-43CE-BA7F-4DB99C6344F9}"/>
    <cellStyle name="Normal 4 10 3 2 5" xfId="13453" xr:uid="{5CC3878F-6F99-4B1C-888B-8E1CEFDBC3D6}"/>
    <cellStyle name="Normal 4 10 3 2 6" xfId="13454" xr:uid="{3208D4F5-97A9-4997-BABF-16DD4B4C55C4}"/>
    <cellStyle name="Normal 4 10 3 2 7" xfId="13455" xr:uid="{63C8E408-D537-4333-BEE6-9458CFAA7BD6}"/>
    <cellStyle name="Normal 4 10 3 2 8" xfId="13456" xr:uid="{B95B8DD6-9EC2-477D-B796-07C4210030E4}"/>
    <cellStyle name="Normal 4 10 3 2 9" xfId="13457" xr:uid="{2C2643F9-4762-4D59-B353-3849C3C7B690}"/>
    <cellStyle name="Normal 4 10 3 20" xfId="13458" xr:uid="{885B8FAD-7595-4811-BA7A-1A3BB8C2308D}"/>
    <cellStyle name="Normal 4 10 3 21" xfId="13459" xr:uid="{601D4422-EABD-4EBB-B554-6A3941342698}"/>
    <cellStyle name="Normal 4 10 3 22" xfId="13460" xr:uid="{C39AABC9-3286-4963-BBDC-C799AF204C61}"/>
    <cellStyle name="Normal 4 10 3 23" xfId="13461" xr:uid="{4797DE56-C5BE-453E-8D59-610787FAE473}"/>
    <cellStyle name="Normal 4 10 3 24" xfId="13462" xr:uid="{4544EE8E-B587-4BB7-90EB-14A2576EF882}"/>
    <cellStyle name="Normal 4 10 3 25" xfId="13463" xr:uid="{A1DC4DBC-BD1A-477A-9ED2-A2DA952FA153}"/>
    <cellStyle name="Normal 4 10 3 26" xfId="13464" xr:uid="{06FA83A5-0F46-4801-99A2-CEA7B5C14BE6}"/>
    <cellStyle name="Normal 4 10 3 27" xfId="13465" xr:uid="{D0BBE61F-E3C0-4B7D-B6D6-CEDB4F110302}"/>
    <cellStyle name="Normal 4 10 3 28" xfId="13466" xr:uid="{9B5622EB-DFD0-4F15-9C90-265BC3BE0138}"/>
    <cellStyle name="Normal 4 10 3 29" xfId="13467" xr:uid="{09AB5D05-1AF6-4A24-B468-219B3F581234}"/>
    <cellStyle name="Normal 4 10 3 3" xfId="13468" xr:uid="{C9A13B7D-23F0-4811-8AD9-C50B8EBFD59A}"/>
    <cellStyle name="Normal 4 10 3 30" xfId="13469" xr:uid="{9C13B43C-00D8-40CC-8FF6-4259F9EE4307}"/>
    <cellStyle name="Normal 4 10 3 31" xfId="13470" xr:uid="{30AF9660-B910-4229-BD8D-44512E17E47B}"/>
    <cellStyle name="Normal 4 10 3 32" xfId="13471" xr:uid="{2EE48DF2-6CAB-4A08-9B41-579A397953F6}"/>
    <cellStyle name="Normal 4 10 3 33" xfId="13472" xr:uid="{B8E6CE0A-D83D-45AD-93E2-ACC6C1A83373}"/>
    <cellStyle name="Normal 4 10 3 34" xfId="13473" xr:uid="{D8616B28-A5E8-469C-8AB1-B90B77E11181}"/>
    <cellStyle name="Normal 4 10 3 35" xfId="13474" xr:uid="{B6DFB07A-E2D3-46C8-90BD-231485A2DDE7}"/>
    <cellStyle name="Normal 4 10 3 36" xfId="13475" xr:uid="{3AFB7608-1795-4492-A18F-3B04743AF14C}"/>
    <cellStyle name="Normal 4 10 3 37" xfId="13476" xr:uid="{69354F9A-BEE4-439B-B703-4197368D82EF}"/>
    <cellStyle name="Normal 4 10 3 38" xfId="13477" xr:uid="{64EFA58B-CC79-4745-BFF2-9FDBFD24110E}"/>
    <cellStyle name="Normal 4 10 3 4" xfId="13478" xr:uid="{EF744B21-2205-4C44-B60E-6E60953616E0}"/>
    <cellStyle name="Normal 4 10 3 5" xfId="13479" xr:uid="{3278F54A-563C-4E13-9866-D6FA41D73797}"/>
    <cellStyle name="Normal 4 10 3 6" xfId="13480" xr:uid="{812B2035-FBA1-4697-9D08-0B137A03101B}"/>
    <cellStyle name="Normal 4 10 3 7" xfId="13481" xr:uid="{F8EB4C3F-D433-412B-86DB-237CFDC9E0CF}"/>
    <cellStyle name="Normal 4 10 3 8" xfId="13482" xr:uid="{0B656A3D-CA9D-477D-9838-D58A258F4844}"/>
    <cellStyle name="Normal 4 10 3 9" xfId="13483" xr:uid="{C40F60C9-68AE-4A2E-BE6A-354F91BD7C95}"/>
    <cellStyle name="Normal 4 10 30" xfId="13484" xr:uid="{0164A152-F9FA-4013-BD6D-DF15EF3F5129}"/>
    <cellStyle name="Normal 4 10 31" xfId="13485" xr:uid="{8E7EA1CB-BE09-4231-85FC-34A20950184F}"/>
    <cellStyle name="Normal 4 10 32" xfId="13486" xr:uid="{2AD4D3D5-B558-46E0-B802-30995AC3CF62}"/>
    <cellStyle name="Normal 4 10 33" xfId="13487" xr:uid="{C5F95F03-3862-4C1E-9390-36062629C959}"/>
    <cellStyle name="Normal 4 10 34" xfId="13488" xr:uid="{2116F0AE-261C-4ECC-8093-53B541EFD364}"/>
    <cellStyle name="Normal 4 10 35" xfId="13489" xr:uid="{A0786E79-29F1-4A1D-8FD2-53C3116CFE84}"/>
    <cellStyle name="Normal 4 10 36" xfId="13490" xr:uid="{82D72EF9-EA2D-48BD-98FB-522AD7C5CC03}"/>
    <cellStyle name="Normal 4 10 37" xfId="13491" xr:uid="{26A2A04A-B6C3-4D90-BDC0-B8E0A5529DA6}"/>
    <cellStyle name="Normal 4 10 38" xfId="13492" xr:uid="{071C4E16-2DB8-4C7D-91EB-E0108D3D2EBE}"/>
    <cellStyle name="Normal 4 10 39" xfId="13493" xr:uid="{2D862DD6-EB6B-4884-91B4-20C9480156B7}"/>
    <cellStyle name="Normal 4 10 4" xfId="13494" xr:uid="{5A3B155D-1DC1-4BD8-81A4-27CDDEC5BB16}"/>
    <cellStyle name="Normal 4 10 40" xfId="13495" xr:uid="{3EC493DB-2CAC-45BA-BF35-77C340DFD641}"/>
    <cellStyle name="Normal 4 10 41" xfId="13496" xr:uid="{BF89C12B-8EFD-453F-8B9A-8843FDBDDBAF}"/>
    <cellStyle name="Normal 4 10 42" xfId="13497" xr:uid="{0D3AC1C6-E8D7-4142-8698-66AB74971FE2}"/>
    <cellStyle name="Normal 4 10 43" xfId="13498" xr:uid="{E1CE4725-DB03-4094-8BA0-C8A787CC71E4}"/>
    <cellStyle name="Normal 4 10 44" xfId="13499" xr:uid="{BAA2C821-6937-478A-9C16-E418C9A5DD54}"/>
    <cellStyle name="Normal 4 10 45" xfId="13500" xr:uid="{3B48E4B8-0258-434C-A772-6F7F3389B7D3}"/>
    <cellStyle name="Normal 4 10 46" xfId="13501" xr:uid="{9FE8E5B6-B397-471F-BFCB-EBF808BFA10F}"/>
    <cellStyle name="Normal 4 10 47" xfId="13502" xr:uid="{F42A72B5-A0A5-4971-8831-2146CC1B923C}"/>
    <cellStyle name="Normal 4 10 5" xfId="13503" xr:uid="{8FDB8F48-199F-40EA-AEB2-436EAABAFA8F}"/>
    <cellStyle name="Normal 4 10 6" xfId="13504" xr:uid="{97E5575E-478D-4214-B835-96F11E5E4763}"/>
    <cellStyle name="Normal 4 10 7" xfId="13505" xr:uid="{86448B38-E270-4D2B-87B2-E376BD8BEE28}"/>
    <cellStyle name="Normal 4 10 8" xfId="13506" xr:uid="{749BF39F-4390-4F89-80BA-CB8275DD8BD6}"/>
    <cellStyle name="Normal 4 10 9" xfId="13507" xr:uid="{C2FB8064-7DC4-4888-BDEB-6A97427ACBDA}"/>
    <cellStyle name="Normal 4 11" xfId="13508" xr:uid="{CC735813-90CE-4C3B-BACC-D3D7734E85E8}"/>
    <cellStyle name="Normal 4 11 10" xfId="13509" xr:uid="{C837619C-0E70-42C5-A103-3155EA13CE9A}"/>
    <cellStyle name="Normal 4 11 11" xfId="13510" xr:uid="{5FF99962-A79F-4B15-848F-B7918760155C}"/>
    <cellStyle name="Normal 4 11 12" xfId="13511" xr:uid="{FC18BCAD-F595-43A7-B0AF-05A30CEE1BF3}"/>
    <cellStyle name="Normal 4 11 13" xfId="13512" xr:uid="{0B041EC0-F19B-49BF-87B1-7AE6AF2C6098}"/>
    <cellStyle name="Normal 4 11 14" xfId="13513" xr:uid="{6E3BEC65-0CB9-4523-B332-801FE23990DE}"/>
    <cellStyle name="Normal 4 11 15" xfId="13514" xr:uid="{BE3E5234-2D45-403E-8C8A-6B397B30C0A4}"/>
    <cellStyle name="Normal 4 11 16" xfId="13515" xr:uid="{C0D3166C-AF87-4595-AF09-6CE0C0885129}"/>
    <cellStyle name="Normal 4 11 17" xfId="13516" xr:uid="{D34AEC68-98D8-4C2C-9028-196906F48778}"/>
    <cellStyle name="Normal 4 11 18" xfId="13517" xr:uid="{E265157B-B365-4747-BE15-DB99CE0ED49A}"/>
    <cellStyle name="Normal 4 11 19" xfId="13518" xr:uid="{AB6BB230-A7F7-4FA7-B1CE-ED76743CE9C9}"/>
    <cellStyle name="Normal 4 11 2" xfId="13519" xr:uid="{3A24857A-92B5-4A11-8188-F5A25FCBAA03}"/>
    <cellStyle name="Normal 4 11 2 10" xfId="13520" xr:uid="{99B831FC-678B-4625-AA64-937F6BA9130E}"/>
    <cellStyle name="Normal 4 11 2 11" xfId="13521" xr:uid="{9447B8F7-C081-4DDA-8390-4F67B5ECABCA}"/>
    <cellStyle name="Normal 4 11 2 12" xfId="13522" xr:uid="{A3B0B7C8-38D2-494C-89BA-1C20C19CD4E2}"/>
    <cellStyle name="Normal 4 11 2 13" xfId="13523" xr:uid="{1D1C468F-FC31-4433-A55E-55B7668B76C7}"/>
    <cellStyle name="Normal 4 11 2 14" xfId="13524" xr:uid="{3348A5FE-5260-4F93-8F57-663D4A5A7800}"/>
    <cellStyle name="Normal 4 11 2 15" xfId="13525" xr:uid="{6C1BA13C-B00D-462B-801B-60F5DF29960B}"/>
    <cellStyle name="Normal 4 11 2 16" xfId="13526" xr:uid="{387112FE-63C9-4CB1-B2C4-A1ABA50BECF1}"/>
    <cellStyle name="Normal 4 11 2 17" xfId="13527" xr:uid="{CB567C36-4919-4567-9A6C-94C88FC1DDC7}"/>
    <cellStyle name="Normal 4 11 2 18" xfId="13528" xr:uid="{8BCA25F6-2A77-467A-85CC-762C59D8A684}"/>
    <cellStyle name="Normal 4 11 2 19" xfId="13529" xr:uid="{A09462D5-9EB7-4A00-9FEF-BD973FC06729}"/>
    <cellStyle name="Normal 4 11 2 2" xfId="13530" xr:uid="{8B417EE1-F0AF-4B58-A92C-47740D558052}"/>
    <cellStyle name="Normal 4 11 2 2 10" xfId="13531" xr:uid="{D172171B-7E5C-4D1A-BDDD-32EE81A7B4F2}"/>
    <cellStyle name="Normal 4 11 2 2 11" xfId="13532" xr:uid="{D39D3642-814C-4D26-9EF4-613EEA26D64D}"/>
    <cellStyle name="Normal 4 11 2 2 12" xfId="13533" xr:uid="{069C917C-6528-4895-8776-C6730EAD9537}"/>
    <cellStyle name="Normal 4 11 2 2 13" xfId="13534" xr:uid="{A39EB66F-A238-49BB-894F-D7BAAEF19D3D}"/>
    <cellStyle name="Normal 4 11 2 2 14" xfId="13535" xr:uid="{6E2277EE-1071-4337-9C43-66823AD6BF74}"/>
    <cellStyle name="Normal 4 11 2 2 15" xfId="13536" xr:uid="{344140C6-C497-471E-8FD8-50938D5E8FA7}"/>
    <cellStyle name="Normal 4 11 2 2 16" xfId="13537" xr:uid="{BBC8F9B5-70D5-41BF-9026-94A4D9DDF974}"/>
    <cellStyle name="Normal 4 11 2 2 17" xfId="13538" xr:uid="{64E9CB00-0A14-4C2D-A9D6-0C164529C800}"/>
    <cellStyle name="Normal 4 11 2 2 18" xfId="13539" xr:uid="{73ECEFEB-188C-48D6-A670-361DBE115BA9}"/>
    <cellStyle name="Normal 4 11 2 2 19" xfId="13540" xr:uid="{DB3999DA-CCDE-448F-B007-CC670EF26984}"/>
    <cellStyle name="Normal 4 11 2 2 2" xfId="13541" xr:uid="{235748D4-0D3C-4E1E-8360-79CFAB9F8463}"/>
    <cellStyle name="Normal 4 11 2 2 2 10" xfId="13542" xr:uid="{C8890DB1-BA0A-4757-83AD-30C6D2FBCD75}"/>
    <cellStyle name="Normal 4 11 2 2 2 11" xfId="13543" xr:uid="{58C3843E-E1D8-4055-8C72-A324FC6D4973}"/>
    <cellStyle name="Normal 4 11 2 2 2 12" xfId="13544" xr:uid="{CE3FB544-D4E2-4A91-AAC3-CD119E2C312A}"/>
    <cellStyle name="Normal 4 11 2 2 2 13" xfId="13545" xr:uid="{9AE1F701-EDCD-49CB-84D0-72F0E05B87BD}"/>
    <cellStyle name="Normal 4 11 2 2 2 14" xfId="13546" xr:uid="{6831999C-8451-4A35-8B88-65DF50EF2E28}"/>
    <cellStyle name="Normal 4 11 2 2 2 15" xfId="13547" xr:uid="{4B078658-FDD9-4C5A-8416-F921F218FAC4}"/>
    <cellStyle name="Normal 4 11 2 2 2 16" xfId="13548" xr:uid="{377CC266-76CC-4F96-841F-504A32E41954}"/>
    <cellStyle name="Normal 4 11 2 2 2 17" xfId="13549" xr:uid="{C8D654DB-1F4B-4B09-96C8-C04E4412DE61}"/>
    <cellStyle name="Normal 4 11 2 2 2 18" xfId="13550" xr:uid="{360FAD60-BE73-4FF6-B50A-D10EF3E041F0}"/>
    <cellStyle name="Normal 4 11 2 2 2 19" xfId="13551" xr:uid="{D62059E9-35BC-47C8-9B67-21161CC9620C}"/>
    <cellStyle name="Normal 4 11 2 2 2 2" xfId="13552" xr:uid="{27202FF9-A7A8-4FFF-8CD9-9AEA424B63EA}"/>
    <cellStyle name="Normal 4 11 2 2 2 20" xfId="13553" xr:uid="{AC5D8ADD-C4C8-499D-9645-4257E492EC8C}"/>
    <cellStyle name="Normal 4 11 2 2 2 21" xfId="13554" xr:uid="{BB7F77A7-7DA1-4761-9A17-9B1DD7CFF0FB}"/>
    <cellStyle name="Normal 4 11 2 2 2 22" xfId="13555" xr:uid="{0078E257-D43A-4864-902D-B1149D26D47D}"/>
    <cellStyle name="Normal 4 11 2 2 2 23" xfId="13556" xr:uid="{B80BD89F-DCA2-4D35-9A1F-A6AA2AAA1D8E}"/>
    <cellStyle name="Normal 4 11 2 2 2 24" xfId="13557" xr:uid="{4D5D7E4E-21B8-4034-8202-F92CB31160CD}"/>
    <cellStyle name="Normal 4 11 2 2 2 25" xfId="13558" xr:uid="{822F8981-5BCD-4F87-BE03-6D5CE3CA301D}"/>
    <cellStyle name="Normal 4 11 2 2 2 26" xfId="13559" xr:uid="{577C33DF-9D2F-4EB8-854D-DFC341CDA944}"/>
    <cellStyle name="Normal 4 11 2 2 2 27" xfId="13560" xr:uid="{43E3D9B1-FA99-4E1A-B7B9-28D6D15801CB}"/>
    <cellStyle name="Normal 4 11 2 2 2 28" xfId="13561" xr:uid="{333B2691-42C4-49EB-A6EE-92ADCCD0D4C0}"/>
    <cellStyle name="Normal 4 11 2 2 2 29" xfId="13562" xr:uid="{44DE5C7D-510C-4246-9176-4297922489E8}"/>
    <cellStyle name="Normal 4 11 2 2 2 3" xfId="13563" xr:uid="{D6FED0FC-0680-4C4E-9FEE-29F86EBD44B3}"/>
    <cellStyle name="Normal 4 11 2 2 2 30" xfId="13564" xr:uid="{DD314E5A-A0B0-4040-BB08-A30F140BA23C}"/>
    <cellStyle name="Normal 4 11 2 2 2 31" xfId="13565" xr:uid="{62741A9B-2216-4093-A8E3-7A792D22B624}"/>
    <cellStyle name="Normal 4 11 2 2 2 32" xfId="13566" xr:uid="{46F14A4A-D49A-40A0-9E08-828CFAB18FCE}"/>
    <cellStyle name="Normal 4 11 2 2 2 33" xfId="13567" xr:uid="{28B27421-838A-472D-922F-207098DF028A}"/>
    <cellStyle name="Normal 4 11 2 2 2 34" xfId="13568" xr:uid="{27E935E5-C2D2-4B74-83EE-334B8E94E9EC}"/>
    <cellStyle name="Normal 4 11 2 2 2 35" xfId="13569" xr:uid="{0B66E7D3-129A-426A-9106-16456DC7BFCA}"/>
    <cellStyle name="Normal 4 11 2 2 2 36" xfId="13570" xr:uid="{3002591F-23D0-404E-9A95-59E011FFD218}"/>
    <cellStyle name="Normal 4 11 2 2 2 37" xfId="13571" xr:uid="{38DE6226-EE13-444E-BA0D-FF0C4C939AE0}"/>
    <cellStyle name="Normal 4 11 2 2 2 38" xfId="13572" xr:uid="{C2C5F685-B824-4841-9E7A-259F0AD2F5E2}"/>
    <cellStyle name="Normal 4 11 2 2 2 4" xfId="13573" xr:uid="{4759522F-B1E0-4A80-8083-A3BFD14B8DE2}"/>
    <cellStyle name="Normal 4 11 2 2 2 5" xfId="13574" xr:uid="{35754659-79F5-46FA-AB48-5E50C88E3773}"/>
    <cellStyle name="Normal 4 11 2 2 2 6" xfId="13575" xr:uid="{DFE0F78E-DC46-443B-B713-380765F1CC96}"/>
    <cellStyle name="Normal 4 11 2 2 2 7" xfId="13576" xr:uid="{13762920-9379-4617-AA6F-6715ED4AAA9C}"/>
    <cellStyle name="Normal 4 11 2 2 2 8" xfId="13577" xr:uid="{9FAD8B67-0C8F-4BD5-9A9E-E42F998E2CA2}"/>
    <cellStyle name="Normal 4 11 2 2 2 9" xfId="13578" xr:uid="{CB292832-8455-49FC-9654-9ACF6B61B408}"/>
    <cellStyle name="Normal 4 11 2 2 20" xfId="13579" xr:uid="{42CCF92A-EFAF-4F8A-8980-45B3AAE38E0D}"/>
    <cellStyle name="Normal 4 11 2 2 21" xfId="13580" xr:uid="{B1437A67-2FAD-4939-A4CA-2532878CF08E}"/>
    <cellStyle name="Normal 4 11 2 2 22" xfId="13581" xr:uid="{E436B3CF-D492-4179-BE2C-45C4B3BBDD95}"/>
    <cellStyle name="Normal 4 11 2 2 23" xfId="13582" xr:uid="{30F7BA9F-394C-4209-A592-E085C9D76710}"/>
    <cellStyle name="Normal 4 11 2 2 24" xfId="13583" xr:uid="{E4F722B6-0CAD-4753-9226-83913E7A8AF7}"/>
    <cellStyle name="Normal 4 11 2 2 25" xfId="13584" xr:uid="{9E278B2C-2940-48EF-8747-3D538DC3D8AA}"/>
    <cellStyle name="Normal 4 11 2 2 26" xfId="13585" xr:uid="{6CA27EB4-965E-4F5E-A122-940754474128}"/>
    <cellStyle name="Normal 4 11 2 2 27" xfId="13586" xr:uid="{3450FA13-4FDA-4FD1-B831-560AF7DA8CD3}"/>
    <cellStyle name="Normal 4 11 2 2 28" xfId="13587" xr:uid="{CF70248E-9010-4649-8A01-3B6A5D8AD20A}"/>
    <cellStyle name="Normal 4 11 2 2 29" xfId="13588" xr:uid="{49379D4D-C27D-42D0-A073-813E39C2BFE2}"/>
    <cellStyle name="Normal 4 11 2 2 3" xfId="13589" xr:uid="{3F5BBC05-CFCE-4E88-9FBC-1C15B4E84012}"/>
    <cellStyle name="Normal 4 11 2 2 30" xfId="13590" xr:uid="{87036A62-57D6-48AE-B4D5-BC67054391AF}"/>
    <cellStyle name="Normal 4 11 2 2 31" xfId="13591" xr:uid="{C171CAC9-75F4-4364-88C3-98D4986D96E9}"/>
    <cellStyle name="Normal 4 11 2 2 32" xfId="13592" xr:uid="{98D75E8A-B004-4EFD-AAFB-42F4463EC1A1}"/>
    <cellStyle name="Normal 4 11 2 2 33" xfId="13593" xr:uid="{B26F4433-EB07-4BBD-B191-8C84BF3EADB7}"/>
    <cellStyle name="Normal 4 11 2 2 34" xfId="13594" xr:uid="{8FD77003-785A-41B9-8475-0B2A45FDB605}"/>
    <cellStyle name="Normal 4 11 2 2 35" xfId="13595" xr:uid="{2B815911-8019-40A6-AE17-0FADB90315E4}"/>
    <cellStyle name="Normal 4 11 2 2 36" xfId="13596" xr:uid="{61C61AC5-CDD5-49E7-94F1-A16D0D0664C3}"/>
    <cellStyle name="Normal 4 11 2 2 37" xfId="13597" xr:uid="{47771F16-F150-4EDC-835D-8E7ABFA576C1}"/>
    <cellStyle name="Normal 4 11 2 2 38" xfId="13598" xr:uid="{5F8E9E9F-317D-47DC-A7C3-C331B2864B23}"/>
    <cellStyle name="Normal 4 11 2 2 4" xfId="13599" xr:uid="{37D217D0-DBC4-489D-BCF0-9A1A969A7880}"/>
    <cellStyle name="Normal 4 11 2 2 5" xfId="13600" xr:uid="{39EE9D69-D45D-4E20-B519-2FE68CDE907F}"/>
    <cellStyle name="Normal 4 11 2 2 6" xfId="13601" xr:uid="{B65C4D81-6F01-4F3A-B427-BFA8991A8DEE}"/>
    <cellStyle name="Normal 4 11 2 2 7" xfId="13602" xr:uid="{3F41D0AD-F81D-4933-9F56-68BE20FCB0FC}"/>
    <cellStyle name="Normal 4 11 2 2 8" xfId="13603" xr:uid="{32934773-759A-494F-9ED7-44B5C26F1658}"/>
    <cellStyle name="Normal 4 11 2 2 9" xfId="13604" xr:uid="{E832720E-9FD3-4F9D-BD8A-0E4220BFC000}"/>
    <cellStyle name="Normal 4 11 2 20" xfId="13605" xr:uid="{307D70C2-65DE-46A3-9600-BA6D4E28F743}"/>
    <cellStyle name="Normal 4 11 2 21" xfId="13606" xr:uid="{09A7B34E-9B7B-45CB-9F2F-D7D27FBDE78B}"/>
    <cellStyle name="Normal 4 11 2 22" xfId="13607" xr:uid="{21A21559-3DE4-4683-B32A-0C6B843840AA}"/>
    <cellStyle name="Normal 4 11 2 23" xfId="13608" xr:uid="{78BBBF00-5938-4F44-B61F-F62EDDFE15CF}"/>
    <cellStyle name="Normal 4 11 2 24" xfId="13609" xr:uid="{97911CFC-82C8-4B2A-A91C-D879A6ED146B}"/>
    <cellStyle name="Normal 4 11 2 25" xfId="13610" xr:uid="{2D6707DE-E9C0-41C5-A2D2-2DF7C83192D6}"/>
    <cellStyle name="Normal 4 11 2 26" xfId="13611" xr:uid="{1670B32E-2708-484F-9A64-FD7944DF1028}"/>
    <cellStyle name="Normal 4 11 2 27" xfId="13612" xr:uid="{BA34CBDA-4D63-42CC-8D2E-4F8CA911E15F}"/>
    <cellStyle name="Normal 4 11 2 28" xfId="13613" xr:uid="{F88ACAD7-3829-4D5A-9398-8EE0B5E5D1A9}"/>
    <cellStyle name="Normal 4 11 2 29" xfId="13614" xr:uid="{56050EE8-101B-491C-A6C8-5DA34C8D72FF}"/>
    <cellStyle name="Normal 4 11 2 3" xfId="13615" xr:uid="{1CEB3A04-5609-4FD5-B912-A1BDE2BE76E0}"/>
    <cellStyle name="Normal 4 11 2 30" xfId="13616" xr:uid="{1E84942E-7D80-481B-9F61-4F49B3F6224B}"/>
    <cellStyle name="Normal 4 11 2 31" xfId="13617" xr:uid="{76E0ECD7-C15B-4555-9EEF-A7FB8CC001B3}"/>
    <cellStyle name="Normal 4 11 2 32" xfId="13618" xr:uid="{7E54072B-B0DD-44E7-83A5-0B54478BEB3B}"/>
    <cellStyle name="Normal 4 11 2 33" xfId="13619" xr:uid="{B9B51376-6348-4F8D-8ED6-29F86039D18D}"/>
    <cellStyle name="Normal 4 11 2 34" xfId="13620" xr:uid="{CA7E905E-747A-422B-A40F-1B6E5B0637F0}"/>
    <cellStyle name="Normal 4 11 2 35" xfId="13621" xr:uid="{0720EE37-6A6D-43C9-93A2-08400DFAC517}"/>
    <cellStyle name="Normal 4 11 2 36" xfId="13622" xr:uid="{A28FA02E-AC69-40C8-9E90-B02363208E57}"/>
    <cellStyle name="Normal 4 11 2 37" xfId="13623" xr:uid="{E47A19D4-1E57-469A-8B8A-65551392A284}"/>
    <cellStyle name="Normal 4 11 2 38" xfId="13624" xr:uid="{4181E2E7-E074-4CBB-9AEE-26A67BAAC907}"/>
    <cellStyle name="Normal 4 11 2 39" xfId="13625" xr:uid="{C2765BF5-5FA3-46E2-A7DA-5B2357F39AAE}"/>
    <cellStyle name="Normal 4 11 2 4" xfId="13626" xr:uid="{D3F803CA-62B2-4510-A2B7-867883B134B2}"/>
    <cellStyle name="Normal 4 11 2 40" xfId="13627" xr:uid="{294A254D-62F6-4057-93AE-A7FE087E631F}"/>
    <cellStyle name="Normal 4 11 2 5" xfId="13628" xr:uid="{F2ECCB6A-E6C2-4E5C-BF35-E51D136EDB74}"/>
    <cellStyle name="Normal 4 11 2 6" xfId="13629" xr:uid="{C1EEB9DE-9A86-4F0E-821C-38F3C5BCE359}"/>
    <cellStyle name="Normal 4 11 2 7" xfId="13630" xr:uid="{DD020338-7F62-4138-A886-142401FE9BA6}"/>
    <cellStyle name="Normal 4 11 2 8" xfId="13631" xr:uid="{A7567ED7-89D6-4637-8C86-CA1E7D18CD0E}"/>
    <cellStyle name="Normal 4 11 2 9" xfId="13632" xr:uid="{4966931E-9466-4AE3-B022-D438E850C8DF}"/>
    <cellStyle name="Normal 4 11 20" xfId="13633" xr:uid="{4F7CBB24-F042-4914-B3BA-48959E971B42}"/>
    <cellStyle name="Normal 4 11 21" xfId="13634" xr:uid="{0FBB3E1C-6E56-4E1E-AC33-E1581C937922}"/>
    <cellStyle name="Normal 4 11 22" xfId="13635" xr:uid="{F3D2DB8B-70F3-466C-A59A-CEDC14104113}"/>
    <cellStyle name="Normal 4 11 23" xfId="13636" xr:uid="{20C30B5A-F54B-444A-9C4B-3FAFA36670E8}"/>
    <cellStyle name="Normal 4 11 24" xfId="13637" xr:uid="{AD4E9A15-26FD-404D-9FE6-70941F45511B}"/>
    <cellStyle name="Normal 4 11 25" xfId="13638" xr:uid="{8C0BA86D-A228-4B61-BAE3-4A53EB023D46}"/>
    <cellStyle name="Normal 4 11 26" xfId="13639" xr:uid="{8DA55981-A112-4209-B6CD-E220BF262F00}"/>
    <cellStyle name="Normal 4 11 27" xfId="13640" xr:uid="{A56E8866-A395-4898-83A4-C729B46AA802}"/>
    <cellStyle name="Normal 4 11 28" xfId="13641" xr:uid="{8E4BA871-C162-4515-9051-C39B0D83E173}"/>
    <cellStyle name="Normal 4 11 29" xfId="13642" xr:uid="{30676DCB-11C9-4C19-AC32-8520ED1688D0}"/>
    <cellStyle name="Normal 4 11 3" xfId="13643" xr:uid="{A9D69F81-B6BD-45D0-B227-544AB2E0D62D}"/>
    <cellStyle name="Normal 4 11 3 10" xfId="13644" xr:uid="{096A4D70-0D4C-4156-9C8B-F194FA331080}"/>
    <cellStyle name="Normal 4 11 3 11" xfId="13645" xr:uid="{CB8D16C2-9802-4FCF-A1EB-1CDDAA8AB1A9}"/>
    <cellStyle name="Normal 4 11 3 12" xfId="13646" xr:uid="{05471893-3EC9-4E45-B22E-30ECF36A3F40}"/>
    <cellStyle name="Normal 4 11 3 13" xfId="13647" xr:uid="{AF1DCC5D-24F9-4598-8229-CA09662A6448}"/>
    <cellStyle name="Normal 4 11 3 14" xfId="13648" xr:uid="{C7BF88EC-FB2B-47F3-BCA7-1D4C53940AE5}"/>
    <cellStyle name="Normal 4 11 3 15" xfId="13649" xr:uid="{EB32A60A-0E0C-440E-9B48-8AFC6797F7D7}"/>
    <cellStyle name="Normal 4 11 3 16" xfId="13650" xr:uid="{9DEBE793-BFAC-45B4-A2A7-80EE2245DC15}"/>
    <cellStyle name="Normal 4 11 3 17" xfId="13651" xr:uid="{ABB03511-CDC8-47A9-B847-F0FA15A719E9}"/>
    <cellStyle name="Normal 4 11 3 18" xfId="13652" xr:uid="{5EE26A5F-A99C-486B-86E6-1DA8749A476F}"/>
    <cellStyle name="Normal 4 11 3 19" xfId="13653" xr:uid="{4FDE5F86-D006-4CF7-AA2F-49B7A71569A5}"/>
    <cellStyle name="Normal 4 11 3 2" xfId="13654" xr:uid="{28E78FB4-EEC9-4A9C-A67F-76738F32AEE1}"/>
    <cellStyle name="Normal 4 11 3 2 10" xfId="13655" xr:uid="{7750D45A-702A-4CED-A1E3-82F405AF983E}"/>
    <cellStyle name="Normal 4 11 3 2 11" xfId="13656" xr:uid="{7E43370D-32C9-4DAF-8877-933C72AB7B23}"/>
    <cellStyle name="Normal 4 11 3 2 12" xfId="13657" xr:uid="{9CF5E112-59E8-4DFA-8136-5926B92C9DE1}"/>
    <cellStyle name="Normal 4 11 3 2 13" xfId="13658" xr:uid="{DD283B4D-F88E-4D91-914D-1986744FC5BD}"/>
    <cellStyle name="Normal 4 11 3 2 14" xfId="13659" xr:uid="{E0C28005-54CF-425C-8FAB-413967CBD8C1}"/>
    <cellStyle name="Normal 4 11 3 2 15" xfId="13660" xr:uid="{D96EB9B5-51AA-4BCD-86FE-DA1CA2CE1FB1}"/>
    <cellStyle name="Normal 4 11 3 2 16" xfId="13661" xr:uid="{D4CD04C6-531E-434A-840F-1B6CB6C3CA85}"/>
    <cellStyle name="Normal 4 11 3 2 17" xfId="13662" xr:uid="{7788569F-8337-4A18-838F-E1C3283C67ED}"/>
    <cellStyle name="Normal 4 11 3 2 18" xfId="13663" xr:uid="{55C8D40A-E777-4409-87AF-3802A498A74A}"/>
    <cellStyle name="Normal 4 11 3 2 19" xfId="13664" xr:uid="{352C910A-91A8-4936-A756-B5260E7E761C}"/>
    <cellStyle name="Normal 4 11 3 2 2" xfId="13665" xr:uid="{825E07A7-C485-4955-971F-5CE561F5D6BA}"/>
    <cellStyle name="Normal 4 11 3 2 20" xfId="13666" xr:uid="{4F884C65-9721-4209-A229-407B40F190F9}"/>
    <cellStyle name="Normal 4 11 3 2 21" xfId="13667" xr:uid="{B4DE9A47-CF21-4B8F-A953-19D99E8E5AE3}"/>
    <cellStyle name="Normal 4 11 3 2 22" xfId="13668" xr:uid="{76C876BE-980A-4A8D-9572-F29558A3E01B}"/>
    <cellStyle name="Normal 4 11 3 2 23" xfId="13669" xr:uid="{D87C3268-4B7C-497D-A5DD-B11C78F9B48D}"/>
    <cellStyle name="Normal 4 11 3 2 24" xfId="13670" xr:uid="{2D2EC52F-5DD5-4DF3-A78A-4047F36AAF8B}"/>
    <cellStyle name="Normal 4 11 3 2 25" xfId="13671" xr:uid="{5A2DB784-4D89-4748-BC62-B3ABC2F5E2B2}"/>
    <cellStyle name="Normal 4 11 3 2 26" xfId="13672" xr:uid="{375A9C88-7B24-455D-BD4D-E7CFD1EC9C86}"/>
    <cellStyle name="Normal 4 11 3 2 27" xfId="13673" xr:uid="{114B1B9C-BA31-4ECA-B01D-D2AE72818E44}"/>
    <cellStyle name="Normal 4 11 3 2 28" xfId="13674" xr:uid="{6A3DCB68-0774-4390-85B8-B900F624C057}"/>
    <cellStyle name="Normal 4 11 3 2 29" xfId="13675" xr:uid="{80A57C0B-E2E4-4B6E-8B59-E98A72694D03}"/>
    <cellStyle name="Normal 4 11 3 2 3" xfId="13676" xr:uid="{E0C96F95-8D43-43A1-AAF5-8494D33D08D9}"/>
    <cellStyle name="Normal 4 11 3 2 30" xfId="13677" xr:uid="{AF066CB7-8C90-4AB1-88AD-CE3554778F6E}"/>
    <cellStyle name="Normal 4 11 3 2 31" xfId="13678" xr:uid="{7A2D85A7-9F69-4208-A576-A7372A0DA5A5}"/>
    <cellStyle name="Normal 4 11 3 2 32" xfId="13679" xr:uid="{151048EB-9FFF-4F9F-B6B5-080B8302838E}"/>
    <cellStyle name="Normal 4 11 3 2 33" xfId="13680" xr:uid="{EC1CB874-E2C8-4012-9F51-6FCA468987FD}"/>
    <cellStyle name="Normal 4 11 3 2 34" xfId="13681" xr:uid="{1799D193-634A-42F2-8522-52AB3934C6DF}"/>
    <cellStyle name="Normal 4 11 3 2 35" xfId="13682" xr:uid="{F54AAE7C-4833-44F0-BAB2-76DEBE8B3BBC}"/>
    <cellStyle name="Normal 4 11 3 2 36" xfId="13683" xr:uid="{B0BCD8E1-8765-480F-AA92-649489AFBE80}"/>
    <cellStyle name="Normal 4 11 3 2 37" xfId="13684" xr:uid="{AF2F47EF-9DDC-4BBD-9FF0-3FA9FB86079C}"/>
    <cellStyle name="Normal 4 11 3 2 38" xfId="13685" xr:uid="{40BC8A12-4218-4521-9A97-6A8AD69791D6}"/>
    <cellStyle name="Normal 4 11 3 2 4" xfId="13686" xr:uid="{3182CB1E-4347-4FA4-BE60-F088B915EAB8}"/>
    <cellStyle name="Normal 4 11 3 2 5" xfId="13687" xr:uid="{3AC81D21-5531-47AB-A99E-703C04F35745}"/>
    <cellStyle name="Normal 4 11 3 2 6" xfId="13688" xr:uid="{8B81520D-25EA-4B59-877F-4FA1888CB735}"/>
    <cellStyle name="Normal 4 11 3 2 7" xfId="13689" xr:uid="{450D243E-04F2-4070-9A09-8C95594B1C5F}"/>
    <cellStyle name="Normal 4 11 3 2 8" xfId="13690" xr:uid="{B07CDB8E-2557-4CD6-ABA8-F9C20EC4FD91}"/>
    <cellStyle name="Normal 4 11 3 2 9" xfId="13691" xr:uid="{1DD33F38-0CA5-42FF-A955-9878F27E4FDE}"/>
    <cellStyle name="Normal 4 11 3 20" xfId="13692" xr:uid="{00C8798C-20A6-4DE3-8FDC-7B44064633D8}"/>
    <cellStyle name="Normal 4 11 3 21" xfId="13693" xr:uid="{75AA9BC6-D546-4714-AB62-A5CFCA592A30}"/>
    <cellStyle name="Normal 4 11 3 22" xfId="13694" xr:uid="{F3B8FDA8-8668-4183-B1A3-22CB9AD16BDE}"/>
    <cellStyle name="Normal 4 11 3 23" xfId="13695" xr:uid="{64AB6583-1416-4A8C-9931-E79220593548}"/>
    <cellStyle name="Normal 4 11 3 24" xfId="13696" xr:uid="{70383EE5-6BC2-4A95-97C3-AD4D58621654}"/>
    <cellStyle name="Normal 4 11 3 25" xfId="13697" xr:uid="{BAA21368-1E68-41DE-B78A-C117D77F7355}"/>
    <cellStyle name="Normal 4 11 3 26" xfId="13698" xr:uid="{47E3B3D4-4B92-40EF-8532-E0D2C59290A3}"/>
    <cellStyle name="Normal 4 11 3 27" xfId="13699" xr:uid="{AD6245D9-9359-49A4-803E-5B283D80446A}"/>
    <cellStyle name="Normal 4 11 3 28" xfId="13700" xr:uid="{F930F5F5-AAD6-4CA9-B79D-6440DD3AA000}"/>
    <cellStyle name="Normal 4 11 3 29" xfId="13701" xr:uid="{9B0C2AA3-0211-4004-8CB4-3DDD1328DEDD}"/>
    <cellStyle name="Normal 4 11 3 3" xfId="13702" xr:uid="{D145CE67-0397-4DDD-8A86-52FFBA7DA027}"/>
    <cellStyle name="Normal 4 11 3 30" xfId="13703" xr:uid="{58AF4AE1-CD74-418A-BAE6-A5DD6CE9B3B2}"/>
    <cellStyle name="Normal 4 11 3 31" xfId="13704" xr:uid="{161D0513-028D-4896-9247-7CEFA16FCDC7}"/>
    <cellStyle name="Normal 4 11 3 32" xfId="13705" xr:uid="{190F645C-54AE-4A73-BA23-BDAE452DB69A}"/>
    <cellStyle name="Normal 4 11 3 33" xfId="13706" xr:uid="{BF0A3E1F-9A61-4AB6-B3A4-9A476E8407CA}"/>
    <cellStyle name="Normal 4 11 3 34" xfId="13707" xr:uid="{6F320AA7-FB92-46F9-9135-9766651FD520}"/>
    <cellStyle name="Normal 4 11 3 35" xfId="13708" xr:uid="{C03CE1AE-915E-43A6-980E-92F995493648}"/>
    <cellStyle name="Normal 4 11 3 36" xfId="13709" xr:uid="{39FD3CB0-6913-4F6B-B3EE-CD86B9566A99}"/>
    <cellStyle name="Normal 4 11 3 37" xfId="13710" xr:uid="{B83B1A84-6EE1-4196-A79A-AB015C3E9F4E}"/>
    <cellStyle name="Normal 4 11 3 38" xfId="13711" xr:uid="{DD520327-F4CD-4919-9B55-C445A8E55DC7}"/>
    <cellStyle name="Normal 4 11 3 4" xfId="13712" xr:uid="{BB506AD1-7812-4C3D-8ED4-FC11DF1D4191}"/>
    <cellStyle name="Normal 4 11 3 5" xfId="13713" xr:uid="{F005960D-2570-4498-9965-5F5654EB8CEB}"/>
    <cellStyle name="Normal 4 11 3 6" xfId="13714" xr:uid="{587A24D3-8ABA-41E5-BACF-A459800566F3}"/>
    <cellStyle name="Normal 4 11 3 7" xfId="13715" xr:uid="{81750C07-D98F-4C0E-A83A-D6737E1A9514}"/>
    <cellStyle name="Normal 4 11 3 8" xfId="13716" xr:uid="{E5706BAE-4770-4BFF-95D7-9604F82C22C0}"/>
    <cellStyle name="Normal 4 11 3 9" xfId="13717" xr:uid="{55D61382-9EBB-414B-A168-4908E3C37696}"/>
    <cellStyle name="Normal 4 11 30" xfId="13718" xr:uid="{8E0312B7-E77A-4BAE-9B4F-CBD75471454F}"/>
    <cellStyle name="Normal 4 11 31" xfId="13719" xr:uid="{CE80AB4E-15AA-49C4-AD2E-CE4B957EF68A}"/>
    <cellStyle name="Normal 4 11 32" xfId="13720" xr:uid="{0BADDAA5-6180-4DD4-B3CB-B537064F1524}"/>
    <cellStyle name="Normal 4 11 33" xfId="13721" xr:uid="{D551E520-0340-466B-9D18-015D483B1A01}"/>
    <cellStyle name="Normal 4 11 34" xfId="13722" xr:uid="{568B8A19-9AE3-40B3-95FC-1F63848A51E1}"/>
    <cellStyle name="Normal 4 11 35" xfId="13723" xr:uid="{9E3409EE-B052-4BA9-A68E-D2B2EEA3AB92}"/>
    <cellStyle name="Normal 4 11 36" xfId="13724" xr:uid="{60EB14DA-047A-4F2E-8B8E-A606C3E9CDA0}"/>
    <cellStyle name="Normal 4 11 37" xfId="13725" xr:uid="{48B2F00F-1DF4-46C9-BB36-E89A64158A82}"/>
    <cellStyle name="Normal 4 11 38" xfId="13726" xr:uid="{9AB434C9-ED13-41EC-86ED-AEEE56B5416A}"/>
    <cellStyle name="Normal 4 11 39" xfId="13727" xr:uid="{53249AA1-4367-4E3D-85CC-8567B65AF1C6}"/>
    <cellStyle name="Normal 4 11 4" xfId="13728" xr:uid="{F64CCEEE-73DF-4D7E-94F5-C18B61F2F9DB}"/>
    <cellStyle name="Normal 4 11 40" xfId="13729" xr:uid="{EF6554AA-F494-408A-AB35-6DE76249C072}"/>
    <cellStyle name="Normal 4 11 41" xfId="13730" xr:uid="{5BA26816-13C3-4666-9C7D-36D49BF45D44}"/>
    <cellStyle name="Normal 4 11 42" xfId="13731" xr:uid="{9BAF0E86-D090-4206-92D6-93CAA1CCFDC0}"/>
    <cellStyle name="Normal 4 11 43" xfId="13732" xr:uid="{38D43883-48C6-43C3-90E4-46CB9C381AE3}"/>
    <cellStyle name="Normal 4 11 44" xfId="13733" xr:uid="{174A8063-C36C-496A-80A3-D973BA5BB923}"/>
    <cellStyle name="Normal 4 11 45" xfId="13734" xr:uid="{C1CF7595-7242-4ECB-86DA-4A76D157B920}"/>
    <cellStyle name="Normal 4 11 46" xfId="13735" xr:uid="{27E584B2-BE3E-474A-BD19-3E892740CF33}"/>
    <cellStyle name="Normal 4 11 47" xfId="13736" xr:uid="{63DCAC92-6A4A-4B7E-AE2E-FC943C51B2FA}"/>
    <cellStyle name="Normal 4 11 5" xfId="13737" xr:uid="{E315F89E-B46E-474D-9107-C912A4471FBB}"/>
    <cellStyle name="Normal 4 11 6" xfId="13738" xr:uid="{91A52CFF-DD75-447D-AA4A-BA66A6AFA7F1}"/>
    <cellStyle name="Normal 4 11 7" xfId="13739" xr:uid="{70F76893-C665-42EC-9182-422123040ED8}"/>
    <cellStyle name="Normal 4 11 8" xfId="13740" xr:uid="{E333AB5B-CFA4-42B1-803E-C3E7BED76CF3}"/>
    <cellStyle name="Normal 4 11 9" xfId="13741" xr:uid="{BF3B051B-07BF-48F3-BFAC-0D3AF7DCC320}"/>
    <cellStyle name="Normal 4 12" xfId="13742" xr:uid="{9C32B453-B3B8-4E27-87FB-33B451A0C533}"/>
    <cellStyle name="Normal 4 12 10" xfId="13743" xr:uid="{7691CCC2-33DB-43B6-9D7D-B2B5F0CFBE3D}"/>
    <cellStyle name="Normal 4 12 11" xfId="13744" xr:uid="{93D629BA-B5D2-493A-B7C9-B7C919979EF7}"/>
    <cellStyle name="Normal 4 12 12" xfId="13745" xr:uid="{41704329-680C-4FA9-86E6-74C7EED70FE7}"/>
    <cellStyle name="Normal 4 12 13" xfId="13746" xr:uid="{E0A67514-F474-46AB-B98A-02BC72B9922F}"/>
    <cellStyle name="Normal 4 12 14" xfId="13747" xr:uid="{F0567D5E-3651-41B6-ABD8-546308A7FC10}"/>
    <cellStyle name="Normal 4 12 15" xfId="13748" xr:uid="{23346FB9-1F32-4064-8D69-EB6C41D37F3E}"/>
    <cellStyle name="Normal 4 12 16" xfId="13749" xr:uid="{9E78379D-9FC0-4C69-96B8-80592DD989CF}"/>
    <cellStyle name="Normal 4 12 17" xfId="13750" xr:uid="{1033FB18-9180-4F2F-8A86-3A4F9C3CFFD2}"/>
    <cellStyle name="Normal 4 12 18" xfId="13751" xr:uid="{CB4E185E-AE7D-4618-8E0E-F784ED8DF3A6}"/>
    <cellStyle name="Normal 4 12 19" xfId="13752" xr:uid="{1390107D-6930-47D7-BAF5-2121022993D3}"/>
    <cellStyle name="Normal 4 12 2" xfId="13753" xr:uid="{F0D2E10B-DD00-462A-8DD2-30CAD9595E3B}"/>
    <cellStyle name="Normal 4 12 2 10" xfId="13754" xr:uid="{1A4C0EE0-13C6-4BDD-B4C1-B02D469A4792}"/>
    <cellStyle name="Normal 4 12 2 11" xfId="13755" xr:uid="{96D5CBA6-B402-4446-9199-4CA4F7129DAE}"/>
    <cellStyle name="Normal 4 12 2 12" xfId="13756" xr:uid="{2C7C48C4-00F8-4654-BA45-B9DC536DC0A9}"/>
    <cellStyle name="Normal 4 12 2 13" xfId="13757" xr:uid="{2E752C95-9FDE-4DEC-9307-39F0A0A879AE}"/>
    <cellStyle name="Normal 4 12 2 14" xfId="13758" xr:uid="{30759E3C-8416-4759-B486-19B89ED71649}"/>
    <cellStyle name="Normal 4 12 2 15" xfId="13759" xr:uid="{AF946115-9A82-4518-91A9-2EFA113D3426}"/>
    <cellStyle name="Normal 4 12 2 16" xfId="13760" xr:uid="{EB8FAB22-72F7-4F61-B39B-0C5A46F101C0}"/>
    <cellStyle name="Normal 4 12 2 17" xfId="13761" xr:uid="{195898FA-237C-4A35-BA03-6D9BF4C47097}"/>
    <cellStyle name="Normal 4 12 2 18" xfId="13762" xr:uid="{1D85206C-8CD5-48D8-B4A9-34D5ECCC2A8A}"/>
    <cellStyle name="Normal 4 12 2 19" xfId="13763" xr:uid="{47683489-7EC2-4DFA-ABC7-B2F4F03CBB19}"/>
    <cellStyle name="Normal 4 12 2 2" xfId="13764" xr:uid="{C59BD684-B285-481F-877E-3BD042855174}"/>
    <cellStyle name="Normal 4 12 2 2 10" xfId="13765" xr:uid="{8CBA130E-33CB-4C08-A33D-B38D87981325}"/>
    <cellStyle name="Normal 4 12 2 2 11" xfId="13766" xr:uid="{B667F425-BD59-403E-A4AA-AC44B2AD1FCC}"/>
    <cellStyle name="Normal 4 12 2 2 12" xfId="13767" xr:uid="{AE2B267F-ACEB-4268-9955-8E9425C870A5}"/>
    <cellStyle name="Normal 4 12 2 2 13" xfId="13768" xr:uid="{2DECA489-9CC7-4204-8123-5C296C3497E6}"/>
    <cellStyle name="Normal 4 12 2 2 14" xfId="13769" xr:uid="{6E1F0518-43BC-409D-88F7-93E58A15348B}"/>
    <cellStyle name="Normal 4 12 2 2 15" xfId="13770" xr:uid="{D9D1CA87-497C-4FEA-83C8-372045DDAA80}"/>
    <cellStyle name="Normal 4 12 2 2 16" xfId="13771" xr:uid="{A2CC550D-56B3-4B30-B066-1C91F4F827B4}"/>
    <cellStyle name="Normal 4 12 2 2 17" xfId="13772" xr:uid="{0FBB6F06-D8BD-44B4-88B6-3989C1D99ED9}"/>
    <cellStyle name="Normal 4 12 2 2 18" xfId="13773" xr:uid="{C2C6AA0B-B3F8-41A6-8DA3-EAFC50FAA393}"/>
    <cellStyle name="Normal 4 12 2 2 19" xfId="13774" xr:uid="{36E3E490-988D-4D78-B7DF-3B136E7BA39C}"/>
    <cellStyle name="Normal 4 12 2 2 2" xfId="13775" xr:uid="{C8F34D1E-B35A-4533-B603-DC99F4B06093}"/>
    <cellStyle name="Normal 4 12 2 2 2 10" xfId="13776" xr:uid="{CEA91D4C-9FAB-458D-90D8-691C2B11CC88}"/>
    <cellStyle name="Normal 4 12 2 2 2 11" xfId="13777" xr:uid="{0103597C-FD6C-475D-8CC9-663333CCC287}"/>
    <cellStyle name="Normal 4 12 2 2 2 12" xfId="13778" xr:uid="{3BF9F54D-3B62-4AA1-A75A-F9FC71118E1E}"/>
    <cellStyle name="Normal 4 12 2 2 2 13" xfId="13779" xr:uid="{E7FE00AE-D625-49ED-9D23-E35D7F57E9DB}"/>
    <cellStyle name="Normal 4 12 2 2 2 14" xfId="13780" xr:uid="{E83F48AE-CF0A-4ED9-9997-CF00ECD74DD0}"/>
    <cellStyle name="Normal 4 12 2 2 2 15" xfId="13781" xr:uid="{FECF08BA-10D9-41A2-8C4A-ECC9DE97D711}"/>
    <cellStyle name="Normal 4 12 2 2 2 16" xfId="13782" xr:uid="{A15D5101-3218-4558-8771-F2235D08BDAF}"/>
    <cellStyle name="Normal 4 12 2 2 2 17" xfId="13783" xr:uid="{3C6797E0-D61A-4458-A22A-7E43707A9278}"/>
    <cellStyle name="Normal 4 12 2 2 2 18" xfId="13784" xr:uid="{766CC0FE-C913-4412-ACDC-B0E708965AEC}"/>
    <cellStyle name="Normal 4 12 2 2 2 19" xfId="13785" xr:uid="{6DE96884-4625-4DD0-B17D-F045B3841CCD}"/>
    <cellStyle name="Normal 4 12 2 2 2 2" xfId="13786" xr:uid="{0A86F8B7-EBE3-49B3-9186-F2ED2F8A1952}"/>
    <cellStyle name="Normal 4 12 2 2 2 20" xfId="13787" xr:uid="{57AA9CEB-547B-44E2-8C8A-5FF8CC9D03FC}"/>
    <cellStyle name="Normal 4 12 2 2 2 21" xfId="13788" xr:uid="{FC0C0C04-6199-44EE-9A20-2A3650ED5703}"/>
    <cellStyle name="Normal 4 12 2 2 2 22" xfId="13789" xr:uid="{CE07A97E-40E7-45C4-B2C1-2E63C96B53F5}"/>
    <cellStyle name="Normal 4 12 2 2 2 23" xfId="13790" xr:uid="{17113B5E-9D03-452E-83AB-D2269F778771}"/>
    <cellStyle name="Normal 4 12 2 2 2 24" xfId="13791" xr:uid="{98432BC0-F034-4B42-895B-396BD8B403ED}"/>
    <cellStyle name="Normal 4 12 2 2 2 25" xfId="13792" xr:uid="{A09372BE-7EB1-4A2C-B7D2-EDE2BDCEA77D}"/>
    <cellStyle name="Normal 4 12 2 2 2 26" xfId="13793" xr:uid="{782C77DB-5952-4734-B940-54AF5D023F71}"/>
    <cellStyle name="Normal 4 12 2 2 2 27" xfId="13794" xr:uid="{192251FD-2A4B-4BE5-9ECB-85152FD16FFE}"/>
    <cellStyle name="Normal 4 12 2 2 2 28" xfId="13795" xr:uid="{AABAD97A-0B47-4CDE-9680-5D6DC37928F5}"/>
    <cellStyle name="Normal 4 12 2 2 2 29" xfId="13796" xr:uid="{4C2170E3-95C3-4E03-BA02-7EBF85B46DDC}"/>
    <cellStyle name="Normal 4 12 2 2 2 3" xfId="13797" xr:uid="{86B0BCF1-7F0F-47C8-9863-983B133A76D8}"/>
    <cellStyle name="Normal 4 12 2 2 2 30" xfId="13798" xr:uid="{BDA4E04A-6E08-4A53-A884-569FEE61A680}"/>
    <cellStyle name="Normal 4 12 2 2 2 31" xfId="13799" xr:uid="{67A6690D-8FB2-4506-9B3D-71E8F09F588A}"/>
    <cellStyle name="Normal 4 12 2 2 2 32" xfId="13800" xr:uid="{DCCF34E7-FF05-493D-BAD9-0FD058EADCCF}"/>
    <cellStyle name="Normal 4 12 2 2 2 33" xfId="13801" xr:uid="{45575CFE-F27C-4F74-9147-326B90DE4B6C}"/>
    <cellStyle name="Normal 4 12 2 2 2 34" xfId="13802" xr:uid="{BF2A0B16-95CB-4590-ABEA-414CD34B582A}"/>
    <cellStyle name="Normal 4 12 2 2 2 35" xfId="13803" xr:uid="{6BCED39D-489E-4C4B-9FCD-9A697A990142}"/>
    <cellStyle name="Normal 4 12 2 2 2 36" xfId="13804" xr:uid="{EFF253EB-962D-49E9-9B9E-0B61D1B1D5D2}"/>
    <cellStyle name="Normal 4 12 2 2 2 37" xfId="13805" xr:uid="{0C14D386-B50F-44A1-943B-A65CD0AC83A8}"/>
    <cellStyle name="Normal 4 12 2 2 2 38" xfId="13806" xr:uid="{D3DF633E-ABCF-436B-91E1-B142B048B185}"/>
    <cellStyle name="Normal 4 12 2 2 2 4" xfId="13807" xr:uid="{F76E3EBE-E141-4D30-9560-AB6459E3E72D}"/>
    <cellStyle name="Normal 4 12 2 2 2 5" xfId="13808" xr:uid="{22C8E9EA-F6FD-43AD-BD14-3623FBB16F09}"/>
    <cellStyle name="Normal 4 12 2 2 2 6" xfId="13809" xr:uid="{8AC26076-68DE-48A1-9E06-D0A107B016C2}"/>
    <cellStyle name="Normal 4 12 2 2 2 7" xfId="13810" xr:uid="{8A9CE57E-9432-4823-83A5-5512BFD9144A}"/>
    <cellStyle name="Normal 4 12 2 2 2 8" xfId="13811" xr:uid="{CF18F813-6F17-49BE-8115-5F2695C01F66}"/>
    <cellStyle name="Normal 4 12 2 2 2 9" xfId="13812" xr:uid="{5E2D10EC-F867-4F0C-ABFE-DCB32AA367C4}"/>
    <cellStyle name="Normal 4 12 2 2 20" xfId="13813" xr:uid="{91C2900B-EDFA-4C83-A50C-0E800FAF6E21}"/>
    <cellStyle name="Normal 4 12 2 2 21" xfId="13814" xr:uid="{A8401605-CBF4-42CB-BE1E-637C27F278AA}"/>
    <cellStyle name="Normal 4 12 2 2 22" xfId="13815" xr:uid="{B8CAD79B-64AD-4184-8A97-403600AAE1F6}"/>
    <cellStyle name="Normal 4 12 2 2 23" xfId="13816" xr:uid="{3AA968A5-EE5D-416E-A860-EA62F98EA498}"/>
    <cellStyle name="Normal 4 12 2 2 24" xfId="13817" xr:uid="{2250EE83-54DF-44DD-A706-335F2480D2E5}"/>
    <cellStyle name="Normal 4 12 2 2 25" xfId="13818" xr:uid="{A0A16DDF-2B66-4172-804B-AA553D6E51A4}"/>
    <cellStyle name="Normal 4 12 2 2 26" xfId="13819" xr:uid="{FA709220-7282-4313-B48F-61A7AE42DD26}"/>
    <cellStyle name="Normal 4 12 2 2 27" xfId="13820" xr:uid="{8D2444FE-FD90-4B59-A267-B71169D06E94}"/>
    <cellStyle name="Normal 4 12 2 2 28" xfId="13821" xr:uid="{C4234461-9C26-446E-8792-3086887E387B}"/>
    <cellStyle name="Normal 4 12 2 2 29" xfId="13822" xr:uid="{7E2D6362-6297-4DEC-AE98-A7F340D16A0A}"/>
    <cellStyle name="Normal 4 12 2 2 3" xfId="13823" xr:uid="{98805188-AE94-4668-BAE5-E0621FBFAEF7}"/>
    <cellStyle name="Normal 4 12 2 2 30" xfId="13824" xr:uid="{BE3D710D-3502-4A0F-A48A-A4D49FE46DAD}"/>
    <cellStyle name="Normal 4 12 2 2 31" xfId="13825" xr:uid="{71C50BBC-C436-4997-9C21-B4F4E13868A5}"/>
    <cellStyle name="Normal 4 12 2 2 32" xfId="13826" xr:uid="{F87BA93B-6F51-415D-96CA-15B69E346450}"/>
    <cellStyle name="Normal 4 12 2 2 33" xfId="13827" xr:uid="{438CDE62-4522-44C9-BE64-74B94282506F}"/>
    <cellStyle name="Normal 4 12 2 2 34" xfId="13828" xr:uid="{EDC9804A-158A-4D7C-BC3C-B8FB958C9682}"/>
    <cellStyle name="Normal 4 12 2 2 35" xfId="13829" xr:uid="{30C1FDDC-41CC-4D03-B173-64719CE91CE7}"/>
    <cellStyle name="Normal 4 12 2 2 36" xfId="13830" xr:uid="{024AA1C4-5494-40D8-B4EC-7D82782DB57B}"/>
    <cellStyle name="Normal 4 12 2 2 37" xfId="13831" xr:uid="{F9098EA0-1FCD-411F-B6E9-990CE9F1D90A}"/>
    <cellStyle name="Normal 4 12 2 2 38" xfId="13832" xr:uid="{50E4B6E5-DEEC-4502-B992-B6460C63C61D}"/>
    <cellStyle name="Normal 4 12 2 2 4" xfId="13833" xr:uid="{42269EC3-17B9-49E9-A1AA-B6D8EA2015EC}"/>
    <cellStyle name="Normal 4 12 2 2 5" xfId="13834" xr:uid="{C4619D32-330D-4A3E-B808-B6E7A91147C5}"/>
    <cellStyle name="Normal 4 12 2 2 6" xfId="13835" xr:uid="{7A51B9B9-D997-46E6-9C4C-F11439FED4C7}"/>
    <cellStyle name="Normal 4 12 2 2 7" xfId="13836" xr:uid="{D5A8354B-F3E2-4BB7-8A14-D62585268CAD}"/>
    <cellStyle name="Normal 4 12 2 2 8" xfId="13837" xr:uid="{8B7032A4-7823-4AAF-AEF0-FAFE8BD73F71}"/>
    <cellStyle name="Normal 4 12 2 2 9" xfId="13838" xr:uid="{57C2DCCE-0A92-434D-828C-D0BA3147B081}"/>
    <cellStyle name="Normal 4 12 2 20" xfId="13839" xr:uid="{4991517D-9D70-44C0-B4C5-0916FF625208}"/>
    <cellStyle name="Normal 4 12 2 21" xfId="13840" xr:uid="{F92DC82A-1519-4091-8CE7-B07C25178DF7}"/>
    <cellStyle name="Normal 4 12 2 22" xfId="13841" xr:uid="{729869BB-C68E-4552-8A61-76A36D1D9037}"/>
    <cellStyle name="Normal 4 12 2 23" xfId="13842" xr:uid="{9146C7AB-74F6-4C8F-92B9-35BFCE507358}"/>
    <cellStyle name="Normal 4 12 2 24" xfId="13843" xr:uid="{C5B46172-BB0A-43F1-93BA-69971FC214DE}"/>
    <cellStyle name="Normal 4 12 2 25" xfId="13844" xr:uid="{AC9826FD-0090-4A8D-A7F9-AF0D99638B8E}"/>
    <cellStyle name="Normal 4 12 2 26" xfId="13845" xr:uid="{41C171BC-C5F5-4BF7-95B8-B8EB27C553EB}"/>
    <cellStyle name="Normal 4 12 2 27" xfId="13846" xr:uid="{23818DCF-50CD-4E98-849F-6E084F568CCE}"/>
    <cellStyle name="Normal 4 12 2 28" xfId="13847" xr:uid="{B85B1C6E-9F7A-4A40-8F6C-063067CC9AAF}"/>
    <cellStyle name="Normal 4 12 2 29" xfId="13848" xr:uid="{0C1CC4B7-1A8C-491D-9D08-9B5AFBC12CB6}"/>
    <cellStyle name="Normal 4 12 2 3" xfId="13849" xr:uid="{D1FEF2C4-2FD7-4727-A2C4-5DCB3E087534}"/>
    <cellStyle name="Normal 4 12 2 30" xfId="13850" xr:uid="{FD6F6DEF-6192-4731-B512-8F64FB22824F}"/>
    <cellStyle name="Normal 4 12 2 31" xfId="13851" xr:uid="{24B41D46-D6BB-4FFE-AD07-39E09D4771A1}"/>
    <cellStyle name="Normal 4 12 2 32" xfId="13852" xr:uid="{69DE6FD3-93A1-451F-949F-72D0F65C9EBF}"/>
    <cellStyle name="Normal 4 12 2 33" xfId="13853" xr:uid="{B1DA48DC-0EF2-41F3-B17F-31F2BAD1FDA1}"/>
    <cellStyle name="Normal 4 12 2 34" xfId="13854" xr:uid="{37077D12-FA8C-42DB-9F4E-6567B419316D}"/>
    <cellStyle name="Normal 4 12 2 35" xfId="13855" xr:uid="{C4FCEEC3-8E78-4616-8A19-5AFE4790C798}"/>
    <cellStyle name="Normal 4 12 2 36" xfId="13856" xr:uid="{0F7ADF0C-8759-4EC2-A8FC-BBE608BD9695}"/>
    <cellStyle name="Normal 4 12 2 37" xfId="13857" xr:uid="{FF60F6C8-6A74-4D30-9835-7B54D597DA38}"/>
    <cellStyle name="Normal 4 12 2 38" xfId="13858" xr:uid="{2C5B7CAD-7D22-41F6-BD1F-738D1B3E114F}"/>
    <cellStyle name="Normal 4 12 2 39" xfId="13859" xr:uid="{CCE1562B-BB3B-43BC-A81E-66342337D540}"/>
    <cellStyle name="Normal 4 12 2 4" xfId="13860" xr:uid="{006EBCC4-29B0-40E3-9353-6E2E86913B36}"/>
    <cellStyle name="Normal 4 12 2 40" xfId="13861" xr:uid="{B8319D6A-F974-4D56-9CBC-ED7396A97CCA}"/>
    <cellStyle name="Normal 4 12 2 5" xfId="13862" xr:uid="{5328B016-995C-4C91-80F4-25A28782E448}"/>
    <cellStyle name="Normal 4 12 2 6" xfId="13863" xr:uid="{89F0D71E-A591-4841-8234-61D71B9415B3}"/>
    <cellStyle name="Normal 4 12 2 7" xfId="13864" xr:uid="{0BF02D2A-684D-4260-BA90-A27B84E36ABE}"/>
    <cellStyle name="Normal 4 12 2 8" xfId="13865" xr:uid="{A14C012B-CFC0-4046-9F24-F671CFE1626D}"/>
    <cellStyle name="Normal 4 12 2 9" xfId="13866" xr:uid="{E9353D16-FFDE-4B7A-9DD9-FDE8951A0BD2}"/>
    <cellStyle name="Normal 4 12 20" xfId="13867" xr:uid="{FD4791BA-0612-47EA-B754-A6771A2109B2}"/>
    <cellStyle name="Normal 4 12 21" xfId="13868" xr:uid="{E60ECC1E-63A6-48F4-9AF0-FA657FF9A4DB}"/>
    <cellStyle name="Normal 4 12 22" xfId="13869" xr:uid="{06D38640-2783-4B15-842E-319A5B14380B}"/>
    <cellStyle name="Normal 4 12 23" xfId="13870" xr:uid="{D67A1278-C5A7-44AD-A0B3-149F57425A9C}"/>
    <cellStyle name="Normal 4 12 24" xfId="13871" xr:uid="{9BFB9D1A-17BE-440B-983E-48610427CDEB}"/>
    <cellStyle name="Normal 4 12 25" xfId="13872" xr:uid="{CEDA8C8F-1A58-4EE2-B956-1249765B6882}"/>
    <cellStyle name="Normal 4 12 26" xfId="13873" xr:uid="{DB0BAF9F-891B-44E9-85BA-BA2EEE91BD9E}"/>
    <cellStyle name="Normal 4 12 27" xfId="13874" xr:uid="{54486521-EB52-45C8-9437-EE9EE119BEFE}"/>
    <cellStyle name="Normal 4 12 28" xfId="13875" xr:uid="{D8506AD9-960D-43B2-8B4E-6B61785661C7}"/>
    <cellStyle name="Normal 4 12 29" xfId="13876" xr:uid="{91F15AA9-A431-48D3-BBB5-9F6FB795356C}"/>
    <cellStyle name="Normal 4 12 3" xfId="13877" xr:uid="{FFC0C4E0-4BD9-48D8-A28C-9393626141AA}"/>
    <cellStyle name="Normal 4 12 3 10" xfId="13878" xr:uid="{8054D0D2-F2DE-4917-B7DB-FE9261F8B4D4}"/>
    <cellStyle name="Normal 4 12 3 11" xfId="13879" xr:uid="{8806F27A-003A-4E12-8D12-964AD911E443}"/>
    <cellStyle name="Normal 4 12 3 12" xfId="13880" xr:uid="{E604472B-403A-43DD-BB9A-26096319FABC}"/>
    <cellStyle name="Normal 4 12 3 13" xfId="13881" xr:uid="{DF1F8323-405A-4440-93C6-DC620A0C107E}"/>
    <cellStyle name="Normal 4 12 3 14" xfId="13882" xr:uid="{9A5DE6A8-451D-47CA-BD1D-399993905329}"/>
    <cellStyle name="Normal 4 12 3 15" xfId="13883" xr:uid="{C818BEC5-0F51-4894-ABE3-7EDCC8234AD5}"/>
    <cellStyle name="Normal 4 12 3 16" xfId="13884" xr:uid="{339B4993-DFB1-48A5-B227-CD21DF5B3597}"/>
    <cellStyle name="Normal 4 12 3 17" xfId="13885" xr:uid="{83CCC633-BF97-4962-B3C7-D43D444EBF99}"/>
    <cellStyle name="Normal 4 12 3 18" xfId="13886" xr:uid="{47E5261C-7773-4967-9BBA-45E281421ABA}"/>
    <cellStyle name="Normal 4 12 3 19" xfId="13887" xr:uid="{8ABBD80C-268E-4E47-B34A-7B1BAB19BEE1}"/>
    <cellStyle name="Normal 4 12 3 2" xfId="13888" xr:uid="{8B668634-7911-4026-BBA1-BCBB1D291DD4}"/>
    <cellStyle name="Normal 4 12 3 2 10" xfId="13889" xr:uid="{BE9DB0E2-154B-4EA3-B666-F20235DB2FB1}"/>
    <cellStyle name="Normal 4 12 3 2 11" xfId="13890" xr:uid="{5E6BBE1E-D135-4CEA-BAEE-410C2C33918C}"/>
    <cellStyle name="Normal 4 12 3 2 12" xfId="13891" xr:uid="{016E3EE3-6B1E-48FB-94D5-7A1CE8CBCAFC}"/>
    <cellStyle name="Normal 4 12 3 2 13" xfId="13892" xr:uid="{7051FBC3-5188-4BB5-A1BB-F9EEE028F0F8}"/>
    <cellStyle name="Normal 4 12 3 2 14" xfId="13893" xr:uid="{9C806861-1122-43F0-BD27-E1DE1F57B16D}"/>
    <cellStyle name="Normal 4 12 3 2 15" xfId="13894" xr:uid="{FF1C91CF-44C0-4B11-98C5-5ACAF120A24B}"/>
    <cellStyle name="Normal 4 12 3 2 16" xfId="13895" xr:uid="{76E1167C-6BAE-4CDA-9F9E-746FD981FE23}"/>
    <cellStyle name="Normal 4 12 3 2 17" xfId="13896" xr:uid="{972C8F43-9358-415E-9D48-DBE7EF3FF449}"/>
    <cellStyle name="Normal 4 12 3 2 18" xfId="13897" xr:uid="{307DAA4A-53DC-457D-B336-D50E025B7909}"/>
    <cellStyle name="Normal 4 12 3 2 19" xfId="13898" xr:uid="{D654F272-CE40-4C59-83C5-9475360A3A88}"/>
    <cellStyle name="Normal 4 12 3 2 2" xfId="13899" xr:uid="{00F67638-F880-4AFC-932C-796BC8EFA77B}"/>
    <cellStyle name="Normal 4 12 3 2 20" xfId="13900" xr:uid="{6B0CCF47-CF29-4755-852D-894CBFC190A5}"/>
    <cellStyle name="Normal 4 12 3 2 21" xfId="13901" xr:uid="{8BEA4837-1E42-4A4A-9E9D-9F45A74928FE}"/>
    <cellStyle name="Normal 4 12 3 2 22" xfId="13902" xr:uid="{68A142E4-1255-4B99-B189-577A196421C9}"/>
    <cellStyle name="Normal 4 12 3 2 23" xfId="13903" xr:uid="{78765806-AE19-4EAC-B991-5584706F4888}"/>
    <cellStyle name="Normal 4 12 3 2 24" xfId="13904" xr:uid="{D767FC3C-EA4A-4774-8636-50EFBA344497}"/>
    <cellStyle name="Normal 4 12 3 2 25" xfId="13905" xr:uid="{957994BE-6AC9-4412-8A26-26C9DE0BF76A}"/>
    <cellStyle name="Normal 4 12 3 2 26" xfId="13906" xr:uid="{BBFCFE8B-FA41-4BC6-9BD6-3219EF28E118}"/>
    <cellStyle name="Normal 4 12 3 2 27" xfId="13907" xr:uid="{E7B8A2E1-DAC1-4A52-BF16-FF9FF2114F4D}"/>
    <cellStyle name="Normal 4 12 3 2 28" xfId="13908" xr:uid="{16688440-60CC-4D98-81A6-9C33ED51F581}"/>
    <cellStyle name="Normal 4 12 3 2 29" xfId="13909" xr:uid="{4FC93AC3-6101-4BF7-93E3-F8266DA19C43}"/>
    <cellStyle name="Normal 4 12 3 2 3" xfId="13910" xr:uid="{9CC2F4B8-D17E-465E-A0A9-F964D6B18F03}"/>
    <cellStyle name="Normal 4 12 3 2 30" xfId="13911" xr:uid="{D48B313B-58B1-419C-BF7F-B2BDAD09CC4B}"/>
    <cellStyle name="Normal 4 12 3 2 31" xfId="13912" xr:uid="{CDD2EFE5-A13A-441C-8DD2-EFCC091CE96E}"/>
    <cellStyle name="Normal 4 12 3 2 32" xfId="13913" xr:uid="{56A97911-9C2C-48B1-BE11-135DB12064EC}"/>
    <cellStyle name="Normal 4 12 3 2 33" xfId="13914" xr:uid="{C0F9C480-9826-4B22-9E32-4DB84DA7FCF4}"/>
    <cellStyle name="Normal 4 12 3 2 34" xfId="13915" xr:uid="{3EE7AD17-E7A1-44EE-8B6D-2A6515DEF373}"/>
    <cellStyle name="Normal 4 12 3 2 35" xfId="13916" xr:uid="{4FCB3519-5464-4CFF-81B0-1C6A9A40DF37}"/>
    <cellStyle name="Normal 4 12 3 2 36" xfId="13917" xr:uid="{B6919736-FF06-49D1-B247-6CF4E3D6E461}"/>
    <cellStyle name="Normal 4 12 3 2 37" xfId="13918" xr:uid="{F49ED1D3-FDAE-4813-9C03-2CDCB6B908F0}"/>
    <cellStyle name="Normal 4 12 3 2 38" xfId="13919" xr:uid="{8905F0CC-8875-4F07-8843-52DD60C23D38}"/>
    <cellStyle name="Normal 4 12 3 2 4" xfId="13920" xr:uid="{3A732C6E-DBE2-4251-BE61-0A36AD862125}"/>
    <cellStyle name="Normal 4 12 3 2 5" xfId="13921" xr:uid="{F5C0835F-F66D-47CE-9EC6-29851F92B0F2}"/>
    <cellStyle name="Normal 4 12 3 2 6" xfId="13922" xr:uid="{C37EA3C2-A42F-450B-B9DD-1E7D688512C8}"/>
    <cellStyle name="Normal 4 12 3 2 7" xfId="13923" xr:uid="{3A9C6FA7-3D4F-422A-9502-BBCE6F77B053}"/>
    <cellStyle name="Normal 4 12 3 2 8" xfId="13924" xr:uid="{C0A04CA8-64C8-4139-91FF-8FDB6D6C68A8}"/>
    <cellStyle name="Normal 4 12 3 2 9" xfId="13925" xr:uid="{DEE2F045-C7EB-49D7-9C16-DC0F1DB2557D}"/>
    <cellStyle name="Normal 4 12 3 20" xfId="13926" xr:uid="{F86C0D6B-CCBE-4DB7-B0C3-94895F5C02B2}"/>
    <cellStyle name="Normal 4 12 3 21" xfId="13927" xr:uid="{6CF47416-E0E5-42F5-94E6-9280750672FC}"/>
    <cellStyle name="Normal 4 12 3 22" xfId="13928" xr:uid="{BF8E1B47-8CD1-4BC8-8CE0-B266814F266B}"/>
    <cellStyle name="Normal 4 12 3 23" xfId="13929" xr:uid="{D5EE2F65-AFBA-4790-B403-7A96BBB7E39B}"/>
    <cellStyle name="Normal 4 12 3 24" xfId="13930" xr:uid="{09B07E80-5E80-44D7-BD2D-DA3C6046682C}"/>
    <cellStyle name="Normal 4 12 3 25" xfId="13931" xr:uid="{F12CE0F4-E785-443D-B29B-47AC938A538D}"/>
    <cellStyle name="Normal 4 12 3 26" xfId="13932" xr:uid="{6EBCAF43-A51A-4BBE-99EA-7F6787784A46}"/>
    <cellStyle name="Normal 4 12 3 27" xfId="13933" xr:uid="{DB0561DC-1673-4241-AF19-FE578DC36A54}"/>
    <cellStyle name="Normal 4 12 3 28" xfId="13934" xr:uid="{D66885BB-0DF0-450E-A64A-C68A21E11BEB}"/>
    <cellStyle name="Normal 4 12 3 29" xfId="13935" xr:uid="{3DF64EB6-A97F-46C5-A343-DE1830CF8A0D}"/>
    <cellStyle name="Normal 4 12 3 3" xfId="13936" xr:uid="{1B3DCC2E-D558-4945-B16D-33D3F65F8991}"/>
    <cellStyle name="Normal 4 12 3 30" xfId="13937" xr:uid="{BF5F9118-415B-4F2D-A7B3-7ED77FA41984}"/>
    <cellStyle name="Normal 4 12 3 31" xfId="13938" xr:uid="{4B78F437-56BC-463A-9143-2485C88943B8}"/>
    <cellStyle name="Normal 4 12 3 32" xfId="13939" xr:uid="{EA52C9B5-EB8F-43A2-8BDA-0397E4B3E30C}"/>
    <cellStyle name="Normal 4 12 3 33" xfId="13940" xr:uid="{E2D1CB67-EF2D-4FCC-97D1-45C7F49BB247}"/>
    <cellStyle name="Normal 4 12 3 34" xfId="13941" xr:uid="{4F8EF32E-7711-44B8-A2A8-916E9543328B}"/>
    <cellStyle name="Normal 4 12 3 35" xfId="13942" xr:uid="{637628C7-A468-47AF-9E6A-23DD50800D0D}"/>
    <cellStyle name="Normal 4 12 3 36" xfId="13943" xr:uid="{238B95E3-BDC3-452A-A6AF-4E05895FE473}"/>
    <cellStyle name="Normal 4 12 3 37" xfId="13944" xr:uid="{1A63B416-9BF9-4D32-A1EB-D28648CD8A02}"/>
    <cellStyle name="Normal 4 12 3 38" xfId="13945" xr:uid="{ADB08314-9E31-46EE-A045-ACBB20015555}"/>
    <cellStyle name="Normal 4 12 3 4" xfId="13946" xr:uid="{E7DDA649-9418-49A0-B88C-0389A80B32A1}"/>
    <cellStyle name="Normal 4 12 3 5" xfId="13947" xr:uid="{F8DA5612-F0F1-4910-B001-87D787E92F77}"/>
    <cellStyle name="Normal 4 12 3 6" xfId="13948" xr:uid="{16D9A37F-8EE9-4FB5-AAB8-8C17010C528E}"/>
    <cellStyle name="Normal 4 12 3 7" xfId="13949" xr:uid="{2338B276-E4D9-4436-9F59-2489C73EADED}"/>
    <cellStyle name="Normal 4 12 3 8" xfId="13950" xr:uid="{BA054FBB-DAEA-4C7F-853F-0F4E6886E06F}"/>
    <cellStyle name="Normal 4 12 3 9" xfId="13951" xr:uid="{43CB7ED5-5166-4186-AD57-CFB2475755A4}"/>
    <cellStyle name="Normal 4 12 30" xfId="13952" xr:uid="{8934C276-E0AC-4E2A-9232-243A726D4646}"/>
    <cellStyle name="Normal 4 12 31" xfId="13953" xr:uid="{DD74E615-F9E1-4E2A-A647-5A5E16380AD5}"/>
    <cellStyle name="Normal 4 12 32" xfId="13954" xr:uid="{C91D606E-767B-44F8-961D-9A65B87D3A90}"/>
    <cellStyle name="Normal 4 12 33" xfId="13955" xr:uid="{5BD48639-17C8-4F73-B645-882D52EA7C0A}"/>
    <cellStyle name="Normal 4 12 34" xfId="13956" xr:uid="{7676F8C8-6E09-4FAC-A556-53F52B0B6C95}"/>
    <cellStyle name="Normal 4 12 35" xfId="13957" xr:uid="{7ABCE217-81AE-4A52-B8E2-56EF09D6163C}"/>
    <cellStyle name="Normal 4 12 36" xfId="13958" xr:uid="{2A2C937B-EBC7-4D81-B008-31E3BABA2485}"/>
    <cellStyle name="Normal 4 12 37" xfId="13959" xr:uid="{04149801-4447-4588-8171-E0A593CE12E0}"/>
    <cellStyle name="Normal 4 12 38" xfId="13960" xr:uid="{413DAA40-AD78-4AAE-A8A0-0F6F27402A16}"/>
    <cellStyle name="Normal 4 12 39" xfId="13961" xr:uid="{59BCB00E-5E33-454F-AE29-521A875B4656}"/>
    <cellStyle name="Normal 4 12 4" xfId="13962" xr:uid="{495D602F-1F72-4D86-ABF9-790B07B3F40E}"/>
    <cellStyle name="Normal 4 12 40" xfId="13963" xr:uid="{B2C4F6A1-90A7-4D20-80CF-DD2E85AFE043}"/>
    <cellStyle name="Normal 4 12 41" xfId="13964" xr:uid="{EFE33E9C-15E8-4F3E-A63E-E0634D32FE2C}"/>
    <cellStyle name="Normal 4 12 42" xfId="13965" xr:uid="{E1AEA980-CC50-4679-9AFF-080A6A4CEF16}"/>
    <cellStyle name="Normal 4 12 43" xfId="13966" xr:uid="{396B4BC3-910B-458C-932C-DA9638D9564F}"/>
    <cellStyle name="Normal 4 12 44" xfId="13967" xr:uid="{8BE9A331-4FF9-4EBF-8FC4-FB2409A4589E}"/>
    <cellStyle name="Normal 4 12 45" xfId="13968" xr:uid="{2DD9199C-6CEB-434D-AA6F-B2084F230CA2}"/>
    <cellStyle name="Normal 4 12 46" xfId="13969" xr:uid="{E815FE8E-3786-4A89-A99D-A27D717E0DA8}"/>
    <cellStyle name="Normal 4 12 47" xfId="13970" xr:uid="{A6F6E371-EAD3-4947-A741-FC5D0E52DAE5}"/>
    <cellStyle name="Normal 4 12 5" xfId="13971" xr:uid="{18056E25-7860-4B08-ABFE-6C4CDF8F5FC1}"/>
    <cellStyle name="Normal 4 12 6" xfId="13972" xr:uid="{3CF95B0B-6889-4A89-87F6-AC10793E7453}"/>
    <cellStyle name="Normal 4 12 7" xfId="13973" xr:uid="{BCD08758-E21D-4C72-86B6-D2B821337E6A}"/>
    <cellStyle name="Normal 4 12 8" xfId="13974" xr:uid="{69BC4085-0274-45A3-88BB-B1A0D7D475F7}"/>
    <cellStyle name="Normal 4 12 9" xfId="13975" xr:uid="{320E3492-3D88-47BB-B41F-33DAB3EBA318}"/>
    <cellStyle name="Normal 4 13" xfId="13976" xr:uid="{68AEF431-AC58-44B9-9DE1-15941CD4EDB1}"/>
    <cellStyle name="Normal 4 13 2" xfId="13977" xr:uid="{F1DDB0A2-199C-4790-9E44-6E00993ECD50}"/>
    <cellStyle name="Normal 4 13 3" xfId="13978" xr:uid="{88FE05A9-121F-4EE9-9499-CB9108F126A6}"/>
    <cellStyle name="Normal 4 13 4" xfId="13979" xr:uid="{51AA6DA5-2CC2-4C50-8075-D6A18D5E2978}"/>
    <cellStyle name="Normal 4 13 5" xfId="13980" xr:uid="{0B83C1A7-DD28-4A0F-8D18-FFA94441D917}"/>
    <cellStyle name="Normal 4 13 6" xfId="13981" xr:uid="{57DF2FA0-98DA-4B62-B2CF-95DF20ADAC58}"/>
    <cellStyle name="Normal 4 14" xfId="13982" xr:uid="{D43C52FA-2DEF-4B56-A9AD-86D7382B7E79}"/>
    <cellStyle name="Normal 4 14 2" xfId="13983" xr:uid="{1AE1AA38-E62F-45A3-8AED-B7308F563AC9}"/>
    <cellStyle name="Normal 4 14 3" xfId="13984" xr:uid="{27B8E05F-1C2D-47FE-ABCE-60BC014C1135}"/>
    <cellStyle name="Normal 4 14 4" xfId="13985" xr:uid="{E7FC7053-F882-4CEC-ABEA-368214D93885}"/>
    <cellStyle name="Normal 4 14 5" xfId="13986" xr:uid="{02A9EA15-F4A4-4BA7-A633-FA2E9E62CA3B}"/>
    <cellStyle name="Normal 4 14 6" xfId="13987" xr:uid="{D3D23A33-95D8-462E-B2FD-36DFAB73E4A7}"/>
    <cellStyle name="Normal 4 15" xfId="13988" xr:uid="{388CE4ED-DDFA-4925-989A-D103EDA7697E}"/>
    <cellStyle name="Normal 4 15 2" xfId="13989" xr:uid="{AC6A4C61-66FB-4381-9BDA-27B5F4DE50BD}"/>
    <cellStyle name="Normal 4 15 3" xfId="13990" xr:uid="{6D1E7AA1-DE8C-4483-B212-15A9EA30879E}"/>
    <cellStyle name="Normal 4 15 4" xfId="13991" xr:uid="{A150389E-23B0-464E-959D-97AE4295543D}"/>
    <cellStyle name="Normal 4 15 5" xfId="13992" xr:uid="{9E4B3EB2-97D5-4AE9-941E-45DD59202ED3}"/>
    <cellStyle name="Normal 4 15 6" xfId="13993" xr:uid="{04F32032-92BD-42E1-9D7C-A75C792F9A98}"/>
    <cellStyle name="Normal 4 16" xfId="13994" xr:uid="{CB567673-9276-4A40-9EED-07AEB9087EBD}"/>
    <cellStyle name="Normal 4 16 2" xfId="13995" xr:uid="{C9CD6A86-0794-4900-AF5D-F40D268E0016}"/>
    <cellStyle name="Normal 4 16 3" xfId="13996" xr:uid="{967897E2-D627-48A8-AFD1-C365CDAD3A9B}"/>
    <cellStyle name="Normal 4 16 4" xfId="13997" xr:uid="{E1A3C553-B16E-464C-BD75-28B1E0BCF846}"/>
    <cellStyle name="Normal 4 16 5" xfId="13998" xr:uid="{DFF3AA06-EB40-4046-99C6-2F3F511BF167}"/>
    <cellStyle name="Normal 4 16 6" xfId="13999" xr:uid="{34143FF7-30BA-4850-8567-52572E9A4867}"/>
    <cellStyle name="Normal 4 17" xfId="14000" xr:uid="{4BCF9C1F-42CB-4DEE-BC31-1FCC238AF515}"/>
    <cellStyle name="Normal 4 17 2" xfId="14001" xr:uid="{2D195BCB-02A1-4E89-B0F8-F4E5383A99A2}"/>
    <cellStyle name="Normal 4 17 3" xfId="14002" xr:uid="{253EE007-3F93-410E-8049-E2EC51163E23}"/>
    <cellStyle name="Normal 4 17 4" xfId="14003" xr:uid="{6B69A1AA-91CA-4954-811B-189ECB5E968C}"/>
    <cellStyle name="Normal 4 17 5" xfId="14004" xr:uid="{8F386E31-FC6D-40E5-B713-78DC7491515F}"/>
    <cellStyle name="Normal 4 17 6" xfId="14005" xr:uid="{AC16E622-81A6-4EA3-A09B-CFFD029D5CCB}"/>
    <cellStyle name="Normal 4 18" xfId="14006" xr:uid="{807E15FF-0D2A-47AD-8058-B9FA92E63830}"/>
    <cellStyle name="Normal 4 18 2" xfId="14007" xr:uid="{0623D1D4-93A9-41C0-B666-F3C058FED6E3}"/>
    <cellStyle name="Normal 4 18 3" xfId="14008" xr:uid="{9B31DE2F-C5D1-477E-BBC0-464FE923BA90}"/>
    <cellStyle name="Normal 4 18 4" xfId="14009" xr:uid="{BE433E90-AFFF-486E-9D9E-7165FCF0EDFA}"/>
    <cellStyle name="Normal 4 18 5" xfId="14010" xr:uid="{CE4017E0-6EAD-486A-9A30-D66B5B259C08}"/>
    <cellStyle name="Normal 4 18 6" xfId="14011" xr:uid="{AF68F6BA-45C1-4F38-BB00-95D56F8E141B}"/>
    <cellStyle name="Normal 4 19" xfId="14012" xr:uid="{C40DA366-BBF8-430D-A31A-5B29996CCFB0}"/>
    <cellStyle name="Normal 4 19 2" xfId="14013" xr:uid="{47479F0F-43F6-45DC-9347-50330D90CD68}"/>
    <cellStyle name="Normal 4 19 3" xfId="14014" xr:uid="{3AB188E7-21BD-4AA9-B588-CA8EFF128034}"/>
    <cellStyle name="Normal 4 19 4" xfId="14015" xr:uid="{25559EF0-8468-4BC6-B5E1-6757EF9E09F4}"/>
    <cellStyle name="Normal 4 19 5" xfId="14016" xr:uid="{2B639CCB-2044-4874-AE36-9B7B50F33A82}"/>
    <cellStyle name="Normal 4 19 6" xfId="14017" xr:uid="{A744B5B2-BBE5-4FBE-BD13-4AAA7F9A7F9C}"/>
    <cellStyle name="Normal 4 2" xfId="53" xr:uid="{3C2B1E99-3767-45BA-8820-F3C245A592F0}"/>
    <cellStyle name="Normal 4 2 2" xfId="14019" xr:uid="{A55A6269-1EFC-4C70-A758-D239BDA1B5A6}"/>
    <cellStyle name="Normal 4 2 3" xfId="14020" xr:uid="{1893ACF2-8216-4542-9C62-998003038673}"/>
    <cellStyle name="Normal 4 2 4" xfId="14021" xr:uid="{4C7BA3DA-B3C8-4411-8878-5F2DBD97C3F4}"/>
    <cellStyle name="Normal 4 2 5" xfId="14018" xr:uid="{26696910-9056-4AA1-B052-54E57F0BED6C}"/>
    <cellStyle name="Normal 4 20" xfId="14022" xr:uid="{40685F25-D8A4-4A02-910C-4CE82BE9B456}"/>
    <cellStyle name="Normal 4 20 2" xfId="14023" xr:uid="{E06340DD-F5CE-4ABC-B024-60418779D600}"/>
    <cellStyle name="Normal 4 20 3" xfId="14024" xr:uid="{1B74B6EA-8343-4654-B338-239418008AA9}"/>
    <cellStyle name="Normal 4 20 4" xfId="14025" xr:uid="{0F28A37D-021B-45E6-BF21-BB7A9E527C19}"/>
    <cellStyle name="Normal 4 20 5" xfId="14026" xr:uid="{209E626F-4C09-4D08-908E-9A166BA19907}"/>
    <cellStyle name="Normal 4 20 6" xfId="14027" xr:uid="{679CE7EB-D98C-486E-B9EA-08393E9930E1}"/>
    <cellStyle name="Normal 4 21" xfId="14028" xr:uid="{5BE6ABE8-3353-4083-B504-65A7970C20B0}"/>
    <cellStyle name="Normal 4 21 2" xfId="14029" xr:uid="{03DF495B-37F8-4C95-8C09-38DD5E86D506}"/>
    <cellStyle name="Normal 4 21 3" xfId="14030" xr:uid="{694C6713-3BFA-4DAC-B9DC-EAC15562B2F5}"/>
    <cellStyle name="Normal 4 21 4" xfId="14031" xr:uid="{86FA720F-386B-47E5-9E77-5B3F5967D040}"/>
    <cellStyle name="Normal 4 21 5" xfId="14032" xr:uid="{052CF297-4281-4E1C-880B-319A44CD6A2C}"/>
    <cellStyle name="Normal 4 21 6" xfId="14033" xr:uid="{4562676B-066C-46F0-9C80-C476B5E72315}"/>
    <cellStyle name="Normal 4 22" xfId="14034" xr:uid="{B60EB736-268C-45F1-9351-42C23079A767}"/>
    <cellStyle name="Normal 4 22 2" xfId="14035" xr:uid="{F2DD93E1-A25D-4B59-A202-C748BB2728B6}"/>
    <cellStyle name="Normal 4 22 3" xfId="14036" xr:uid="{F11DC209-8C71-447B-AE92-6126C5E84354}"/>
    <cellStyle name="Normal 4 22 4" xfId="14037" xr:uid="{06F88017-6F8F-496A-87D5-9BB6DB770808}"/>
    <cellStyle name="Normal 4 22 5" xfId="14038" xr:uid="{98171CD3-E9BD-4ECF-9F1F-52D7FBB00CFB}"/>
    <cellStyle name="Normal 4 22 6" xfId="14039" xr:uid="{9C2427F6-488F-4196-832F-83D3D8F96F14}"/>
    <cellStyle name="Normal 4 23" xfId="14040" xr:uid="{FFB8FC12-8A6C-4328-BF38-0AF5004ECD72}"/>
    <cellStyle name="Normal 4 23 2" xfId="14041" xr:uid="{7B4C098E-D09A-4C17-BE44-8EB204B5F2B2}"/>
    <cellStyle name="Normal 4 23 3" xfId="14042" xr:uid="{62D7B735-1E99-4F30-AE16-77DA5A48550D}"/>
    <cellStyle name="Normal 4 23 4" xfId="14043" xr:uid="{3048DE08-BAA5-403E-B9CB-59DA4B3E029A}"/>
    <cellStyle name="Normal 4 23 5" xfId="14044" xr:uid="{A3776868-EFE8-4CBA-9334-56F75D2CE956}"/>
    <cellStyle name="Normal 4 23 6" xfId="14045" xr:uid="{25288C34-ED9B-42B5-833B-803D9B2078D5}"/>
    <cellStyle name="Normal 4 24" xfId="14046" xr:uid="{F36290ED-6305-47B1-8C4E-13FFC7585963}"/>
    <cellStyle name="Normal 4 24 2" xfId="14047" xr:uid="{999E0621-4552-49D8-8A53-5F8FB8D5E092}"/>
    <cellStyle name="Normal 4 24 3" xfId="14048" xr:uid="{0E068648-EB0D-4B70-813D-1D671F19F0CD}"/>
    <cellStyle name="Normal 4 24 4" xfId="14049" xr:uid="{90AA7CEB-B45B-4EA8-8241-5BE1B85A895E}"/>
    <cellStyle name="Normal 4 24 5" xfId="14050" xr:uid="{47A8D211-7D1A-4922-B9C9-C58131CC5568}"/>
    <cellStyle name="Normal 4 24 6" xfId="14051" xr:uid="{28F72F3E-B04C-4BE7-BEE0-94ED89596CB6}"/>
    <cellStyle name="Normal 4 25" xfId="14052" xr:uid="{C4C3E40E-5DF7-430A-9B18-B7A2C706741E}"/>
    <cellStyle name="Normal 4 25 2" xfId="14053" xr:uid="{C2402A97-326A-441F-ACAC-C693050D6CD1}"/>
    <cellStyle name="Normal 4 25 3" xfId="14054" xr:uid="{918D9559-7986-44D1-BDC1-E5569147122D}"/>
    <cellStyle name="Normal 4 25 4" xfId="14055" xr:uid="{CBA54950-9032-4689-A9FF-05DAEBD13010}"/>
    <cellStyle name="Normal 4 25 5" xfId="14056" xr:uid="{067B4A99-6DE1-40EC-818C-885E26992695}"/>
    <cellStyle name="Normal 4 25 6" xfId="14057" xr:uid="{4F10CB4F-B2A6-4B16-B6A7-4397D42AA59A}"/>
    <cellStyle name="Normal 4 26" xfId="14058" xr:uid="{9ED12A56-5890-4088-8204-165BAE9BA6DF}"/>
    <cellStyle name="Normal 4 26 2" xfId="14059" xr:uid="{01243C8D-32EA-467B-85A3-1772C8836CD8}"/>
    <cellStyle name="Normal 4 26 3" xfId="14060" xr:uid="{FB2C7A32-BF9D-4832-90FB-8BC689F6498D}"/>
    <cellStyle name="Normal 4 26 4" xfId="14061" xr:uid="{31AA819B-6752-46C4-9A29-3544404C3F8D}"/>
    <cellStyle name="Normal 4 26 5" xfId="14062" xr:uid="{776AB183-1FF8-47BE-B95B-7ED43431DFD4}"/>
    <cellStyle name="Normal 4 26 6" xfId="14063" xr:uid="{1876A7AE-6A5D-4714-9EB0-E0C1D67994A7}"/>
    <cellStyle name="Normal 4 27" xfId="14064" xr:uid="{A47EDDA8-CE44-466D-B7A8-55D6E24F072C}"/>
    <cellStyle name="Normal 4 27 2" xfId="14065" xr:uid="{935C4B18-7174-45AA-8C39-E209D3C4C2FA}"/>
    <cellStyle name="Normal 4 27 3" xfId="14066" xr:uid="{81B9778E-A3D6-4784-8581-BBBFE212CB6B}"/>
    <cellStyle name="Normal 4 27 4" xfId="14067" xr:uid="{51070F35-BEE3-49CD-85A0-6E380B9A25C8}"/>
    <cellStyle name="Normal 4 27 5" xfId="14068" xr:uid="{36A61F5C-B3EE-4D4C-9AF0-F7C5A59562DA}"/>
    <cellStyle name="Normal 4 27 6" xfId="14069" xr:uid="{AF478737-FC1F-49A1-A1B1-9C342469A210}"/>
    <cellStyle name="Normal 4 28" xfId="14070" xr:uid="{CCB3A46F-23ED-4F52-89FA-65F5DBD134ED}"/>
    <cellStyle name="Normal 4 28 2" xfId="14071" xr:uid="{664F531B-D80F-4B33-8FCF-4A5C1E7473E8}"/>
    <cellStyle name="Normal 4 28 3" xfId="14072" xr:uid="{EE5C0EDD-D588-45C8-9C33-E2636AA0AE66}"/>
    <cellStyle name="Normal 4 28 4" xfId="14073" xr:uid="{77F9DEA9-A4EB-4BEC-922B-C92E35AD9C36}"/>
    <cellStyle name="Normal 4 28 5" xfId="14074" xr:uid="{0D1A0CC1-C6AF-424C-B478-69A0199C1342}"/>
    <cellStyle name="Normal 4 28 6" xfId="14075" xr:uid="{4980A64A-7C1A-40A7-88A1-A4C072A5EF47}"/>
    <cellStyle name="Normal 4 29" xfId="14076" xr:uid="{F521A535-9622-44BA-9352-B7CB0C0F9535}"/>
    <cellStyle name="Normal 4 29 2" xfId="14077" xr:uid="{707B14F5-800E-4B26-9980-80E22095013F}"/>
    <cellStyle name="Normal 4 29 3" xfId="14078" xr:uid="{C745E81A-8C5C-4AF1-BCD7-AC61721A484B}"/>
    <cellStyle name="Normal 4 29 4" xfId="14079" xr:uid="{9440AC44-D7D6-4564-A99E-EDDFC21C7B2B}"/>
    <cellStyle name="Normal 4 29 5" xfId="14080" xr:uid="{4C76D1D4-38F5-4F2D-8E9F-ABF859BF9233}"/>
    <cellStyle name="Normal 4 29 6" xfId="14081" xr:uid="{6F29AB6A-451E-4654-AB49-AD245B779806}"/>
    <cellStyle name="Normal 4 3" xfId="14082" xr:uid="{67625ADA-3B89-4BF1-A3DA-18EDFAA72FA9}"/>
    <cellStyle name="Normal 4 30" xfId="14083" xr:uid="{B29C2CC2-FC5C-4023-91CC-BDD1D800DA9C}"/>
    <cellStyle name="Normal 4 30 2" xfId="14084" xr:uid="{AD869D7B-73A7-4253-BF7E-306EB67003F4}"/>
    <cellStyle name="Normal 4 30 3" xfId="14085" xr:uid="{0853AFF9-8F01-4953-9BC6-57CC756F3070}"/>
    <cellStyle name="Normal 4 30 4" xfId="14086" xr:uid="{87FC5017-66E4-4C67-8227-266EDE944A61}"/>
    <cellStyle name="Normal 4 30 5" xfId="14087" xr:uid="{8FEB4842-4A76-4C77-B5DA-B3F3BA642FAA}"/>
    <cellStyle name="Normal 4 30 6" xfId="14088" xr:uid="{404A5422-0EB0-4F9B-93FA-D36833879591}"/>
    <cellStyle name="Normal 4 31" xfId="14089" xr:uid="{3DCFB48B-5EE0-4C6A-A12F-1DA1F71858F9}"/>
    <cellStyle name="Normal 4 31 2" xfId="14090" xr:uid="{CD4DCA81-EB88-40BD-B9A1-AFF9B9D34A53}"/>
    <cellStyle name="Normal 4 31 3" xfId="14091" xr:uid="{56132120-9B9B-450D-98B2-79541C706C42}"/>
    <cellStyle name="Normal 4 31 4" xfId="14092" xr:uid="{0FEB27E9-5F51-4F0B-A975-16ECB8B74393}"/>
    <cellStyle name="Normal 4 31 5" xfId="14093" xr:uid="{5670D95F-D0ED-44AF-98C6-A4B052671205}"/>
    <cellStyle name="Normal 4 31 6" xfId="14094" xr:uid="{7CE0DF99-942F-4181-B48A-4ABEDBC85F3B}"/>
    <cellStyle name="Normal 4 32" xfId="14095" xr:uid="{E574D83B-807B-4B9F-88A7-3A8D1AB2A088}"/>
    <cellStyle name="Normal 4 32 2" xfId="14096" xr:uid="{24D6EEFB-0CE2-4EA4-84C9-F67B32D57894}"/>
    <cellStyle name="Normal 4 32 3" xfId="14097" xr:uid="{279C5C06-FE70-47DF-8220-6BFFD81ECFC3}"/>
    <cellStyle name="Normal 4 32 4" xfId="14098" xr:uid="{CD44C61E-29BD-4298-B085-911C7C4A5FA7}"/>
    <cellStyle name="Normal 4 32 5" xfId="14099" xr:uid="{6D8D7356-CF7F-409A-8100-19866A8B7CD7}"/>
    <cellStyle name="Normal 4 32 6" xfId="14100" xr:uid="{0142837D-5510-42ED-B190-F2A69C71982D}"/>
    <cellStyle name="Normal 4 33" xfId="14101" xr:uid="{EC091A59-97C5-4AF2-B212-B213403D671B}"/>
    <cellStyle name="Normal 4 34" xfId="14102" xr:uid="{98CE6E01-3C4F-4F7C-B5FC-E194627445D5}"/>
    <cellStyle name="Normal 4 35" xfId="14103" xr:uid="{96397762-4832-40C0-8A80-94D2AB4B90FA}"/>
    <cellStyle name="Normal 4 36" xfId="14104" xr:uid="{C114450D-0E47-49FA-A9AA-31D8A683E7A1}"/>
    <cellStyle name="Normal 4 37" xfId="14105" xr:uid="{50DE4049-12CE-4387-8937-D63A677F4D45}"/>
    <cellStyle name="Normal 4 38" xfId="14106" xr:uid="{D718594B-AA37-40E1-87D0-271DBA01DE19}"/>
    <cellStyle name="Normal 4 39" xfId="14107" xr:uid="{3CC23227-D096-43B0-9098-77604D18E953}"/>
    <cellStyle name="Normal 4 4" xfId="14108" xr:uid="{703BB92B-CA88-4B71-8C91-265810058830}"/>
    <cellStyle name="Normal 4 4 2" xfId="14109" xr:uid="{EC851901-413A-4356-8F07-E0FC5D862CFA}"/>
    <cellStyle name="Normal 4 4 3" xfId="14110" xr:uid="{42707AF6-6B1E-48C7-9DA4-036559F727EA}"/>
    <cellStyle name="Normal 4 4 4" xfId="14111" xr:uid="{3C465E30-A02D-44E0-8688-7EABA42650F2}"/>
    <cellStyle name="Normal 4 4 5" xfId="14112" xr:uid="{D0E153E5-6DCC-41E8-945B-7FD446290285}"/>
    <cellStyle name="Normal 4 4 6" xfId="14113" xr:uid="{B55B1D1A-F345-44D9-BE21-2D18AD6C4B73}"/>
    <cellStyle name="Normal 4 40" xfId="14114" xr:uid="{64FE5894-549E-451D-B29D-276410CF3477}"/>
    <cellStyle name="Normal 4 41" xfId="14115" xr:uid="{C063A76F-57B5-48F6-8DF9-16ACAFE4CD2A}"/>
    <cellStyle name="Normal 4 42" xfId="14116" xr:uid="{45F10E61-F8A9-49F0-AB77-434DAC0F0CA6}"/>
    <cellStyle name="Normal 4 43" xfId="14117" xr:uid="{EA84560F-4135-4A50-9813-27FA014B39F7}"/>
    <cellStyle name="Normal 4 44" xfId="14118" xr:uid="{5238A67C-F59A-4AE9-A677-4A2498392A2B}"/>
    <cellStyle name="Normal 4 45" xfId="14119" xr:uid="{334DB175-5B27-49EE-8821-13C6984C11F1}"/>
    <cellStyle name="Normal 4 46" xfId="14120" xr:uid="{31100CE5-4D08-48A3-B4DF-90CED44F8286}"/>
    <cellStyle name="Normal 4 47" xfId="14121" xr:uid="{54B80322-6AA0-417B-AD69-F2A3317F711C}"/>
    <cellStyle name="Normal 4 48" xfId="14122" xr:uid="{851651E3-99DB-45FC-90EF-A0ED265F914B}"/>
    <cellStyle name="Normal 4 49" xfId="14123" xr:uid="{E8C871AE-4B4A-4E14-AEA9-F8B46345A364}"/>
    <cellStyle name="Normal 4 5" xfId="14124" xr:uid="{E405F41B-885F-4015-B4E3-355CF69EC7B6}"/>
    <cellStyle name="Normal 4 5 2" xfId="14125" xr:uid="{86F638B6-DBD1-452D-96B5-91DA344A20E1}"/>
    <cellStyle name="Normal 4 5 3" xfId="14126" xr:uid="{34E09A31-6B3A-471B-97EC-9657ED93A5F2}"/>
    <cellStyle name="Normal 4 5 4" xfId="14127" xr:uid="{D49A1971-673D-4542-B4D2-242771D96BCE}"/>
    <cellStyle name="Normal 4 5 5" xfId="14128" xr:uid="{1F241209-4E8D-492B-8DF0-45B863F241CF}"/>
    <cellStyle name="Normal 4 5 6" xfId="14129" xr:uid="{724CE236-84D3-494D-94B5-62E1557B188B}"/>
    <cellStyle name="Normal 4 50" xfId="14130" xr:uid="{46E4C9EC-7BC7-4461-B13E-119F7C947AD2}"/>
    <cellStyle name="Normal 4 51" xfId="14131" xr:uid="{0A86425F-CD5C-423A-BC3E-31C5B00CD718}"/>
    <cellStyle name="Normal 4 52" xfId="13273" xr:uid="{A45EB135-4432-4D82-923E-5899D8E3979D}"/>
    <cellStyle name="Normal 4 53" xfId="16761" xr:uid="{A8C91B81-B370-41BE-8191-9B871D1645A7}"/>
    <cellStyle name="Normal 4 54" xfId="16762" xr:uid="{26B1C859-D236-464B-8E82-4D2794E4D78E}"/>
    <cellStyle name="Normal 4 6" xfId="14132" xr:uid="{E7B7B98C-42EB-4C47-A49D-0735B775653C}"/>
    <cellStyle name="Normal 4 6 2" xfId="14133" xr:uid="{89942C0D-AE74-488C-BAAF-BD2286D5A5E4}"/>
    <cellStyle name="Normal 4 6 3" xfId="14134" xr:uid="{C593AC55-4D4E-42EE-9DBF-6A39FA77354F}"/>
    <cellStyle name="Normal 4 6 4" xfId="14135" xr:uid="{251ACD6C-9544-4B2C-8DF5-FC9345A565FA}"/>
    <cellStyle name="Normal 4 6 5" xfId="14136" xr:uid="{492C2D89-33E2-412D-B356-E4C81F4BB6D4}"/>
    <cellStyle name="Normal 4 6 6" xfId="14137" xr:uid="{1D5F3E4E-21D7-4B93-A452-14B2D4682540}"/>
    <cellStyle name="Normal 4 7" xfId="14138" xr:uid="{04705B64-3AAB-45FD-B26E-64A8A78550AE}"/>
    <cellStyle name="Normal 4 7 2" xfId="14139" xr:uid="{5747FE46-F2E4-4B2C-BEEF-49A1359AE511}"/>
    <cellStyle name="Normal 4 7 3" xfId="14140" xr:uid="{F88BD777-10DB-491E-B464-65588300F19A}"/>
    <cellStyle name="Normal 4 7 4" xfId="14141" xr:uid="{001ABF7F-C7CD-402D-A2E1-07384740F323}"/>
    <cellStyle name="Normal 4 7 5" xfId="14142" xr:uid="{A4A5F2A7-FD72-45B3-A047-E224D484BD4F}"/>
    <cellStyle name="Normal 4 7 6" xfId="14143" xr:uid="{00F8C0BE-FCCF-4C90-8476-EB101E5C4C0F}"/>
    <cellStyle name="Normal 4 8" xfId="14144" xr:uid="{D6F7BE2C-74D5-4B93-A73E-A6797EBE8DB0}"/>
    <cellStyle name="Normal 4 8 2" xfId="14145" xr:uid="{E0B5E77A-B7FA-4B6B-BF30-2E89C94C7924}"/>
    <cellStyle name="Normal 4 8 3" xfId="14146" xr:uid="{045603CA-AEE2-4858-8250-6BB3E8D6E64A}"/>
    <cellStyle name="Normal 4 8 4" xfId="14147" xr:uid="{CC5CF9FC-9D08-4BAD-A3AB-FFD1C42D1189}"/>
    <cellStyle name="Normal 4 8 5" xfId="14148" xr:uid="{9FBFCBCF-7291-4953-B63D-462729990372}"/>
    <cellStyle name="Normal 4 8 6" xfId="14149" xr:uid="{4E1369BA-739F-4401-B623-1871779F9577}"/>
    <cellStyle name="Normal 4 9" xfId="14150" xr:uid="{6740158A-463E-48E5-8F3A-756868F9AD68}"/>
    <cellStyle name="Normal 4 9 2" xfId="14151" xr:uid="{F1581723-CB7C-4D7C-AE79-23C440C8F0D7}"/>
    <cellStyle name="Normal 4 9 3" xfId="14152" xr:uid="{2D874A8C-1D82-47DD-B9EC-34B3B422D20C}"/>
    <cellStyle name="Normal 4 9 4" xfId="14153" xr:uid="{3BEFFCA9-F731-4732-B21A-C0C04434133D}"/>
    <cellStyle name="Normal 4 9 5" xfId="14154" xr:uid="{BB28A732-4F3D-4825-95B8-3DECD79522CF}"/>
    <cellStyle name="Normal 4 9 6" xfId="14155" xr:uid="{5CB27E65-7758-4ACA-AA76-E295587469A4}"/>
    <cellStyle name="Normal 5" xfId="49" xr:uid="{8F5F4AD0-2922-47C3-A03A-CC726CE20FC5}"/>
    <cellStyle name="Normal 5 10" xfId="14157" xr:uid="{F8AA6999-BD15-4483-AF8F-0FB9C0A3DD5C}"/>
    <cellStyle name="Normal 5 11" xfId="14158" xr:uid="{55CA32A9-7EFE-42C2-BDD8-255E7BA75C28}"/>
    <cellStyle name="Normal 5 12" xfId="14159" xr:uid="{813B0E9C-3B81-4E34-B760-B4E4EBCA1653}"/>
    <cellStyle name="Normal 5 13" xfId="14160" xr:uid="{574AF88C-4E78-416F-9B1E-9CEBDD08A043}"/>
    <cellStyle name="Normal 5 14" xfId="14161" xr:uid="{9BD042CA-33A5-4109-955C-464BEDDEA353}"/>
    <cellStyle name="Normal 5 15" xfId="14162" xr:uid="{A1DE076E-70F3-45EC-B9DB-CA17528CE675}"/>
    <cellStyle name="Normal 5 16" xfId="14163" xr:uid="{903ACE9F-17CF-4811-80AE-502C90116B42}"/>
    <cellStyle name="Normal 5 17" xfId="14164" xr:uid="{8416DB20-36AD-48A3-8982-412B700EE6AC}"/>
    <cellStyle name="Normal 5 18" xfId="14165" xr:uid="{81B59101-1A17-46F2-B5A4-C003F853E9C0}"/>
    <cellStyle name="Normal 5 19" xfId="14166" xr:uid="{93392FA1-CD24-4148-8144-4C3A8BFF9788}"/>
    <cellStyle name="Normal 5 2" xfId="14167" xr:uid="{B128B29B-4AF8-47E0-A384-9F8B3542DAE3}"/>
    <cellStyle name="Normal 5 20" xfId="14168" xr:uid="{8DE03CC5-653B-40B1-AB61-73ABA30E7FAB}"/>
    <cellStyle name="Normal 5 21" xfId="14169" xr:uid="{47FAB16E-A2A4-461D-8E0C-29C8D54D8FEE}"/>
    <cellStyle name="Normal 5 22" xfId="14170" xr:uid="{0007F7F4-790D-4E02-A2A5-79308147078E}"/>
    <cellStyle name="Normal 5 23" xfId="14171" xr:uid="{2A7D43B2-5E9C-4085-8768-90319786953E}"/>
    <cellStyle name="Normal 5 24" xfId="14172" xr:uid="{AF1CDC89-533C-4558-A40A-8BA158CAB226}"/>
    <cellStyle name="Normal 5 25" xfId="14173" xr:uid="{DC19B105-CB28-4678-A81A-3233310783B9}"/>
    <cellStyle name="Normal 5 26" xfId="14174" xr:uid="{6320C9B0-4877-4F4D-9F53-EA33F92AC367}"/>
    <cellStyle name="Normal 5 27" xfId="14175" xr:uid="{C77B3B1E-8BBA-4C07-8F2A-FF2606DA22CA}"/>
    <cellStyle name="Normal 5 28" xfId="14176" xr:uid="{E646436E-2609-4C51-813E-19B4D4993E6A}"/>
    <cellStyle name="Normal 5 29" xfId="14177" xr:uid="{98214DB8-8DC3-4658-836F-2C1E407D64B5}"/>
    <cellStyle name="Normal 5 3" xfId="14178" xr:uid="{289179FD-1234-49E8-9DAC-CF412DAEB462}"/>
    <cellStyle name="Normal 5 30" xfId="14179" xr:uid="{FA1C9C9A-0AC4-4D17-A02D-F9C8BBE65B6C}"/>
    <cellStyle name="Normal 5 31" xfId="14180" xr:uid="{FB903DB7-F1A8-4868-9B5F-6FB49D82DF05}"/>
    <cellStyle name="Normal 5 32" xfId="14181" xr:uid="{001345D7-CE9B-45FA-86F3-603ECEE8AD85}"/>
    <cellStyle name="Normal 5 33" xfId="14156" xr:uid="{E6037C7D-EA1F-4CBA-BAD6-1104AE336CE0}"/>
    <cellStyle name="Normal 5 4" xfId="14182" xr:uid="{32D9A72B-6410-4DEC-BF0D-C44DD28C407D}"/>
    <cellStyle name="Normal 5 5" xfId="14183" xr:uid="{D10A2783-92D0-4A9C-A2E1-7050E9AF11ED}"/>
    <cellStyle name="Normal 5 6" xfId="14184" xr:uid="{663F0A71-6E89-43A9-B3ED-2CF7B19B54DF}"/>
    <cellStyle name="Normal 5 7" xfId="14185" xr:uid="{454D105A-65D7-4610-A03E-060EA75046E2}"/>
    <cellStyle name="Normal 5 8" xfId="14186" xr:uid="{7C608594-6BC1-4EF1-8D4C-4D62297305F5}"/>
    <cellStyle name="Normal 5 9" xfId="14187" xr:uid="{4F3E898B-0644-411D-9AA7-DF8456C9F4B4}"/>
    <cellStyle name="Normal 6" xfId="50" xr:uid="{49176F16-243B-4EDB-90E3-129430086241}"/>
    <cellStyle name="Normal 6 10" xfId="14189" xr:uid="{516761F8-8B09-4D2E-872E-88E87B9BD293}"/>
    <cellStyle name="Normal 6 10 10" xfId="14190" xr:uid="{D851EAE2-499B-4C18-ABAC-6EAF44C1C177}"/>
    <cellStyle name="Normal 6 10 11" xfId="14191" xr:uid="{564BEED1-8A7E-42F0-ADEA-942241A8E2B8}"/>
    <cellStyle name="Normal 6 10 12" xfId="14192" xr:uid="{B18A14EE-CFA7-482A-A4F7-3230B0C3F8F4}"/>
    <cellStyle name="Normal 6 10 13" xfId="14193" xr:uid="{DB9BFDD5-7A80-419C-A44C-C808B7F81D19}"/>
    <cellStyle name="Normal 6 10 14" xfId="14194" xr:uid="{0BB6834B-45BB-450F-8621-DB26A373A854}"/>
    <cellStyle name="Normal 6 10 15" xfId="14195" xr:uid="{8E4A2BA7-8E9E-4BD8-9C64-A092EA6FFC3D}"/>
    <cellStyle name="Normal 6 10 16" xfId="14196" xr:uid="{01426B4C-8034-4106-A788-139BE1EE1F2B}"/>
    <cellStyle name="Normal 6 10 17" xfId="14197" xr:uid="{3C0898A5-9EE1-48D4-B0CE-FB8938A74B24}"/>
    <cellStyle name="Normal 6 10 18" xfId="14198" xr:uid="{6A33EB7F-F329-4F2E-B928-25DA2B7B1A44}"/>
    <cellStyle name="Normal 6 10 19" xfId="14199" xr:uid="{62EC024D-AE92-4435-8162-8D5BEE08A6A2}"/>
    <cellStyle name="Normal 6 10 2" xfId="14200" xr:uid="{78BCFC01-FE0F-4221-AEB9-F77FB9BC77F1}"/>
    <cellStyle name="Normal 6 10 2 10" xfId="14201" xr:uid="{A28AA24C-739C-4507-A704-A878A6ECF655}"/>
    <cellStyle name="Normal 6 10 2 11" xfId="14202" xr:uid="{F9148C87-EA8C-4038-92D4-B58F6A27EB41}"/>
    <cellStyle name="Normal 6 10 2 12" xfId="14203" xr:uid="{6137ED1D-7A11-4A13-BE7B-78612EAA3A80}"/>
    <cellStyle name="Normal 6 10 2 13" xfId="14204" xr:uid="{2E069E34-4415-4AB8-81F7-5477E1687027}"/>
    <cellStyle name="Normal 6 10 2 14" xfId="14205" xr:uid="{84DE8D89-E6DA-4CC8-BCC7-49EF4360820B}"/>
    <cellStyle name="Normal 6 10 2 15" xfId="14206" xr:uid="{8BF1F871-A29E-4FEA-BA91-069DC45BA711}"/>
    <cellStyle name="Normal 6 10 2 16" xfId="14207" xr:uid="{5CA2CADA-AE8A-467E-BEC8-BB2C2A0E0E80}"/>
    <cellStyle name="Normal 6 10 2 17" xfId="14208" xr:uid="{742AA4EB-7E17-451D-B28E-2DCF2EA551BA}"/>
    <cellStyle name="Normal 6 10 2 18" xfId="14209" xr:uid="{8052BE53-F6FD-4C5D-AA68-3B7D4C39DC92}"/>
    <cellStyle name="Normal 6 10 2 19" xfId="14210" xr:uid="{346B0F57-2D02-4B1F-A0AA-C8BE160F5794}"/>
    <cellStyle name="Normal 6 10 2 2" xfId="14211" xr:uid="{0AFA28BD-18F8-46DA-B2C0-AC457D0CD788}"/>
    <cellStyle name="Normal 6 10 2 2 10" xfId="14212" xr:uid="{FE139542-6F14-41BA-8F5A-5E7C2C655E14}"/>
    <cellStyle name="Normal 6 10 2 2 11" xfId="14213" xr:uid="{8BA44582-9E52-457E-85F5-2B6D3173DBF3}"/>
    <cellStyle name="Normal 6 10 2 2 12" xfId="14214" xr:uid="{722C35E8-4EA6-4CCF-97F9-7198D9D7B055}"/>
    <cellStyle name="Normal 6 10 2 2 13" xfId="14215" xr:uid="{C2AABD58-91DD-4900-9B8D-5B6422F7E8CA}"/>
    <cellStyle name="Normal 6 10 2 2 14" xfId="14216" xr:uid="{0BC2EE21-FBF7-4CAF-8820-3AD9614FA288}"/>
    <cellStyle name="Normal 6 10 2 2 15" xfId="14217" xr:uid="{6B317804-3AD0-49BA-9CBF-3E3C6D1C19AC}"/>
    <cellStyle name="Normal 6 10 2 2 16" xfId="14218" xr:uid="{5008540D-BE01-41C1-B2AD-82D159A4B50E}"/>
    <cellStyle name="Normal 6 10 2 2 17" xfId="14219" xr:uid="{154FB593-4AA9-466B-89A6-547D71B4B7AD}"/>
    <cellStyle name="Normal 6 10 2 2 18" xfId="14220" xr:uid="{96C80FC4-4CEC-4818-8704-A5BE4F0B7F96}"/>
    <cellStyle name="Normal 6 10 2 2 19" xfId="14221" xr:uid="{C86A9D74-FA5B-4A52-A3AE-5A681D3664D8}"/>
    <cellStyle name="Normal 6 10 2 2 2" xfId="14222" xr:uid="{03A33C5B-A3B1-4B58-8220-C248A1E1BBD9}"/>
    <cellStyle name="Normal 6 10 2 2 2 10" xfId="14223" xr:uid="{0CF95BAE-EF16-4D51-8CA8-625622DAEB78}"/>
    <cellStyle name="Normal 6 10 2 2 2 11" xfId="14224" xr:uid="{88D56759-3F05-4AB7-8228-B41250B683D7}"/>
    <cellStyle name="Normal 6 10 2 2 2 12" xfId="14225" xr:uid="{6DA04632-A85B-471E-94D5-13EC34DFA438}"/>
    <cellStyle name="Normal 6 10 2 2 2 13" xfId="14226" xr:uid="{DB78BBBD-AB17-401D-A100-60DB8EF3FBF9}"/>
    <cellStyle name="Normal 6 10 2 2 2 14" xfId="14227" xr:uid="{E1734C29-6E15-4B71-A7AA-F910BFA92506}"/>
    <cellStyle name="Normal 6 10 2 2 2 15" xfId="14228" xr:uid="{5017860E-1E2A-4EA0-9A47-B4641863DFEF}"/>
    <cellStyle name="Normal 6 10 2 2 2 16" xfId="14229" xr:uid="{801FA2F3-2651-47E7-ABB1-A8FA5D2EA034}"/>
    <cellStyle name="Normal 6 10 2 2 2 17" xfId="14230" xr:uid="{5F014F90-E08B-4A43-AB91-3430B8662020}"/>
    <cellStyle name="Normal 6 10 2 2 2 18" xfId="14231" xr:uid="{4B96C429-F849-49F5-9F76-C8ACA3FCB013}"/>
    <cellStyle name="Normal 6 10 2 2 2 19" xfId="14232" xr:uid="{35B2B628-197C-4C1D-B8F8-2528B907A54D}"/>
    <cellStyle name="Normal 6 10 2 2 2 2" xfId="14233" xr:uid="{17474AD4-B9C1-4BA9-AFD0-6721664A8002}"/>
    <cellStyle name="Normal 6 10 2 2 2 20" xfId="14234" xr:uid="{60ABA44F-75C2-4D1A-9FE9-43F91299C435}"/>
    <cellStyle name="Normal 6 10 2 2 2 21" xfId="14235" xr:uid="{0074623D-602A-4E71-9D5A-633C1830F253}"/>
    <cellStyle name="Normal 6 10 2 2 2 22" xfId="14236" xr:uid="{394C49E6-663B-4088-A59E-F47DF9C67521}"/>
    <cellStyle name="Normal 6 10 2 2 2 23" xfId="14237" xr:uid="{7A37B5A4-E418-4F06-968C-C12B65D478A6}"/>
    <cellStyle name="Normal 6 10 2 2 2 24" xfId="14238" xr:uid="{DBC01868-1DC4-41E5-87DD-7742C2AA0D2E}"/>
    <cellStyle name="Normal 6 10 2 2 2 25" xfId="14239" xr:uid="{FB07F326-7E58-4364-9E38-608293043216}"/>
    <cellStyle name="Normal 6 10 2 2 2 26" xfId="14240" xr:uid="{9CB8D374-D5CE-4711-9A3E-AF29F82D4898}"/>
    <cellStyle name="Normal 6 10 2 2 2 27" xfId="14241" xr:uid="{BFB58801-965A-4AB7-B5BF-4B53CC23BCA3}"/>
    <cellStyle name="Normal 6 10 2 2 2 28" xfId="14242" xr:uid="{64596E37-CD31-4702-9812-C6A9DA8AD897}"/>
    <cellStyle name="Normal 6 10 2 2 2 29" xfId="14243" xr:uid="{A08CB1E3-8E81-45E3-B030-E2983D3FC048}"/>
    <cellStyle name="Normal 6 10 2 2 2 3" xfId="14244" xr:uid="{D1BAA450-D68C-4CFF-94E7-BCBB2EEFD1B1}"/>
    <cellStyle name="Normal 6 10 2 2 2 30" xfId="14245" xr:uid="{B601E566-5278-4279-AE25-B27C418C8F6D}"/>
    <cellStyle name="Normal 6 10 2 2 2 31" xfId="14246" xr:uid="{871B5A9E-FD3A-491F-A036-56D904F19D6B}"/>
    <cellStyle name="Normal 6 10 2 2 2 32" xfId="14247" xr:uid="{566B0623-32E8-44AE-B79E-A65E3FFC7C3F}"/>
    <cellStyle name="Normal 6 10 2 2 2 33" xfId="14248" xr:uid="{150FE0B8-34DB-4E92-BFC4-DEF1AB07AF9A}"/>
    <cellStyle name="Normal 6 10 2 2 2 34" xfId="14249" xr:uid="{95250256-E281-401B-A9E6-3821B39DE571}"/>
    <cellStyle name="Normal 6 10 2 2 2 35" xfId="14250" xr:uid="{974CFC3A-4724-4BB1-9BD9-7A80BE651F9F}"/>
    <cellStyle name="Normal 6 10 2 2 2 36" xfId="14251" xr:uid="{514C6368-76D6-48E7-87EB-43D0D1458A2C}"/>
    <cellStyle name="Normal 6 10 2 2 2 37" xfId="14252" xr:uid="{521F50F8-5FC9-4348-BDC2-4DC5D8005778}"/>
    <cellStyle name="Normal 6 10 2 2 2 38" xfId="14253" xr:uid="{05BBF91A-DC40-43AD-BE01-C71093D05322}"/>
    <cellStyle name="Normal 6 10 2 2 2 4" xfId="14254" xr:uid="{6BCA513F-6D9F-4A34-90AC-20D3A98957BE}"/>
    <cellStyle name="Normal 6 10 2 2 2 5" xfId="14255" xr:uid="{7E92DDE5-155A-4D6B-B0D1-1E7972755169}"/>
    <cellStyle name="Normal 6 10 2 2 2 6" xfId="14256" xr:uid="{0998C3C2-F0C2-41ED-8236-E0444D95EFB2}"/>
    <cellStyle name="Normal 6 10 2 2 2 7" xfId="14257" xr:uid="{73C9E14C-9DB9-4C32-82C7-4A433D5BE8C2}"/>
    <cellStyle name="Normal 6 10 2 2 2 8" xfId="14258" xr:uid="{8211272D-FA21-476C-9C81-4D6A7F525B0D}"/>
    <cellStyle name="Normal 6 10 2 2 2 9" xfId="14259" xr:uid="{44FDFBFD-0650-46C0-91E6-7B849B35B131}"/>
    <cellStyle name="Normal 6 10 2 2 20" xfId="14260" xr:uid="{F6E9059D-8C3A-45C6-BC95-22609FB43145}"/>
    <cellStyle name="Normal 6 10 2 2 21" xfId="14261" xr:uid="{FE40111E-A298-4791-AE47-A584D8517A9F}"/>
    <cellStyle name="Normal 6 10 2 2 22" xfId="14262" xr:uid="{29E14B7D-203C-4DC5-A977-E27C66D0523F}"/>
    <cellStyle name="Normal 6 10 2 2 23" xfId="14263" xr:uid="{E1EDF927-E47F-47DF-9F23-56D5606911AA}"/>
    <cellStyle name="Normal 6 10 2 2 24" xfId="14264" xr:uid="{875E55A9-C98C-43BB-970B-CDEB5109EC91}"/>
    <cellStyle name="Normal 6 10 2 2 25" xfId="14265" xr:uid="{BD665DAA-2C5E-4175-86B4-F36B6136319D}"/>
    <cellStyle name="Normal 6 10 2 2 26" xfId="14266" xr:uid="{46F67CBA-E7F3-4AFA-BCD5-651CA142AECF}"/>
    <cellStyle name="Normal 6 10 2 2 27" xfId="14267" xr:uid="{C23E0E25-ABB7-4D84-B07B-A581F5B21AFB}"/>
    <cellStyle name="Normal 6 10 2 2 28" xfId="14268" xr:uid="{37EE8F6E-B225-4AD3-97C5-507F5472F5D8}"/>
    <cellStyle name="Normal 6 10 2 2 29" xfId="14269" xr:uid="{83FADE80-CEC6-43DC-AE22-EA9076A1231D}"/>
    <cellStyle name="Normal 6 10 2 2 3" xfId="14270" xr:uid="{5F1B6BED-DA93-4BED-9C62-613F176CEC97}"/>
    <cellStyle name="Normal 6 10 2 2 30" xfId="14271" xr:uid="{D798D6B1-D33B-42AA-8EA8-15F8BA295F90}"/>
    <cellStyle name="Normal 6 10 2 2 31" xfId="14272" xr:uid="{7077115C-1828-42A6-B3CB-C03862F73916}"/>
    <cellStyle name="Normal 6 10 2 2 32" xfId="14273" xr:uid="{B080B29B-5CA2-4373-BB69-FAF9055AA1E5}"/>
    <cellStyle name="Normal 6 10 2 2 33" xfId="14274" xr:uid="{B649CC14-00B8-46FC-BDDA-C3BDFAAF11CB}"/>
    <cellStyle name="Normal 6 10 2 2 34" xfId="14275" xr:uid="{86510E0D-8B65-42A0-BA48-B0821997DEDF}"/>
    <cellStyle name="Normal 6 10 2 2 35" xfId="14276" xr:uid="{066EA1FB-97DB-461A-BF36-984980395F13}"/>
    <cellStyle name="Normal 6 10 2 2 36" xfId="14277" xr:uid="{C76705E4-CE6F-40A8-984F-22A745C7ACF1}"/>
    <cellStyle name="Normal 6 10 2 2 37" xfId="14278" xr:uid="{D44A57F7-1959-4B4A-A21C-31194D92F29B}"/>
    <cellStyle name="Normal 6 10 2 2 38" xfId="14279" xr:uid="{3DCD2D6E-EFB6-4C52-80E0-BA7805AAFDCA}"/>
    <cellStyle name="Normal 6 10 2 2 4" xfId="14280" xr:uid="{23CB049A-3FEE-4953-8250-62B8B5CDCA83}"/>
    <cellStyle name="Normal 6 10 2 2 5" xfId="14281" xr:uid="{FDE57E66-B96B-4D19-9E20-2C489C08F92C}"/>
    <cellStyle name="Normal 6 10 2 2 6" xfId="14282" xr:uid="{5124264A-0A6D-477C-9B19-2BED38C45FA5}"/>
    <cellStyle name="Normal 6 10 2 2 7" xfId="14283" xr:uid="{3099D6C3-5ACB-4A68-B947-DDB8A3A2882B}"/>
    <cellStyle name="Normal 6 10 2 2 8" xfId="14284" xr:uid="{82781297-10E7-44CA-B77A-EB3103C9DA22}"/>
    <cellStyle name="Normal 6 10 2 2 9" xfId="14285" xr:uid="{6BF6E79B-44CF-406F-8D9C-2C5490CC5BD4}"/>
    <cellStyle name="Normal 6 10 2 20" xfId="14286" xr:uid="{BEA435EF-B75A-4409-80FB-42E49D836660}"/>
    <cellStyle name="Normal 6 10 2 21" xfId="14287" xr:uid="{42F8BCA7-6772-4542-A617-85BFF3D5788B}"/>
    <cellStyle name="Normal 6 10 2 22" xfId="14288" xr:uid="{6C2E2157-7709-4784-A968-6A1AFBBBDDFE}"/>
    <cellStyle name="Normal 6 10 2 23" xfId="14289" xr:uid="{771BCEB8-A0F8-4D26-8135-C7EA66D08D85}"/>
    <cellStyle name="Normal 6 10 2 24" xfId="14290" xr:uid="{436BB3FB-3438-4FB1-B89E-9FF2F25BCD6C}"/>
    <cellStyle name="Normal 6 10 2 25" xfId="14291" xr:uid="{E3EEB0A5-85AA-4611-8D99-11FDC4B1838D}"/>
    <cellStyle name="Normal 6 10 2 26" xfId="14292" xr:uid="{C8BE3156-06B3-411F-BAED-8E3C8C4461AC}"/>
    <cellStyle name="Normal 6 10 2 27" xfId="14293" xr:uid="{7D6EED4A-DBD4-4807-B771-3AF2BE29E912}"/>
    <cellStyle name="Normal 6 10 2 28" xfId="14294" xr:uid="{C5A878DC-0953-4ACE-BCD3-8882CA12674A}"/>
    <cellStyle name="Normal 6 10 2 29" xfId="14295" xr:uid="{A9AA831F-3B86-45B0-85BF-2AF1896A8B5D}"/>
    <cellStyle name="Normal 6 10 2 3" xfId="14296" xr:uid="{BDB58896-E251-4426-B086-9912375E5487}"/>
    <cellStyle name="Normal 6 10 2 30" xfId="14297" xr:uid="{1917CA27-362C-42EE-9BDA-3A55D9B8CDC2}"/>
    <cellStyle name="Normal 6 10 2 31" xfId="14298" xr:uid="{B96D6DE5-A672-4FD5-BF24-F9DA115FD395}"/>
    <cellStyle name="Normal 6 10 2 32" xfId="14299" xr:uid="{A8FF1A50-CFF9-48D4-9C78-2BA8CDA3AA8C}"/>
    <cellStyle name="Normal 6 10 2 33" xfId="14300" xr:uid="{63883863-7DB7-46F6-AF53-78C846395667}"/>
    <cellStyle name="Normal 6 10 2 34" xfId="14301" xr:uid="{15C5CB75-E504-44C0-B707-944F7C5C714B}"/>
    <cellStyle name="Normal 6 10 2 35" xfId="14302" xr:uid="{13A2A830-B1C1-4694-AA84-EDCF01FB6735}"/>
    <cellStyle name="Normal 6 10 2 36" xfId="14303" xr:uid="{8249AD60-E1CF-4A93-AE5B-51D0C6190E84}"/>
    <cellStyle name="Normal 6 10 2 37" xfId="14304" xr:uid="{93EED399-1E8E-4641-9BDE-80BD80B44D45}"/>
    <cellStyle name="Normal 6 10 2 38" xfId="14305" xr:uid="{49CBF46D-7BAC-486B-80D4-8E90C50FDCB2}"/>
    <cellStyle name="Normal 6 10 2 39" xfId="14306" xr:uid="{79356D8E-B021-4266-94D5-5B7F7F3A0D94}"/>
    <cellStyle name="Normal 6 10 2 4" xfId="14307" xr:uid="{B0BB384D-7FF0-419D-9D09-7464B7AB1DFF}"/>
    <cellStyle name="Normal 6 10 2 40" xfId="14308" xr:uid="{AE9F44E9-14C0-4E52-81E4-F91A1047027B}"/>
    <cellStyle name="Normal 6 10 2 5" xfId="14309" xr:uid="{DA24B9E8-79A0-4D9E-8537-21322B803F1E}"/>
    <cellStyle name="Normal 6 10 2 6" xfId="14310" xr:uid="{F0ED93C3-3756-4675-8D5F-8C56F678C398}"/>
    <cellStyle name="Normal 6 10 2 7" xfId="14311" xr:uid="{0E84260C-CE46-433A-92EB-B86CEACD04E4}"/>
    <cellStyle name="Normal 6 10 2 8" xfId="14312" xr:uid="{4C3FD356-D128-448E-A8B0-97C96291E3D9}"/>
    <cellStyle name="Normal 6 10 2 9" xfId="14313" xr:uid="{224624A8-C56A-4DFB-BC1C-07B6F0D467C2}"/>
    <cellStyle name="Normal 6 10 20" xfId="14314" xr:uid="{30253514-D2A4-4C01-BFF8-3982D8D6933D}"/>
    <cellStyle name="Normal 6 10 21" xfId="14315" xr:uid="{BE6A7CE0-C200-4557-A5CA-669D160BD606}"/>
    <cellStyle name="Normal 6 10 22" xfId="14316" xr:uid="{E9FA2184-0AAE-4526-9149-798A28ED090D}"/>
    <cellStyle name="Normal 6 10 23" xfId="14317" xr:uid="{4DA22635-9B8C-428F-9B99-940B3D352CA6}"/>
    <cellStyle name="Normal 6 10 24" xfId="14318" xr:uid="{E7D02CAC-A9F6-47A7-B69C-27B92516F567}"/>
    <cellStyle name="Normal 6 10 25" xfId="14319" xr:uid="{68F1456D-64CC-4078-B38A-C6DDFF79F14E}"/>
    <cellStyle name="Normal 6 10 26" xfId="14320" xr:uid="{CE7022CD-9E19-44AE-A794-A1FDF74D5E7D}"/>
    <cellStyle name="Normal 6 10 27" xfId="14321" xr:uid="{56A49FAD-EF87-4A54-9240-66395C7C0FD7}"/>
    <cellStyle name="Normal 6 10 28" xfId="14322" xr:uid="{C3CD307E-E183-4C38-AFF9-974C5F59B938}"/>
    <cellStyle name="Normal 6 10 29" xfId="14323" xr:uid="{ACFDF226-65F8-4DB1-A21B-BC6DF0D6DD2A}"/>
    <cellStyle name="Normal 6 10 3" xfId="14324" xr:uid="{E4361A55-E993-431B-9054-C860C6E247D6}"/>
    <cellStyle name="Normal 6 10 3 10" xfId="14325" xr:uid="{FCE3CFF6-AC93-4396-A885-76A8E69F7E1C}"/>
    <cellStyle name="Normal 6 10 3 11" xfId="14326" xr:uid="{6971D64A-F45C-48C5-B010-48D0E6A89B9F}"/>
    <cellStyle name="Normal 6 10 3 12" xfId="14327" xr:uid="{F1AF8C22-5E67-4689-BDB8-5ECB06BBDC1F}"/>
    <cellStyle name="Normal 6 10 3 13" xfId="14328" xr:uid="{60FCF9E2-38A8-41CB-961D-0C35E85D86BB}"/>
    <cellStyle name="Normal 6 10 3 14" xfId="14329" xr:uid="{97DD1BC7-0B83-4A9F-AF9D-C9F290FB612D}"/>
    <cellStyle name="Normal 6 10 3 15" xfId="14330" xr:uid="{C770A947-6BF7-4238-B10C-1F6F4A8F73FF}"/>
    <cellStyle name="Normal 6 10 3 16" xfId="14331" xr:uid="{EE34E691-ACD0-486E-A611-F6B48D80280A}"/>
    <cellStyle name="Normal 6 10 3 17" xfId="14332" xr:uid="{66E56031-8A14-43EA-83B7-183642BDFC03}"/>
    <cellStyle name="Normal 6 10 3 18" xfId="14333" xr:uid="{C61B81D9-9450-4190-89E6-BC95AD70D22C}"/>
    <cellStyle name="Normal 6 10 3 19" xfId="14334" xr:uid="{4F57989E-F1D6-441D-9505-6B9857A9C3AD}"/>
    <cellStyle name="Normal 6 10 3 2" xfId="14335" xr:uid="{2DF0ACE5-CED3-437F-8B89-70367B12C139}"/>
    <cellStyle name="Normal 6 10 3 2 10" xfId="14336" xr:uid="{E52901B1-75F8-41B9-A87A-BC1F984EFB57}"/>
    <cellStyle name="Normal 6 10 3 2 11" xfId="14337" xr:uid="{492800B0-1F9D-4AC7-9A86-E703E627903D}"/>
    <cellStyle name="Normal 6 10 3 2 12" xfId="14338" xr:uid="{5C696C4E-4F31-433D-BEDE-0E4C7E3BC024}"/>
    <cellStyle name="Normal 6 10 3 2 13" xfId="14339" xr:uid="{7E248746-4489-418E-94DA-AAD892E634EA}"/>
    <cellStyle name="Normal 6 10 3 2 14" xfId="14340" xr:uid="{84E1156A-C890-445A-82F7-F135E84518E3}"/>
    <cellStyle name="Normal 6 10 3 2 15" xfId="14341" xr:uid="{90E33A5C-1191-45F1-B68C-09428E850B5E}"/>
    <cellStyle name="Normal 6 10 3 2 16" xfId="14342" xr:uid="{C25FB20E-0C6A-48A8-8EB9-2A9BC95C26A6}"/>
    <cellStyle name="Normal 6 10 3 2 17" xfId="14343" xr:uid="{E5B0C586-EE1B-4D02-912A-DE9169CF02F9}"/>
    <cellStyle name="Normal 6 10 3 2 18" xfId="14344" xr:uid="{117CF74A-8CC3-4F3F-AF00-200EEE44ECAE}"/>
    <cellStyle name="Normal 6 10 3 2 19" xfId="14345" xr:uid="{6559B2AB-2F94-4ECE-AB55-423771AC3000}"/>
    <cellStyle name="Normal 6 10 3 2 2" xfId="14346" xr:uid="{C01D9609-6EEB-4C82-A604-1FE8E36BA4FD}"/>
    <cellStyle name="Normal 6 10 3 2 20" xfId="14347" xr:uid="{E5128875-1332-4114-AB95-F35D5A997D36}"/>
    <cellStyle name="Normal 6 10 3 2 21" xfId="14348" xr:uid="{5A899C5B-A6C8-42EB-A6BA-C855B1FC09B8}"/>
    <cellStyle name="Normal 6 10 3 2 22" xfId="14349" xr:uid="{91A423D3-0CFD-427E-93D1-B28147376C01}"/>
    <cellStyle name="Normal 6 10 3 2 23" xfId="14350" xr:uid="{58800716-95D9-4678-80B4-A79A32515A69}"/>
    <cellStyle name="Normal 6 10 3 2 24" xfId="14351" xr:uid="{A945CD37-43A9-4E29-86E1-030944BFC0A1}"/>
    <cellStyle name="Normal 6 10 3 2 25" xfId="14352" xr:uid="{DB18CAE1-86CA-4ABE-A498-0655FEB1E79B}"/>
    <cellStyle name="Normal 6 10 3 2 26" xfId="14353" xr:uid="{399CD4DD-052E-48C1-BF6F-1D1E1AB26DB6}"/>
    <cellStyle name="Normal 6 10 3 2 27" xfId="14354" xr:uid="{E1FA9FA7-3D81-487D-90EA-51B756741B30}"/>
    <cellStyle name="Normal 6 10 3 2 28" xfId="14355" xr:uid="{F318DCE1-9939-4799-9AE3-4903B299DDAD}"/>
    <cellStyle name="Normal 6 10 3 2 29" xfId="14356" xr:uid="{964BA544-6FAD-42A4-81C3-717E076B08A7}"/>
    <cellStyle name="Normal 6 10 3 2 3" xfId="14357" xr:uid="{7BA4CD39-CEF6-4236-BF04-A4E0F2FE83B9}"/>
    <cellStyle name="Normal 6 10 3 2 30" xfId="14358" xr:uid="{C0587F6C-E673-41BA-94FC-133FADBECB47}"/>
    <cellStyle name="Normal 6 10 3 2 31" xfId="14359" xr:uid="{8F74D4BC-EE8A-4570-BE1D-D01FA370F667}"/>
    <cellStyle name="Normal 6 10 3 2 32" xfId="14360" xr:uid="{8ACDA03C-F369-46BF-89FE-0D87335CD853}"/>
    <cellStyle name="Normal 6 10 3 2 33" xfId="14361" xr:uid="{D874998A-B8FA-44B6-8EC9-FBAD6F34EA9A}"/>
    <cellStyle name="Normal 6 10 3 2 34" xfId="14362" xr:uid="{F0A57ECA-E8C3-438E-BD68-7ED155F00927}"/>
    <cellStyle name="Normal 6 10 3 2 35" xfId="14363" xr:uid="{EA45DB07-B87E-463D-9A84-B6E437BCDCD0}"/>
    <cellStyle name="Normal 6 10 3 2 36" xfId="14364" xr:uid="{F5AFBD6E-0BAC-4ACD-B1E3-3539F8E57973}"/>
    <cellStyle name="Normal 6 10 3 2 37" xfId="14365" xr:uid="{9034BFD4-4366-4BAA-A107-9847117AD42E}"/>
    <cellStyle name="Normal 6 10 3 2 38" xfId="14366" xr:uid="{BC1EE776-2B0F-4920-90B5-9B01D833D026}"/>
    <cellStyle name="Normal 6 10 3 2 4" xfId="14367" xr:uid="{892825B4-815D-46E6-A190-EF9DBE6437C1}"/>
    <cellStyle name="Normal 6 10 3 2 5" xfId="14368" xr:uid="{058CD8E4-F5E3-4F88-AA8B-17C23771A784}"/>
    <cellStyle name="Normal 6 10 3 2 6" xfId="14369" xr:uid="{5950CE37-B0AF-400D-8572-23ADD03B2B95}"/>
    <cellStyle name="Normal 6 10 3 2 7" xfId="14370" xr:uid="{6D187289-6017-46EC-A773-5898CA1D7DCE}"/>
    <cellStyle name="Normal 6 10 3 2 8" xfId="14371" xr:uid="{31838683-F82B-4DB1-9BAA-8A8AE965F9D1}"/>
    <cellStyle name="Normal 6 10 3 2 9" xfId="14372" xr:uid="{5E35CECF-E92A-4923-8017-1E575893A424}"/>
    <cellStyle name="Normal 6 10 3 20" xfId="14373" xr:uid="{A072503C-D9E4-4DA0-9DE2-FF8EC1B54F8F}"/>
    <cellStyle name="Normal 6 10 3 21" xfId="14374" xr:uid="{8CD03DA4-AA6A-4561-987C-696F41D4CC83}"/>
    <cellStyle name="Normal 6 10 3 22" xfId="14375" xr:uid="{9CBE35E2-F119-46F3-A1E0-C897939EE2C3}"/>
    <cellStyle name="Normal 6 10 3 23" xfId="14376" xr:uid="{D82DAC60-0CF3-4C5C-8EBA-F55CCB63B58E}"/>
    <cellStyle name="Normal 6 10 3 24" xfId="14377" xr:uid="{2D7A97A9-910A-41E5-8F72-98D6BA0DA1A8}"/>
    <cellStyle name="Normal 6 10 3 25" xfId="14378" xr:uid="{CA6196C3-BDBB-4CE9-83E3-A68654E3E078}"/>
    <cellStyle name="Normal 6 10 3 26" xfId="14379" xr:uid="{3EB46B89-E03A-41A0-BDFE-79D2B31553FA}"/>
    <cellStyle name="Normal 6 10 3 27" xfId="14380" xr:uid="{6F12431F-28B7-47C5-A8DC-6ABF81B059D8}"/>
    <cellStyle name="Normal 6 10 3 28" xfId="14381" xr:uid="{F66A40B4-06DC-4A14-895B-206AA81791E9}"/>
    <cellStyle name="Normal 6 10 3 29" xfId="14382" xr:uid="{9861B4CB-7D53-4A56-A882-C98C30AC6BE3}"/>
    <cellStyle name="Normal 6 10 3 3" xfId="14383" xr:uid="{40843876-C79E-4B0E-944D-269A670D9D6F}"/>
    <cellStyle name="Normal 6 10 3 30" xfId="14384" xr:uid="{745A2FFF-FA98-4C5A-B6E8-F5FCBB965091}"/>
    <cellStyle name="Normal 6 10 3 31" xfId="14385" xr:uid="{7B1E7C3F-9494-4512-A2BA-2F1A8A0CDB2F}"/>
    <cellStyle name="Normal 6 10 3 32" xfId="14386" xr:uid="{39BA1905-95FE-4965-B7C5-7275BC90C3C5}"/>
    <cellStyle name="Normal 6 10 3 33" xfId="14387" xr:uid="{C0CCB28C-58C1-4F1F-A630-768828953BD5}"/>
    <cellStyle name="Normal 6 10 3 34" xfId="14388" xr:uid="{9C9644DC-A3FE-4C66-982B-4C70DD532D3C}"/>
    <cellStyle name="Normal 6 10 3 35" xfId="14389" xr:uid="{750446C8-4DED-47B6-AF24-F69A36C09049}"/>
    <cellStyle name="Normal 6 10 3 36" xfId="14390" xr:uid="{B2EBA702-8853-477B-88B3-FD8545107B83}"/>
    <cellStyle name="Normal 6 10 3 37" xfId="14391" xr:uid="{99ADDA22-C039-44FB-B1CA-236EC27CA667}"/>
    <cellStyle name="Normal 6 10 3 38" xfId="14392" xr:uid="{9C628D44-7EFE-4112-BEC3-98D6BE50320B}"/>
    <cellStyle name="Normal 6 10 3 4" xfId="14393" xr:uid="{8E90F762-27EF-4A81-8365-6ADC75D07EF2}"/>
    <cellStyle name="Normal 6 10 3 5" xfId="14394" xr:uid="{F65E6530-AB28-4E0C-AB03-34B8835F81C7}"/>
    <cellStyle name="Normal 6 10 3 6" xfId="14395" xr:uid="{7466E338-CA89-495F-AC3C-BF1E26D549A3}"/>
    <cellStyle name="Normal 6 10 3 7" xfId="14396" xr:uid="{F23EB69E-F2A6-49BD-BE0E-F47E91D70AA1}"/>
    <cellStyle name="Normal 6 10 3 8" xfId="14397" xr:uid="{0C57F59C-D546-428B-AC31-96CF762113FC}"/>
    <cellStyle name="Normal 6 10 3 9" xfId="14398" xr:uid="{ED74E31C-3397-49BE-8138-4EFB5521B9F0}"/>
    <cellStyle name="Normal 6 10 30" xfId="14399" xr:uid="{F9FAC5F2-8100-4731-878D-A153546207F9}"/>
    <cellStyle name="Normal 6 10 31" xfId="14400" xr:uid="{9C9CE8A4-0671-46FE-8E5B-386CC7B86A20}"/>
    <cellStyle name="Normal 6 10 32" xfId="14401" xr:uid="{6A4CEFC8-1047-4E36-95BC-2CB1E131FEEA}"/>
    <cellStyle name="Normal 6 10 33" xfId="14402" xr:uid="{17689284-7C89-4EB4-8F7E-37880969A0D4}"/>
    <cellStyle name="Normal 6 10 34" xfId="14403" xr:uid="{36589256-D13C-4905-83A7-41FABA4A6BC0}"/>
    <cellStyle name="Normal 6 10 35" xfId="14404" xr:uid="{358E87CE-6E58-443B-B043-681E63C97A16}"/>
    <cellStyle name="Normal 6 10 36" xfId="14405" xr:uid="{0C108241-2651-4C7A-B9FC-396439BE26F4}"/>
    <cellStyle name="Normal 6 10 37" xfId="14406" xr:uid="{34525D64-B57B-45EA-B840-0F6F252C6BDB}"/>
    <cellStyle name="Normal 6 10 38" xfId="14407" xr:uid="{DC1F9947-C44E-4A93-9A31-9B21BEB2568C}"/>
    <cellStyle name="Normal 6 10 39" xfId="14408" xr:uid="{76957163-5E90-4FBF-A47F-19A9C6596931}"/>
    <cellStyle name="Normal 6 10 4" xfId="14409" xr:uid="{4286C2CC-7F03-445F-A46E-281410DA22B7}"/>
    <cellStyle name="Normal 6 10 40" xfId="14410" xr:uid="{F2FEEA2D-C605-4D4C-8983-DB19F07C7C18}"/>
    <cellStyle name="Normal 6 10 5" xfId="14411" xr:uid="{34AC43E7-E1E7-4F52-B70F-DBE767638F37}"/>
    <cellStyle name="Normal 6 10 6" xfId="14412" xr:uid="{02464D50-8FD3-4D6E-B8FD-400B8C7BD4E6}"/>
    <cellStyle name="Normal 6 10 7" xfId="14413" xr:uid="{71CA7234-B110-4652-A420-4ED6FAD6CBFE}"/>
    <cellStyle name="Normal 6 10 8" xfId="14414" xr:uid="{C751B2E9-3752-4600-BAEA-B0B40C5FF784}"/>
    <cellStyle name="Normal 6 10 9" xfId="14415" xr:uid="{40542CFB-EB72-461B-90D1-98DD6AE9E451}"/>
    <cellStyle name="Normal 6 11" xfId="14416" xr:uid="{463E2164-C6E2-4865-A130-A116023F5D85}"/>
    <cellStyle name="Normal 6 12" xfId="14417" xr:uid="{7EE37C37-DC6B-4CAD-B3F3-F259268388E0}"/>
    <cellStyle name="Normal 6 13" xfId="14418" xr:uid="{7F823189-26DC-4C31-9EB5-FA5E4ED74E51}"/>
    <cellStyle name="Normal 6 14" xfId="14419" xr:uid="{27E9D392-346B-427C-AF7E-F9D894913E9D}"/>
    <cellStyle name="Normal 6 15" xfId="14420" xr:uid="{204B9C91-C527-497B-9964-F47B9D5DC398}"/>
    <cellStyle name="Normal 6 16" xfId="14421" xr:uid="{13F03098-FCBB-4411-86BC-A48DD68DA264}"/>
    <cellStyle name="Normal 6 17" xfId="14422" xr:uid="{4822072F-B1AF-4B7B-97D9-F0C33021AF9F}"/>
    <cellStyle name="Normal 6 18" xfId="14423" xr:uid="{7F79D93D-1C2C-47FA-B386-5A5901EB39F6}"/>
    <cellStyle name="Normal 6 19" xfId="14424" xr:uid="{3E3D5588-7104-4603-B4EB-E594579C5F42}"/>
    <cellStyle name="Normal 6 2" xfId="14425" xr:uid="{32D32A7F-9C96-4F86-9AFB-623AB2B53EAC}"/>
    <cellStyle name="Normal 6 20" xfId="14426" xr:uid="{F2562A49-169E-4C11-B7EE-7499AC36012C}"/>
    <cellStyle name="Normal 6 21" xfId="14427" xr:uid="{08ABF7D4-948D-4694-9B56-F35F3060D066}"/>
    <cellStyle name="Normal 6 22" xfId="14428" xr:uid="{0F97275E-86B5-4C65-BC86-9302CBBE4254}"/>
    <cellStyle name="Normal 6 23" xfId="14429" xr:uid="{A2FDEDF8-1BB9-4678-85E1-FA8B41EF94BA}"/>
    <cellStyle name="Normal 6 24" xfId="14430" xr:uid="{8D5EE56F-EA9B-4E82-8A3B-622866E0FB18}"/>
    <cellStyle name="Normal 6 25" xfId="14431" xr:uid="{16D3AA3E-DB54-4241-9609-112C996082E9}"/>
    <cellStyle name="Normal 6 26" xfId="14432" xr:uid="{C24B1DC7-4798-4F43-A44A-C7D191307ABA}"/>
    <cellStyle name="Normal 6 27" xfId="14433" xr:uid="{EB8CE3E6-47E4-4D4F-A2CD-794F4B7036E8}"/>
    <cellStyle name="Normal 6 28" xfId="14434" xr:uid="{09D57AE8-F839-4CF4-BDA9-5C322CADA524}"/>
    <cellStyle name="Normal 6 29" xfId="14435" xr:uid="{7368756C-4532-401F-B5B4-DD667312190E}"/>
    <cellStyle name="Normal 6 3" xfId="14436" xr:uid="{5ADE3A15-E78C-4347-8304-42E539357FA6}"/>
    <cellStyle name="Normal 6 30" xfId="14437" xr:uid="{B853CE30-8927-4957-A29D-8AA012E14781}"/>
    <cellStyle name="Normal 6 31" xfId="14438" xr:uid="{2EFDE715-8B82-4D72-B217-AC15602AEED9}"/>
    <cellStyle name="Normal 6 32" xfId="14439" xr:uid="{B1C89BC3-1965-4349-8033-89196F998540}"/>
    <cellStyle name="Normal 6 33" xfId="14440" xr:uid="{B579CE94-1ABF-4030-A809-5EE65665C96F}"/>
    <cellStyle name="Normal 6 34" xfId="14441" xr:uid="{08E48865-8575-497A-B443-7168277D1F51}"/>
    <cellStyle name="Normal 6 35" xfId="14442" xr:uid="{1DF023E9-B802-48B2-A20D-7756869268FC}"/>
    <cellStyle name="Normal 6 36" xfId="14443" xr:uid="{CF59F4CA-3F37-4A47-B53D-CC5F391099CB}"/>
    <cellStyle name="Normal 6 37" xfId="14444" xr:uid="{6FAA8409-76ED-458D-A47F-CFAA37ADB780}"/>
    <cellStyle name="Normal 6 38" xfId="14445" xr:uid="{AF31219E-6796-4E31-9D3F-70B2EB7B0D98}"/>
    <cellStyle name="Normal 6 39" xfId="14446" xr:uid="{B3694875-C116-420D-9223-545D8EB892E7}"/>
    <cellStyle name="Normal 6 4" xfId="14447" xr:uid="{240CEB77-307F-4925-8DE3-0E469917A87B}"/>
    <cellStyle name="Normal 6 40" xfId="14448" xr:uid="{A1149907-CCF5-44B3-8108-5DDEFAFAF6BA}"/>
    <cellStyle name="Normal 6 41" xfId="14449" xr:uid="{FB6EF9C2-5A1B-4688-8DAB-AE3FAD3BF126}"/>
    <cellStyle name="Normal 6 42" xfId="14450" xr:uid="{909BD117-6DCE-45FF-8809-1DEE818D3550}"/>
    <cellStyle name="Normal 6 43" xfId="14451" xr:uid="{821D1696-6872-4B3B-9A31-FC2FEF82059D}"/>
    <cellStyle name="Normal 6 44" xfId="14452" xr:uid="{39AF5E78-F093-4F40-B676-DD65294A3957}"/>
    <cellStyle name="Normal 6 45" xfId="14453" xr:uid="{3683D1C1-E6E3-403E-A30E-DA4C96785B01}"/>
    <cellStyle name="Normal 6 46" xfId="14454" xr:uid="{1933061F-E585-49FA-812A-12A92208965F}"/>
    <cellStyle name="Normal 6 47" xfId="14455" xr:uid="{5EB4860E-79EB-468F-A7E0-9616F1B2DF9F}"/>
    <cellStyle name="Normal 6 48" xfId="14456" xr:uid="{107C6F31-2C8E-4EC8-BD79-EFF37CF01109}"/>
    <cellStyle name="Normal 6 49" xfId="14457" xr:uid="{8B741AB9-1EC6-4B1D-9F8F-E4EA4A0D1B2A}"/>
    <cellStyle name="Normal 6 5" xfId="14458" xr:uid="{EEEE7B86-6CA1-4ACB-A427-50F21182FE70}"/>
    <cellStyle name="Normal 6 50" xfId="14459" xr:uid="{2A2A7F6D-0077-4089-A765-E5C1D367DED8}"/>
    <cellStyle name="Normal 6 51" xfId="14460" xr:uid="{12C059C8-4E32-4E92-BAE3-235FDFD7805C}"/>
    <cellStyle name="Normal 6 52" xfId="14461" xr:uid="{0374939E-F747-404E-8990-30BD2656A1F6}"/>
    <cellStyle name="Normal 6 53" xfId="14462" xr:uid="{84FAB52D-287D-461C-AB12-EAA4D61CF26B}"/>
    <cellStyle name="Normal 6 54" xfId="14463" xr:uid="{643A910C-0A14-4F00-BC8B-D93DC857F647}"/>
    <cellStyle name="Normal 6 55" xfId="14464" xr:uid="{698EFE9A-A349-4556-B035-F94F98C5C3A0}"/>
    <cellStyle name="Normal 6 56" xfId="14465" xr:uid="{F079EF2C-CD59-475A-BDA8-9C531B907B46}"/>
    <cellStyle name="Normal 6 57" xfId="14466" xr:uid="{322174CD-35CB-445A-9D11-4337115F52F6}"/>
    <cellStyle name="Normal 6 58" xfId="14467" xr:uid="{2552F461-8651-4CDF-AB94-CD7D3CF94EDC}"/>
    <cellStyle name="Normal 6 59" xfId="14468" xr:uid="{153B5A0C-DB47-4E43-88A4-14B3C8FA0203}"/>
    <cellStyle name="Normal 6 6" xfId="14469" xr:uid="{90A36CB2-4D65-4B1A-ABDB-09B5DB8D9923}"/>
    <cellStyle name="Normal 6 60" xfId="14470" xr:uid="{6F8F926F-10E8-495B-9571-09D9ECF614CE}"/>
    <cellStyle name="Normal 6 61" xfId="14471" xr:uid="{973AB929-C4A7-4A64-B103-AD3A1E1D5245}"/>
    <cellStyle name="Normal 6 62" xfId="14472" xr:uid="{0C6E597D-50C5-4F70-AB8A-35446C0F766B}"/>
    <cellStyle name="Normal 6 63" xfId="14188" xr:uid="{474701D1-A5FA-4059-89F0-71F377CB0696}"/>
    <cellStyle name="Normal 6 7" xfId="14473" xr:uid="{D0880676-48BF-4EB8-9A2B-1288E89B0448}"/>
    <cellStyle name="Normal 6 8" xfId="14474" xr:uid="{FCCC2142-33DF-4BD2-B0B7-FF41C93EF094}"/>
    <cellStyle name="Normal 6 9" xfId="14475" xr:uid="{D360F01C-9B4D-4482-89C1-76E12B7C3131}"/>
    <cellStyle name="Normal 7" xfId="56" xr:uid="{4B7EA47D-E87C-4137-AD17-1D15A7AFA45D}"/>
    <cellStyle name="Normal 7 2" xfId="14477" xr:uid="{1F498682-4098-4105-AB1E-FC74C5F5812C}"/>
    <cellStyle name="Normal 7 2 10" xfId="14478" xr:uid="{5AC40489-9C66-45B1-9DD5-4FBC9B8BB739}"/>
    <cellStyle name="Normal 7 2 11" xfId="14479" xr:uid="{BD1ED00C-AF55-477B-AFA8-2DBAA6E8CAA8}"/>
    <cellStyle name="Normal 7 2 12" xfId="14480" xr:uid="{72727A65-CED4-4EEB-9C1A-F2A0A3535CE1}"/>
    <cellStyle name="Normal 7 2 13" xfId="14481" xr:uid="{3E290CB6-E537-44DF-9F00-C0F68B06854C}"/>
    <cellStyle name="Normal 7 2 14" xfId="14482" xr:uid="{459C67D6-91A0-42C9-ABC8-86254F0FE553}"/>
    <cellStyle name="Normal 7 2 15" xfId="14483" xr:uid="{70F8531C-6413-45A5-8944-817F31A09670}"/>
    <cellStyle name="Normal 7 2 16" xfId="14484" xr:uid="{7EEE7E9A-012D-4FAB-8357-A6053D1B30E3}"/>
    <cellStyle name="Normal 7 2 17" xfId="14485" xr:uid="{20A24112-9B9F-4C16-8CE9-A8F010E296E8}"/>
    <cellStyle name="Normal 7 2 18" xfId="14486" xr:uid="{127BFAA3-410C-4174-B86A-B875D6C5076C}"/>
    <cellStyle name="Normal 7 2 19" xfId="14487" xr:uid="{51E624CD-1D0F-4C5D-841A-4ED59D2CE94F}"/>
    <cellStyle name="Normal 7 2 2" xfId="14488" xr:uid="{2ECEDF33-58B8-4E78-92A2-01A5D088F766}"/>
    <cellStyle name="Normal 7 2 2 10" xfId="14489" xr:uid="{65D54828-50A0-4D13-91CA-7E80CE9E2524}"/>
    <cellStyle name="Normal 7 2 2 11" xfId="14490" xr:uid="{BE555932-13DB-4156-ADB4-0CAB6FE22D3F}"/>
    <cellStyle name="Normal 7 2 2 12" xfId="14491" xr:uid="{34D75258-8439-4B6E-8729-18B73C3C0401}"/>
    <cellStyle name="Normal 7 2 2 13" xfId="14492" xr:uid="{2BAF36B3-B20C-4CF8-9987-65471B3833F3}"/>
    <cellStyle name="Normal 7 2 2 14" xfId="14493" xr:uid="{75BD777B-6D58-455A-81C6-C2E3EF21E593}"/>
    <cellStyle name="Normal 7 2 2 15" xfId="14494" xr:uid="{163DC40E-E892-4B98-90FA-AE23DCA95AC1}"/>
    <cellStyle name="Normal 7 2 2 16" xfId="14495" xr:uid="{0426B556-A43E-4A8A-9C89-33B0676653FB}"/>
    <cellStyle name="Normal 7 2 2 17" xfId="14496" xr:uid="{247A2528-1BD6-4368-9059-71A76256C1D1}"/>
    <cellStyle name="Normal 7 2 2 18" xfId="14497" xr:uid="{7A83312F-6D88-4A83-9932-8BA4247E80BE}"/>
    <cellStyle name="Normal 7 2 2 19" xfId="14498" xr:uid="{8D594188-FA62-45F0-A3C3-54992A7E96A1}"/>
    <cellStyle name="Normal 7 2 2 2" xfId="14499" xr:uid="{5A0EA851-F903-406D-9A07-E8040F8F5D90}"/>
    <cellStyle name="Normal 7 2 2 2 10" xfId="14500" xr:uid="{E9A920AC-90AB-4E0A-8B30-43455D951134}"/>
    <cellStyle name="Normal 7 2 2 2 11" xfId="14501" xr:uid="{E08E20DB-5BEB-4BE8-B0E1-E25E550F47B6}"/>
    <cellStyle name="Normal 7 2 2 2 12" xfId="14502" xr:uid="{4FD8ECBC-F413-40E8-A745-AACD0E986ED6}"/>
    <cellStyle name="Normal 7 2 2 2 13" xfId="14503" xr:uid="{0062B3C6-75DC-4D63-B72D-57F603DEAFDD}"/>
    <cellStyle name="Normal 7 2 2 2 14" xfId="14504" xr:uid="{22652EC9-D3B0-4FE9-9DD9-C272E8BC4F33}"/>
    <cellStyle name="Normal 7 2 2 2 15" xfId="14505" xr:uid="{C83CE9E0-C1BA-45DD-B814-076AC799D390}"/>
    <cellStyle name="Normal 7 2 2 2 16" xfId="14506" xr:uid="{1CA4BC64-BCFD-4AC9-ADAD-C88BC7586642}"/>
    <cellStyle name="Normal 7 2 2 2 17" xfId="14507" xr:uid="{6B755B75-BCA5-4162-A195-195B04422347}"/>
    <cellStyle name="Normal 7 2 2 2 18" xfId="14508" xr:uid="{A7AAFC37-0BB6-446E-94B9-DEDF389D18DC}"/>
    <cellStyle name="Normal 7 2 2 2 19" xfId="14509" xr:uid="{1CEA373E-9D60-4384-9769-7CCB4C52B08B}"/>
    <cellStyle name="Normal 7 2 2 2 2" xfId="14510" xr:uid="{9CE9C4DE-6CBD-4411-AAF3-0D9FA235C04D}"/>
    <cellStyle name="Normal 7 2 2 2 2 10" xfId="14511" xr:uid="{E3593A17-8FBE-41CD-905C-4DF96B522BAA}"/>
    <cellStyle name="Normal 7 2 2 2 2 11" xfId="14512" xr:uid="{7A7377E5-7FB6-4AB8-A1AD-FD154BEDD1AA}"/>
    <cellStyle name="Normal 7 2 2 2 2 12" xfId="14513" xr:uid="{A463BD56-02AE-43FF-8AED-220FCAAE70B9}"/>
    <cellStyle name="Normal 7 2 2 2 2 13" xfId="14514" xr:uid="{B02A0BEC-690F-41DA-9452-2AFBAF32F4B6}"/>
    <cellStyle name="Normal 7 2 2 2 2 14" xfId="14515" xr:uid="{EDBABA1E-8335-4D47-90A5-032F8776D73F}"/>
    <cellStyle name="Normal 7 2 2 2 2 15" xfId="14516" xr:uid="{EE58771F-7D5B-44FD-BE4D-FAC0F71BB193}"/>
    <cellStyle name="Normal 7 2 2 2 2 16" xfId="14517" xr:uid="{45681305-50B8-4B0A-8764-374FB2EEC9E2}"/>
    <cellStyle name="Normal 7 2 2 2 2 17" xfId="14518" xr:uid="{D500B31D-5FDF-4032-82B4-8FEC3BD74155}"/>
    <cellStyle name="Normal 7 2 2 2 2 18" xfId="14519" xr:uid="{3DB6F492-6AFB-485E-B46B-76423EEA2624}"/>
    <cellStyle name="Normal 7 2 2 2 2 19" xfId="14520" xr:uid="{3B31F7A1-04A1-40A2-B663-8A131BE49E7F}"/>
    <cellStyle name="Normal 7 2 2 2 2 2" xfId="14521" xr:uid="{1108E28A-F72E-4314-9E0E-7C07B678CD7E}"/>
    <cellStyle name="Normal 7 2 2 2 2 20" xfId="14522" xr:uid="{8969F1F9-D739-48CA-94D8-9FAEFC7FE17F}"/>
    <cellStyle name="Normal 7 2 2 2 2 21" xfId="14523" xr:uid="{3A405E6D-F3E1-4688-A22A-65DD584DE518}"/>
    <cellStyle name="Normal 7 2 2 2 2 22" xfId="14524" xr:uid="{E775D773-0A9C-45DE-A9AE-880D6DBA73EB}"/>
    <cellStyle name="Normal 7 2 2 2 2 23" xfId="14525" xr:uid="{7189EE37-C22C-4DD4-9793-BB75B2954C54}"/>
    <cellStyle name="Normal 7 2 2 2 2 24" xfId="14526" xr:uid="{A6A60AC2-496E-49BB-9F6C-687FF5B1586A}"/>
    <cellStyle name="Normal 7 2 2 2 2 25" xfId="14527" xr:uid="{39395708-95FA-4C34-A35C-D5452FF3474B}"/>
    <cellStyle name="Normal 7 2 2 2 2 26" xfId="14528" xr:uid="{BC49C152-1974-4BED-A542-B0B8B5D08D67}"/>
    <cellStyle name="Normal 7 2 2 2 2 27" xfId="14529" xr:uid="{EE89F7CA-6D3A-4347-9E71-81E1C0E3DDEB}"/>
    <cellStyle name="Normal 7 2 2 2 2 28" xfId="14530" xr:uid="{709B4AE9-23DA-441E-AEF4-BF53E641B048}"/>
    <cellStyle name="Normal 7 2 2 2 2 29" xfId="14531" xr:uid="{AA32D114-D9AD-4115-BF2B-0B4DBEA78B1C}"/>
    <cellStyle name="Normal 7 2 2 2 2 3" xfId="14532" xr:uid="{0F9F395C-803A-4F21-96C0-96FB99A8E146}"/>
    <cellStyle name="Normal 7 2 2 2 2 30" xfId="14533" xr:uid="{70E77981-71D2-4B4E-A8E6-289C0FFFA10D}"/>
    <cellStyle name="Normal 7 2 2 2 2 31" xfId="14534" xr:uid="{00D5659B-9FB7-4224-97DF-1BB6C854E9DB}"/>
    <cellStyle name="Normal 7 2 2 2 2 32" xfId="14535" xr:uid="{C7C0CF08-A172-44BC-A5A4-85E91036D2BF}"/>
    <cellStyle name="Normal 7 2 2 2 2 33" xfId="14536" xr:uid="{DBB8D5BC-2230-43CC-BA68-DF72C4F8F185}"/>
    <cellStyle name="Normal 7 2 2 2 2 34" xfId="14537" xr:uid="{959C0CA7-6C2F-489C-85D6-657AD7637573}"/>
    <cellStyle name="Normal 7 2 2 2 2 35" xfId="14538" xr:uid="{F36DAFC0-21D5-488B-8FF7-E1BED4E157A6}"/>
    <cellStyle name="Normal 7 2 2 2 2 36" xfId="14539" xr:uid="{99BE9CF0-46E3-4585-86E1-F53B5146552D}"/>
    <cellStyle name="Normal 7 2 2 2 2 37" xfId="14540" xr:uid="{3ED9EB6B-E84A-404C-AF26-2D9E1270E9F4}"/>
    <cellStyle name="Normal 7 2 2 2 2 38" xfId="14541" xr:uid="{EDA77C1F-5741-4531-B47E-E08F0C59AB32}"/>
    <cellStyle name="Normal 7 2 2 2 2 4" xfId="14542" xr:uid="{52863C77-AD8F-4FBD-BB17-3448D33B1273}"/>
    <cellStyle name="Normal 7 2 2 2 2 5" xfId="14543" xr:uid="{F5C03F9D-D3F7-4FAF-8FF3-62068728EF66}"/>
    <cellStyle name="Normal 7 2 2 2 2 6" xfId="14544" xr:uid="{E49BD664-6CD2-4F28-BDFB-0EF159463E37}"/>
    <cellStyle name="Normal 7 2 2 2 2 7" xfId="14545" xr:uid="{535812D2-062C-43C1-AE1B-0D5A8E8FB081}"/>
    <cellStyle name="Normal 7 2 2 2 2 8" xfId="14546" xr:uid="{F77841F7-0D86-44B5-BC44-2591A6CF7E10}"/>
    <cellStyle name="Normal 7 2 2 2 2 9" xfId="14547" xr:uid="{2AF23D5D-0E5D-443D-8BB7-B1913E17CA6E}"/>
    <cellStyle name="Normal 7 2 2 2 20" xfId="14548" xr:uid="{0D64783C-77D3-4FF7-B011-4734B7F14B62}"/>
    <cellStyle name="Normal 7 2 2 2 21" xfId="14549" xr:uid="{0647558B-60B1-41D4-BFD9-2A0A073E03E3}"/>
    <cellStyle name="Normal 7 2 2 2 22" xfId="14550" xr:uid="{ACFD0464-05C2-44DD-9764-AC1171B4A433}"/>
    <cellStyle name="Normal 7 2 2 2 23" xfId="14551" xr:uid="{2A9EDC61-E79F-4A8C-A717-CE4E79FFAA60}"/>
    <cellStyle name="Normal 7 2 2 2 24" xfId="14552" xr:uid="{1D844340-48B9-483B-93B4-D7C0DB8B9894}"/>
    <cellStyle name="Normal 7 2 2 2 25" xfId="14553" xr:uid="{6866A81E-790A-4C6C-B0F4-88A45C20BC0F}"/>
    <cellStyle name="Normal 7 2 2 2 26" xfId="14554" xr:uid="{02D3B114-6215-4999-8347-C98705BE56FB}"/>
    <cellStyle name="Normal 7 2 2 2 27" xfId="14555" xr:uid="{166736EA-1555-49A3-8F4C-EC0063CCED7E}"/>
    <cellStyle name="Normal 7 2 2 2 28" xfId="14556" xr:uid="{202B7AD5-4C3A-489A-A4AC-4E2F8BBC756D}"/>
    <cellStyle name="Normal 7 2 2 2 29" xfId="14557" xr:uid="{5C82C5EA-D15F-4020-B7F5-76EDFC0CF2EA}"/>
    <cellStyle name="Normal 7 2 2 2 3" xfId="14558" xr:uid="{4CDDC112-399B-4328-9817-D8FC4E8D8D78}"/>
    <cellStyle name="Normal 7 2 2 2 30" xfId="14559" xr:uid="{C628E22E-377B-48B4-B683-F33FF2AEE3FF}"/>
    <cellStyle name="Normal 7 2 2 2 31" xfId="14560" xr:uid="{40CD5356-E3DA-4149-AB12-9463A9D15841}"/>
    <cellStyle name="Normal 7 2 2 2 32" xfId="14561" xr:uid="{618BB9EE-7F9B-4AF2-BBA4-65D70BBEA10E}"/>
    <cellStyle name="Normal 7 2 2 2 33" xfId="14562" xr:uid="{642E7A43-B189-456E-90DD-49F0E92F78A5}"/>
    <cellStyle name="Normal 7 2 2 2 34" xfId="14563" xr:uid="{D5D3DCF5-94FF-47D5-8BEB-A79455A48358}"/>
    <cellStyle name="Normal 7 2 2 2 35" xfId="14564" xr:uid="{8BA528DF-32EC-4EB5-8C29-2DFDD8659138}"/>
    <cellStyle name="Normal 7 2 2 2 36" xfId="14565" xr:uid="{758D72F7-62A9-43BE-B04E-839358E683F1}"/>
    <cellStyle name="Normal 7 2 2 2 37" xfId="14566" xr:uid="{5011104F-4838-4C1C-A9F8-81177775949D}"/>
    <cellStyle name="Normal 7 2 2 2 38" xfId="14567" xr:uid="{12E7DE6C-0F6E-478D-9E1B-F928A2D3E461}"/>
    <cellStyle name="Normal 7 2 2 2 4" xfId="14568" xr:uid="{7F2E791F-0905-4D13-8764-E5B59CB68F43}"/>
    <cellStyle name="Normal 7 2 2 2 5" xfId="14569" xr:uid="{5D2C8838-91B2-49F1-9842-EF3769AB5460}"/>
    <cellStyle name="Normal 7 2 2 2 6" xfId="14570" xr:uid="{D12CA548-D7C3-4BAF-B427-56CC5859082C}"/>
    <cellStyle name="Normal 7 2 2 2 7" xfId="14571" xr:uid="{0A6D5573-C411-4F4F-A6B7-542E69B8816E}"/>
    <cellStyle name="Normal 7 2 2 2 8" xfId="14572" xr:uid="{7B1D9AC6-5694-4FD4-B330-180D6FCBEFC0}"/>
    <cellStyle name="Normal 7 2 2 2 9" xfId="14573" xr:uid="{1521CCDE-DAE3-4992-B9B3-A3720106DF85}"/>
    <cellStyle name="Normal 7 2 2 20" xfId="14574" xr:uid="{E06285A6-043D-4EEB-AAEC-779EB7C7221E}"/>
    <cellStyle name="Normal 7 2 2 21" xfId="14575" xr:uid="{D3BD8D94-9625-4C2C-B85E-AFAA22DF4D39}"/>
    <cellStyle name="Normal 7 2 2 22" xfId="14576" xr:uid="{BBE835C9-D217-43FF-B0B3-9EE8FA945E4D}"/>
    <cellStyle name="Normal 7 2 2 23" xfId="14577" xr:uid="{F8C001AE-9366-4CCB-99AE-3333234B86CC}"/>
    <cellStyle name="Normal 7 2 2 24" xfId="14578" xr:uid="{9864F272-18AD-43C0-9AAD-901DAF07B432}"/>
    <cellStyle name="Normal 7 2 2 25" xfId="14579" xr:uid="{AD7CDA74-EEFA-4E6E-8238-43A5A2F78A81}"/>
    <cellStyle name="Normal 7 2 2 26" xfId="14580" xr:uid="{9386FA8B-DD8E-4549-A502-7569D821A541}"/>
    <cellStyle name="Normal 7 2 2 27" xfId="14581" xr:uid="{78941E67-84DF-4826-A0F3-990C09E6D938}"/>
    <cellStyle name="Normal 7 2 2 28" xfId="14582" xr:uid="{8750A6D3-8EA2-45CB-BC69-112F44817106}"/>
    <cellStyle name="Normal 7 2 2 29" xfId="14583" xr:uid="{ED8A306E-A2E4-46DE-BA93-6995023D92E5}"/>
    <cellStyle name="Normal 7 2 2 3" xfId="14584" xr:uid="{1524FEB4-5723-4D98-92D1-6B03E1D6BC62}"/>
    <cellStyle name="Normal 7 2 2 30" xfId="14585" xr:uid="{38C2EE2E-FAB4-46BC-BA03-3206C2A861FF}"/>
    <cellStyle name="Normal 7 2 2 31" xfId="14586" xr:uid="{3BA51DB1-E6E4-4BED-9F10-8484AFDC7A00}"/>
    <cellStyle name="Normal 7 2 2 32" xfId="14587" xr:uid="{2D4DCBEE-59EF-499B-9E96-EAD0DEFED7D4}"/>
    <cellStyle name="Normal 7 2 2 33" xfId="14588" xr:uid="{0519CF1B-5EF9-4EB3-BA73-6045746B1C43}"/>
    <cellStyle name="Normal 7 2 2 34" xfId="14589" xr:uid="{340D1460-55FC-43CB-AD50-08B3977F7DAA}"/>
    <cellStyle name="Normal 7 2 2 35" xfId="14590" xr:uid="{ECF5088D-AE2C-42A0-946F-7795273A520A}"/>
    <cellStyle name="Normal 7 2 2 36" xfId="14591" xr:uid="{CCD88266-4021-4513-A60F-2D2A8A725177}"/>
    <cellStyle name="Normal 7 2 2 37" xfId="14592" xr:uid="{2E5D74A7-7563-47D4-A79E-1D0CABB8232C}"/>
    <cellStyle name="Normal 7 2 2 38" xfId="14593" xr:uid="{5EC09679-B88C-4A76-8B0F-C3C67354BEE2}"/>
    <cellStyle name="Normal 7 2 2 39" xfId="14594" xr:uid="{1C3256A7-1D76-4B84-82E2-5E7A2D9CC7EA}"/>
    <cellStyle name="Normal 7 2 2 4" xfId="14595" xr:uid="{26F5E0D6-A03A-4559-A764-42522E5B94A6}"/>
    <cellStyle name="Normal 7 2 2 40" xfId="14596" xr:uid="{1D83CDCD-5B7B-475A-B599-02837F9BC9EC}"/>
    <cellStyle name="Normal 7 2 2 5" xfId="14597" xr:uid="{A36B3B6C-F02A-4439-B477-2A8A4AB33E6B}"/>
    <cellStyle name="Normal 7 2 2 6" xfId="14598" xr:uid="{7DCA2013-16EA-4630-AFF0-9B99ADC7E1E7}"/>
    <cellStyle name="Normal 7 2 2 7" xfId="14599" xr:uid="{DAFA2696-8D17-4D08-AA5D-07C4BC123F64}"/>
    <cellStyle name="Normal 7 2 2 8" xfId="14600" xr:uid="{87EE64AF-8B2C-4553-B3CB-5A1F135064C3}"/>
    <cellStyle name="Normal 7 2 2 9" xfId="14601" xr:uid="{17F17CDC-1333-4624-8B58-22B45C39A410}"/>
    <cellStyle name="Normal 7 2 20" xfId="14602" xr:uid="{E98A3076-E108-409C-9BDA-93B0681D7354}"/>
    <cellStyle name="Normal 7 2 21" xfId="14603" xr:uid="{1B7C84B2-1580-4F12-B5C0-88E8D2E322F1}"/>
    <cellStyle name="Normal 7 2 22" xfId="14604" xr:uid="{5DF1F0D6-6F76-4455-810D-2B19E1E74D30}"/>
    <cellStyle name="Normal 7 2 23" xfId="14605" xr:uid="{B2E80367-7C91-4C6F-BED6-462A0677EF49}"/>
    <cellStyle name="Normal 7 2 24" xfId="14606" xr:uid="{E28E714E-14E1-4A59-9C70-E4E99B63DE16}"/>
    <cellStyle name="Normal 7 2 25" xfId="14607" xr:uid="{17731AD0-1495-44B4-BDED-48C086C4E321}"/>
    <cellStyle name="Normal 7 2 26" xfId="14608" xr:uid="{FDC510F4-E661-4066-8ADA-96CD23CA729A}"/>
    <cellStyle name="Normal 7 2 27" xfId="14609" xr:uid="{6D7213B5-C4D2-49C1-A1BE-24EF7A7C662A}"/>
    <cellStyle name="Normal 7 2 28" xfId="14610" xr:uid="{4163D22C-C9B2-4D1D-A7A5-CEC5B2F2D9FD}"/>
    <cellStyle name="Normal 7 2 29" xfId="14611" xr:uid="{AFBF095A-0DFC-4949-B36E-0D5FD38AB233}"/>
    <cellStyle name="Normal 7 2 3" xfId="14612" xr:uid="{51214C2D-243B-471E-8076-8A23AA251B1C}"/>
    <cellStyle name="Normal 7 2 3 10" xfId="14613" xr:uid="{88AD0187-AAED-4021-8667-A5160E5F3B64}"/>
    <cellStyle name="Normal 7 2 3 11" xfId="14614" xr:uid="{4B6E8F18-B984-484E-BF7D-6F6DB6DB4468}"/>
    <cellStyle name="Normal 7 2 3 12" xfId="14615" xr:uid="{F6ADB228-C2B9-4105-88D5-90F1626BB560}"/>
    <cellStyle name="Normal 7 2 3 13" xfId="14616" xr:uid="{744BAD12-6C25-497E-ACB1-8A28A0110C85}"/>
    <cellStyle name="Normal 7 2 3 14" xfId="14617" xr:uid="{B197213D-AFE0-4C39-840C-C55CE4BD2662}"/>
    <cellStyle name="Normal 7 2 3 15" xfId="14618" xr:uid="{ECFA9ACC-E663-452B-893B-C613505B7C06}"/>
    <cellStyle name="Normal 7 2 3 16" xfId="14619" xr:uid="{D9BA43ED-EB61-4488-8D17-ED4B045B8999}"/>
    <cellStyle name="Normal 7 2 3 17" xfId="14620" xr:uid="{4375B8D2-24CE-40C7-B6E5-3B27BDC8495C}"/>
    <cellStyle name="Normal 7 2 3 18" xfId="14621" xr:uid="{3E78A88B-9D95-4419-8F4C-E1306233DD7E}"/>
    <cellStyle name="Normal 7 2 3 19" xfId="14622" xr:uid="{55FE7896-28B4-4695-9DD4-5753BAA86090}"/>
    <cellStyle name="Normal 7 2 3 2" xfId="14623" xr:uid="{DD623D9E-799F-4485-B983-5DD1B7D8CC7B}"/>
    <cellStyle name="Normal 7 2 3 2 10" xfId="14624" xr:uid="{C1853412-5CAE-4FC7-AF22-B7465FF5BAD4}"/>
    <cellStyle name="Normal 7 2 3 2 11" xfId="14625" xr:uid="{C3B8A919-59F1-4C25-9A85-F4CFCEF65081}"/>
    <cellStyle name="Normal 7 2 3 2 12" xfId="14626" xr:uid="{BEE5F1D0-7148-4FBF-9FD5-EA64E67AFAA1}"/>
    <cellStyle name="Normal 7 2 3 2 13" xfId="14627" xr:uid="{521FA039-E75B-496F-9489-B721D538A7C9}"/>
    <cellStyle name="Normal 7 2 3 2 14" xfId="14628" xr:uid="{1974C050-4DBE-4777-995A-FC5B0339EE0F}"/>
    <cellStyle name="Normal 7 2 3 2 15" xfId="14629" xr:uid="{358CB88E-EEC9-4573-8559-350356FCC1DD}"/>
    <cellStyle name="Normal 7 2 3 2 16" xfId="14630" xr:uid="{4C887FC7-CF36-426D-9034-22C6490EB0CA}"/>
    <cellStyle name="Normal 7 2 3 2 17" xfId="14631" xr:uid="{F933DCB0-2E56-43D8-8876-519956B21C67}"/>
    <cellStyle name="Normal 7 2 3 2 18" xfId="14632" xr:uid="{25DC5739-D368-49A1-B535-B238D9E0A85D}"/>
    <cellStyle name="Normal 7 2 3 2 19" xfId="14633" xr:uid="{5DC88BD5-C5B9-4355-B876-CFDA93173512}"/>
    <cellStyle name="Normal 7 2 3 2 2" xfId="14634" xr:uid="{22BB95A5-7DAB-4E5F-B075-7899DB647F5E}"/>
    <cellStyle name="Normal 7 2 3 2 20" xfId="14635" xr:uid="{1A003BEF-4DE3-4254-857A-FC4A2BE4CB44}"/>
    <cellStyle name="Normal 7 2 3 2 21" xfId="14636" xr:uid="{84397D57-8843-4632-8F13-00A1F6E2B503}"/>
    <cellStyle name="Normal 7 2 3 2 22" xfId="14637" xr:uid="{169E0F31-8491-4897-8E8E-5A855805B635}"/>
    <cellStyle name="Normal 7 2 3 2 23" xfId="14638" xr:uid="{1030AA2B-7CF6-4520-AB6A-962E640BF7B3}"/>
    <cellStyle name="Normal 7 2 3 2 24" xfId="14639" xr:uid="{EF00FAB3-90D3-4070-9E29-1EC4B5DD0AB5}"/>
    <cellStyle name="Normal 7 2 3 2 25" xfId="14640" xr:uid="{1D533036-00EF-4310-9889-92CB4C1E7C07}"/>
    <cellStyle name="Normal 7 2 3 2 26" xfId="14641" xr:uid="{202C7A78-BE6C-4337-A136-D7F3CC746862}"/>
    <cellStyle name="Normal 7 2 3 2 27" xfId="14642" xr:uid="{72506403-7C6E-459E-AB82-EC28E5338BF9}"/>
    <cellStyle name="Normal 7 2 3 2 28" xfId="14643" xr:uid="{D05EE9F8-5E08-4FBE-BE4A-A57CFE183ACD}"/>
    <cellStyle name="Normal 7 2 3 2 29" xfId="14644" xr:uid="{2C9CD69B-E451-4E4B-98B2-54F8C2E9051E}"/>
    <cellStyle name="Normal 7 2 3 2 3" xfId="14645" xr:uid="{00D58A78-631A-40BB-B424-10F66B64F063}"/>
    <cellStyle name="Normal 7 2 3 2 30" xfId="14646" xr:uid="{2F5413C0-F422-40D4-8F14-FF13E51FEAC4}"/>
    <cellStyle name="Normal 7 2 3 2 31" xfId="14647" xr:uid="{6842FD78-C82E-48F2-9B71-51AA943A0F55}"/>
    <cellStyle name="Normal 7 2 3 2 32" xfId="14648" xr:uid="{1C01874B-9AF6-4EF3-9695-2CB3D96BAED8}"/>
    <cellStyle name="Normal 7 2 3 2 33" xfId="14649" xr:uid="{1BD26B2A-EDB3-4878-9286-3E9A9376605F}"/>
    <cellStyle name="Normal 7 2 3 2 34" xfId="14650" xr:uid="{E7D661AC-0F7C-43A2-9769-C35188BCFA4E}"/>
    <cellStyle name="Normal 7 2 3 2 35" xfId="14651" xr:uid="{0F8E29E1-ECE2-468C-B0DF-D52AAEE6FC12}"/>
    <cellStyle name="Normal 7 2 3 2 36" xfId="14652" xr:uid="{99520E03-E4F7-4662-A8F9-5E2C30FEAB6F}"/>
    <cellStyle name="Normal 7 2 3 2 37" xfId="14653" xr:uid="{0EE3B329-707B-4C10-B56B-E1185539C020}"/>
    <cellStyle name="Normal 7 2 3 2 38" xfId="14654" xr:uid="{10D6DE23-F1BF-40A3-ACE5-70D525D26F0E}"/>
    <cellStyle name="Normal 7 2 3 2 4" xfId="14655" xr:uid="{5FD0BA92-138E-4EA8-A435-22CB4455DC6C}"/>
    <cellStyle name="Normal 7 2 3 2 5" xfId="14656" xr:uid="{16E53E39-3717-4CBE-9CBB-81E70B3FB5FF}"/>
    <cellStyle name="Normal 7 2 3 2 6" xfId="14657" xr:uid="{23590D21-8073-4109-BA4C-E12F2153A6FF}"/>
    <cellStyle name="Normal 7 2 3 2 7" xfId="14658" xr:uid="{AEDD49FD-3DAE-4711-852C-27EC7CE0C810}"/>
    <cellStyle name="Normal 7 2 3 2 8" xfId="14659" xr:uid="{2BEB3043-9A06-4AC5-A60F-01FA29C2362C}"/>
    <cellStyle name="Normal 7 2 3 2 9" xfId="14660" xr:uid="{4F4411A1-7A49-464A-AC8F-03C464A97EA5}"/>
    <cellStyle name="Normal 7 2 3 20" xfId="14661" xr:uid="{3FDDF74C-830C-4507-B891-B134DE3680AA}"/>
    <cellStyle name="Normal 7 2 3 21" xfId="14662" xr:uid="{FAAD5600-4EFB-4CD6-B55A-490A667FE593}"/>
    <cellStyle name="Normal 7 2 3 22" xfId="14663" xr:uid="{44DDAC6E-AA56-4855-B92C-845EEDDA0FE3}"/>
    <cellStyle name="Normal 7 2 3 23" xfId="14664" xr:uid="{99EF5CE3-1DFF-4063-A0B1-33942579654D}"/>
    <cellStyle name="Normal 7 2 3 24" xfId="14665" xr:uid="{3A476D4F-CE3E-4F29-B14A-DAB216BF5A5A}"/>
    <cellStyle name="Normal 7 2 3 25" xfId="14666" xr:uid="{397FA8FA-BE45-431D-A502-E9FD362AFBA4}"/>
    <cellStyle name="Normal 7 2 3 26" xfId="14667" xr:uid="{27B4CE70-A3C4-43B8-8CE2-6EC6E66CE9E7}"/>
    <cellStyle name="Normal 7 2 3 27" xfId="14668" xr:uid="{292B24FE-58E6-469B-9A94-BDE8D0D4C335}"/>
    <cellStyle name="Normal 7 2 3 28" xfId="14669" xr:uid="{4C4AC641-2E3D-4211-8112-AE69702310F5}"/>
    <cellStyle name="Normal 7 2 3 29" xfId="14670" xr:uid="{FE1B0E5A-8457-48B7-963D-5EFE400AA56A}"/>
    <cellStyle name="Normal 7 2 3 3" xfId="14671" xr:uid="{258763B5-FFF4-4E95-AA11-7F8345989F9A}"/>
    <cellStyle name="Normal 7 2 3 30" xfId="14672" xr:uid="{75A03DEF-F671-4D6A-8285-B2C412906F48}"/>
    <cellStyle name="Normal 7 2 3 31" xfId="14673" xr:uid="{6953B05D-B9C3-4AA0-8041-AFA29E5DE108}"/>
    <cellStyle name="Normal 7 2 3 32" xfId="14674" xr:uid="{7698C32C-5B3F-4182-A6E9-276D816F2726}"/>
    <cellStyle name="Normal 7 2 3 33" xfId="14675" xr:uid="{1655C445-911D-4D68-853F-9F3E076F8BC6}"/>
    <cellStyle name="Normal 7 2 3 34" xfId="14676" xr:uid="{ADE0C4D7-E427-49FB-8DD2-9C5A227BC68B}"/>
    <cellStyle name="Normal 7 2 3 35" xfId="14677" xr:uid="{85CE76CD-0FD7-4B71-890E-3A94674FA34E}"/>
    <cellStyle name="Normal 7 2 3 36" xfId="14678" xr:uid="{4A9CB741-3F85-4ADE-9956-54B3042DB9D2}"/>
    <cellStyle name="Normal 7 2 3 37" xfId="14679" xr:uid="{4DDD8BB0-9C8D-4D7C-A22E-17D66FAABA9E}"/>
    <cellStyle name="Normal 7 2 3 38" xfId="14680" xr:uid="{3B11EE9C-A629-4334-9B4D-0A381A02D51D}"/>
    <cellStyle name="Normal 7 2 3 4" xfId="14681" xr:uid="{9E19F856-52B5-4A3F-88ED-14A716C5598C}"/>
    <cellStyle name="Normal 7 2 3 5" xfId="14682" xr:uid="{3AA9BF45-BDF9-4D1D-AA45-A25E69AC47F6}"/>
    <cellStyle name="Normal 7 2 3 6" xfId="14683" xr:uid="{D0491482-9FF9-48B4-9FF4-91704F7F2D26}"/>
    <cellStyle name="Normal 7 2 3 7" xfId="14684" xr:uid="{B3D7EC79-BF80-4DAC-923B-D3D7AB3F0E23}"/>
    <cellStyle name="Normal 7 2 3 8" xfId="14685" xr:uid="{67233B3B-68DB-46EA-888D-FC3BC8DD251E}"/>
    <cellStyle name="Normal 7 2 3 9" xfId="14686" xr:uid="{A0E2111B-DA1C-4ADB-B590-73A5DDE9812F}"/>
    <cellStyle name="Normal 7 2 30" xfId="14687" xr:uid="{06CADD6B-CCAA-40C4-88AC-F775EBEE81C2}"/>
    <cellStyle name="Normal 7 2 31" xfId="14688" xr:uid="{97895C93-3D97-402F-9C5C-C6F4EA83EA41}"/>
    <cellStyle name="Normal 7 2 32" xfId="14689" xr:uid="{503FD439-A8AA-45EB-8BE6-63AC08862C98}"/>
    <cellStyle name="Normal 7 2 33" xfId="14690" xr:uid="{7F8EFACC-D205-42BF-85B8-483FF8862FBC}"/>
    <cellStyle name="Normal 7 2 34" xfId="14691" xr:uid="{B239915F-B306-4D1C-ACAD-C6AE97B5E81B}"/>
    <cellStyle name="Normal 7 2 35" xfId="14692" xr:uid="{99B1DD61-336E-4136-918F-A1BBBAEE5BE5}"/>
    <cellStyle name="Normal 7 2 36" xfId="14693" xr:uid="{70DA4D79-2D2D-41F6-8151-1AEC34D3B01A}"/>
    <cellStyle name="Normal 7 2 37" xfId="14694" xr:uid="{E0232842-090B-4941-8F06-E37B055F931B}"/>
    <cellStyle name="Normal 7 2 38" xfId="14695" xr:uid="{9086E9A6-B330-4DB1-B280-72B4847658E0}"/>
    <cellStyle name="Normal 7 2 39" xfId="14696" xr:uid="{225E8E31-C9EB-4E29-8A2B-6A2CE3302B74}"/>
    <cellStyle name="Normal 7 2 4" xfId="14697" xr:uid="{EE004C82-A74D-4234-8FE7-6F28A38E97D6}"/>
    <cellStyle name="Normal 7 2 40" xfId="14698" xr:uid="{8BA3FD4F-8619-444D-8CD4-628E6F0E5B92}"/>
    <cellStyle name="Normal 7 2 41" xfId="14699" xr:uid="{749F235F-E97E-4598-8CF3-2735C566258E}"/>
    <cellStyle name="Normal 7 2 42" xfId="14700" xr:uid="{9F6C2055-75B4-48D2-BA2C-0DE3DA054FA4}"/>
    <cellStyle name="Normal 7 2 43" xfId="14701" xr:uid="{7BE832AF-FC0E-4965-B5F1-CBC064B836F5}"/>
    <cellStyle name="Normal 7 2 44" xfId="14702" xr:uid="{0CE16287-1DBD-4E40-97E0-8BAF50C8D102}"/>
    <cellStyle name="Normal 7 2 45" xfId="14703" xr:uid="{10EA203D-1609-4582-80B0-1F08A038D9F6}"/>
    <cellStyle name="Normal 7 2 46" xfId="14704" xr:uid="{6B664EDA-9679-488F-9FAD-9087ACC14A62}"/>
    <cellStyle name="Normal 7 2 47" xfId="14705" xr:uid="{E0AF3134-762C-405A-A8AC-DB2677493F04}"/>
    <cellStyle name="Normal 7 2 5" xfId="14706" xr:uid="{FE777B8B-0E12-489F-A87F-A8556D885632}"/>
    <cellStyle name="Normal 7 2 6" xfId="14707" xr:uid="{DC520A5D-7AF1-48A5-891C-9D79ADEB00D9}"/>
    <cellStyle name="Normal 7 2 7" xfId="14708" xr:uid="{D3909148-487D-42E7-B6EE-93BEBDEB8E16}"/>
    <cellStyle name="Normal 7 2 8" xfId="14709" xr:uid="{A0FD98E6-C7E8-48F1-B69D-E048B65235C7}"/>
    <cellStyle name="Normal 7 2 9" xfId="14710" xr:uid="{BAEFFEDD-65FA-4A89-BA0C-9D78ADC58B25}"/>
    <cellStyle name="Normal 7 3" xfId="14711" xr:uid="{BE5E3EBA-2C66-4CB7-8828-7C185552BAA4}"/>
    <cellStyle name="Normal 7 3 10" xfId="14712" xr:uid="{967B39DE-3D91-4472-BD18-0D42B0BEB58A}"/>
    <cellStyle name="Normal 7 3 11" xfId="14713" xr:uid="{E2CF942F-678E-4B4D-8F39-2AF76B93F6F5}"/>
    <cellStyle name="Normal 7 3 12" xfId="14714" xr:uid="{7A4A95EF-92AA-4801-9613-7C68ACFFC664}"/>
    <cellStyle name="Normal 7 3 13" xfId="14715" xr:uid="{47BBFF3F-3D2E-498C-B8DC-5A7BFBA19A29}"/>
    <cellStyle name="Normal 7 3 14" xfId="14716" xr:uid="{F0664D68-785C-4B6C-973A-EBB33A6B205A}"/>
    <cellStyle name="Normal 7 3 15" xfId="14717" xr:uid="{E231B127-B300-40A0-AC7A-AD598991A54C}"/>
    <cellStyle name="Normal 7 3 16" xfId="14718" xr:uid="{E184A3C7-804E-4795-8E88-C9C5F19E50F9}"/>
    <cellStyle name="Normal 7 3 17" xfId="14719" xr:uid="{18A00857-2B36-488C-9399-EC10927C5AC7}"/>
    <cellStyle name="Normal 7 3 18" xfId="14720" xr:uid="{1BA10488-621A-4AD7-9F85-B4F3664305CA}"/>
    <cellStyle name="Normal 7 3 19" xfId="14721" xr:uid="{7D09794D-7E41-47E4-8E5C-6D78B08AA30E}"/>
    <cellStyle name="Normal 7 3 2" xfId="14722" xr:uid="{BAE40CCD-225C-45A6-AEB8-B502C610A03C}"/>
    <cellStyle name="Normal 7 3 2 10" xfId="14723" xr:uid="{C7242BC4-2428-4F33-859D-64BC191D8075}"/>
    <cellStyle name="Normal 7 3 2 11" xfId="14724" xr:uid="{967C1A54-C992-4C19-A0CE-E16A5E59AF84}"/>
    <cellStyle name="Normal 7 3 2 12" xfId="14725" xr:uid="{C735F64F-B2B3-4B21-8824-45D52909A214}"/>
    <cellStyle name="Normal 7 3 2 13" xfId="14726" xr:uid="{0025C9DC-AE80-4412-9F5F-950639FF6E5D}"/>
    <cellStyle name="Normal 7 3 2 14" xfId="14727" xr:uid="{DAE5BB7C-2FDF-4E25-99EA-E0809BE8ACDC}"/>
    <cellStyle name="Normal 7 3 2 15" xfId="14728" xr:uid="{F2985ECF-20A3-4F39-84A3-2423AD58009B}"/>
    <cellStyle name="Normal 7 3 2 16" xfId="14729" xr:uid="{7D31D165-F6A5-40B2-A0A0-35AFBB2E364C}"/>
    <cellStyle name="Normal 7 3 2 17" xfId="14730" xr:uid="{67A05D5E-3511-48FC-A122-5801CC4ACB64}"/>
    <cellStyle name="Normal 7 3 2 18" xfId="14731" xr:uid="{16EF5F7E-5B17-400D-A0C3-18BFF61A3F0A}"/>
    <cellStyle name="Normal 7 3 2 19" xfId="14732" xr:uid="{9149A435-0FB7-4786-B1FB-BEF06C3ADE7F}"/>
    <cellStyle name="Normal 7 3 2 2" xfId="14733" xr:uid="{528BED13-427F-493C-B570-61FFF32BB63C}"/>
    <cellStyle name="Normal 7 3 2 2 10" xfId="14734" xr:uid="{5FA539BB-9991-4D43-8AC4-D273651A85FA}"/>
    <cellStyle name="Normal 7 3 2 2 11" xfId="14735" xr:uid="{09A87E27-C4FC-4F48-8180-83EBAB963393}"/>
    <cellStyle name="Normal 7 3 2 2 12" xfId="14736" xr:uid="{DC6FA850-E687-4A08-A4F4-65120FF30590}"/>
    <cellStyle name="Normal 7 3 2 2 13" xfId="14737" xr:uid="{C7412551-7DE4-4C80-A40E-6BA9D1535497}"/>
    <cellStyle name="Normal 7 3 2 2 14" xfId="14738" xr:uid="{891D6C83-0123-4B46-92B6-B1C5EF362D68}"/>
    <cellStyle name="Normal 7 3 2 2 15" xfId="14739" xr:uid="{0536833A-7254-4C7F-A7A7-31A499248C73}"/>
    <cellStyle name="Normal 7 3 2 2 16" xfId="14740" xr:uid="{FEBFD4A2-3AEA-4D9A-B43B-813AE925BA65}"/>
    <cellStyle name="Normal 7 3 2 2 17" xfId="14741" xr:uid="{6CC066FD-E101-4A19-9486-8C4604109DA4}"/>
    <cellStyle name="Normal 7 3 2 2 18" xfId="14742" xr:uid="{A86D702F-EBF2-4992-8D7F-D7A85DD85E57}"/>
    <cellStyle name="Normal 7 3 2 2 19" xfId="14743" xr:uid="{61551320-FA89-4250-8E3D-C541305C01E1}"/>
    <cellStyle name="Normal 7 3 2 2 2" xfId="14744" xr:uid="{6247433A-7DA8-4B85-8AFF-AE55CA4F95B1}"/>
    <cellStyle name="Normal 7 3 2 2 2 10" xfId="14745" xr:uid="{756E98FC-0220-472B-87DD-3E73FE33FCE9}"/>
    <cellStyle name="Normal 7 3 2 2 2 11" xfId="14746" xr:uid="{56AE9EDA-8B21-4EB1-9114-7DFABC0DCBE5}"/>
    <cellStyle name="Normal 7 3 2 2 2 12" xfId="14747" xr:uid="{8FE9EDDD-D2C5-45D8-8CF4-E3125617EF86}"/>
    <cellStyle name="Normal 7 3 2 2 2 13" xfId="14748" xr:uid="{A560DF9A-74B8-4FDF-8533-2614954E719C}"/>
    <cellStyle name="Normal 7 3 2 2 2 14" xfId="14749" xr:uid="{DAE0BB80-BBFF-41A0-BF99-D18A8C3CC3CC}"/>
    <cellStyle name="Normal 7 3 2 2 2 15" xfId="14750" xr:uid="{FE599557-BECE-4299-A479-B6DADA1478C5}"/>
    <cellStyle name="Normal 7 3 2 2 2 16" xfId="14751" xr:uid="{0E9D1CED-BF7E-4A77-B22F-FDE4347EC4A9}"/>
    <cellStyle name="Normal 7 3 2 2 2 17" xfId="14752" xr:uid="{ED7A59C5-1597-4C5A-B739-0C255E6F63B3}"/>
    <cellStyle name="Normal 7 3 2 2 2 18" xfId="14753" xr:uid="{9C033C83-9145-4F74-8B7E-3E8B25CDBF5A}"/>
    <cellStyle name="Normal 7 3 2 2 2 19" xfId="14754" xr:uid="{35BBBAFB-D0D4-4B35-851A-5C79415F5B0E}"/>
    <cellStyle name="Normal 7 3 2 2 2 2" xfId="14755" xr:uid="{3986A265-13B3-4070-8C16-C432FE4B235C}"/>
    <cellStyle name="Normal 7 3 2 2 2 20" xfId="14756" xr:uid="{AECBE4BC-E124-45EC-B085-ECB78A9B7A5D}"/>
    <cellStyle name="Normal 7 3 2 2 2 21" xfId="14757" xr:uid="{DE70D866-3D74-4D00-9908-2408CECF04E9}"/>
    <cellStyle name="Normal 7 3 2 2 2 22" xfId="14758" xr:uid="{81C44075-8092-4EB8-AE8B-4DB7A0B5D74F}"/>
    <cellStyle name="Normal 7 3 2 2 2 23" xfId="14759" xr:uid="{7A51226B-331C-4307-889F-8D5F52CC312F}"/>
    <cellStyle name="Normal 7 3 2 2 2 24" xfId="14760" xr:uid="{B126ED44-A693-427E-AF22-8ABEF5322249}"/>
    <cellStyle name="Normal 7 3 2 2 2 25" xfId="14761" xr:uid="{6209D8A4-053B-40CA-B60D-61B85E88E1EB}"/>
    <cellStyle name="Normal 7 3 2 2 2 26" xfId="14762" xr:uid="{2772F428-94AC-464B-BF8E-F86EDC48D565}"/>
    <cellStyle name="Normal 7 3 2 2 2 27" xfId="14763" xr:uid="{EC54924B-D4D0-4DE4-9E3F-F59BAEB0A51A}"/>
    <cellStyle name="Normal 7 3 2 2 2 28" xfId="14764" xr:uid="{C249FBBE-A619-4C3B-909B-B13D22F3D215}"/>
    <cellStyle name="Normal 7 3 2 2 2 29" xfId="14765" xr:uid="{631F15AE-D814-45E4-AE65-75F0A79EE1D1}"/>
    <cellStyle name="Normal 7 3 2 2 2 3" xfId="14766" xr:uid="{74AD6A9A-85B8-4F53-894F-595C42F3156E}"/>
    <cellStyle name="Normal 7 3 2 2 2 30" xfId="14767" xr:uid="{D147335A-5241-4723-9C38-A4F83135C206}"/>
    <cellStyle name="Normal 7 3 2 2 2 31" xfId="14768" xr:uid="{ACD387FF-8719-4C94-B533-C10AF73575AD}"/>
    <cellStyle name="Normal 7 3 2 2 2 32" xfId="14769" xr:uid="{1B94866E-6855-4FD7-8652-5B51704A4AFC}"/>
    <cellStyle name="Normal 7 3 2 2 2 33" xfId="14770" xr:uid="{F004CDAD-8A20-429E-93D8-8832D1C156F1}"/>
    <cellStyle name="Normal 7 3 2 2 2 34" xfId="14771" xr:uid="{E3096B2A-F943-4878-876C-D425CB3AC392}"/>
    <cellStyle name="Normal 7 3 2 2 2 35" xfId="14772" xr:uid="{FBCFD025-650C-42C3-854B-7369860BD721}"/>
    <cellStyle name="Normal 7 3 2 2 2 36" xfId="14773" xr:uid="{5334DAF5-A443-4B8B-A4E9-15090EB9A352}"/>
    <cellStyle name="Normal 7 3 2 2 2 37" xfId="14774" xr:uid="{89B4FECF-8381-416D-AD94-F812F507360F}"/>
    <cellStyle name="Normal 7 3 2 2 2 38" xfId="14775" xr:uid="{FCD73803-B23B-4060-B3F6-BE824886428C}"/>
    <cellStyle name="Normal 7 3 2 2 2 4" xfId="14776" xr:uid="{559B77FE-2D03-40E4-919C-45078A7E3D22}"/>
    <cellStyle name="Normal 7 3 2 2 2 5" xfId="14777" xr:uid="{918345F4-B194-4ABE-84B0-F0C5BDC5CB7F}"/>
    <cellStyle name="Normal 7 3 2 2 2 6" xfId="14778" xr:uid="{698F0FE3-F125-4ECD-A62B-CF09B281BAB2}"/>
    <cellStyle name="Normal 7 3 2 2 2 7" xfId="14779" xr:uid="{EB586C41-B3C4-44D0-9043-F17933104C18}"/>
    <cellStyle name="Normal 7 3 2 2 2 8" xfId="14780" xr:uid="{60AF5C5B-CD17-4F3D-900B-8EAD64925073}"/>
    <cellStyle name="Normal 7 3 2 2 2 9" xfId="14781" xr:uid="{7997E680-AD0B-4DFD-9262-F2ACA1ABFB60}"/>
    <cellStyle name="Normal 7 3 2 2 20" xfId="14782" xr:uid="{6EA1F381-B74A-4CFE-A5FB-308F2314353F}"/>
    <cellStyle name="Normal 7 3 2 2 21" xfId="14783" xr:uid="{D9BE06F9-67AA-477C-A682-48359C39F2C5}"/>
    <cellStyle name="Normal 7 3 2 2 22" xfId="14784" xr:uid="{5EFC0C4D-9760-40EB-B888-C136CFF55397}"/>
    <cellStyle name="Normal 7 3 2 2 23" xfId="14785" xr:uid="{613F7DFD-0AAA-4356-B372-75809684D56A}"/>
    <cellStyle name="Normal 7 3 2 2 24" xfId="14786" xr:uid="{1B4683E3-4AFB-4516-800D-4F476B1F3895}"/>
    <cellStyle name="Normal 7 3 2 2 25" xfId="14787" xr:uid="{C6BA07DE-4CA1-4A56-841C-27204BAF8224}"/>
    <cellStyle name="Normal 7 3 2 2 26" xfId="14788" xr:uid="{C7EC6F79-D85D-4A76-9F6F-39CBF405A972}"/>
    <cellStyle name="Normal 7 3 2 2 27" xfId="14789" xr:uid="{25E59C0F-DB8F-4BF6-A679-AF33B20E0AAE}"/>
    <cellStyle name="Normal 7 3 2 2 28" xfId="14790" xr:uid="{1C8D2D2E-3EFF-44C7-88E0-87EDE3878C26}"/>
    <cellStyle name="Normal 7 3 2 2 29" xfId="14791" xr:uid="{FAC76239-245F-4DC4-8F24-E47B581E9B60}"/>
    <cellStyle name="Normal 7 3 2 2 3" xfId="14792" xr:uid="{F5E54EAE-D9ED-4F5C-81AA-F8639344EB39}"/>
    <cellStyle name="Normal 7 3 2 2 30" xfId="14793" xr:uid="{3226E0CA-959A-488D-99F8-0C626C211769}"/>
    <cellStyle name="Normal 7 3 2 2 31" xfId="14794" xr:uid="{2F94AE80-037B-435D-B0E2-3EED85339432}"/>
    <cellStyle name="Normal 7 3 2 2 32" xfId="14795" xr:uid="{824C1557-BB8B-4AB1-82C4-3F4DB6E2E42F}"/>
    <cellStyle name="Normal 7 3 2 2 33" xfId="14796" xr:uid="{3FFB4C19-06F7-4D02-ADB3-618CD7C11589}"/>
    <cellStyle name="Normal 7 3 2 2 34" xfId="14797" xr:uid="{477F2B64-BA01-485C-BF9F-276277149FB4}"/>
    <cellStyle name="Normal 7 3 2 2 35" xfId="14798" xr:uid="{D710621C-AFBF-4515-8EEF-A068657EA84F}"/>
    <cellStyle name="Normal 7 3 2 2 36" xfId="14799" xr:uid="{4965AC66-BB48-4951-B93D-B9A59865CBD2}"/>
    <cellStyle name="Normal 7 3 2 2 37" xfId="14800" xr:uid="{506BA668-74FA-4317-81AF-9D5AA739BE23}"/>
    <cellStyle name="Normal 7 3 2 2 38" xfId="14801" xr:uid="{FD728FE1-9254-40D1-BB89-CB932B4E0F86}"/>
    <cellStyle name="Normal 7 3 2 2 4" xfId="14802" xr:uid="{5D7C48CC-8BDE-4A76-85DD-6EA5BF55CC50}"/>
    <cellStyle name="Normal 7 3 2 2 5" xfId="14803" xr:uid="{C1710805-3AC7-427E-9BFC-AF5DEA06692C}"/>
    <cellStyle name="Normal 7 3 2 2 6" xfId="14804" xr:uid="{719AEECA-254B-413E-B5A0-0866A34423AD}"/>
    <cellStyle name="Normal 7 3 2 2 7" xfId="14805" xr:uid="{B39537E6-E886-4162-B230-67FFE2E83911}"/>
    <cellStyle name="Normal 7 3 2 2 8" xfId="14806" xr:uid="{1A8C162A-ECB7-4CCE-A6A8-97D2642C5916}"/>
    <cellStyle name="Normal 7 3 2 2 9" xfId="14807" xr:uid="{B1C20A3C-3D93-4318-8DA0-BC9664888AEC}"/>
    <cellStyle name="Normal 7 3 2 20" xfId="14808" xr:uid="{68581292-8E2F-43DD-9ABC-16B091DD374C}"/>
    <cellStyle name="Normal 7 3 2 21" xfId="14809" xr:uid="{76BB91EC-2A87-4EBB-B43D-721013DFA9AD}"/>
    <cellStyle name="Normal 7 3 2 22" xfId="14810" xr:uid="{7BF39753-E4A2-485F-BE56-B907E9E71A3A}"/>
    <cellStyle name="Normal 7 3 2 23" xfId="14811" xr:uid="{C8B80724-5297-490A-AF98-53B6B15F5E0C}"/>
    <cellStyle name="Normal 7 3 2 24" xfId="14812" xr:uid="{68DA5EB8-9AE6-4220-BF5C-D2B6DCD73CF1}"/>
    <cellStyle name="Normal 7 3 2 25" xfId="14813" xr:uid="{EEF32BAA-9AB5-4037-895F-202A36E7A619}"/>
    <cellStyle name="Normal 7 3 2 26" xfId="14814" xr:uid="{6603E029-1358-4AEA-898B-9FD77907F239}"/>
    <cellStyle name="Normal 7 3 2 27" xfId="14815" xr:uid="{32C55812-C81A-486B-BA6D-003D06D7E8F2}"/>
    <cellStyle name="Normal 7 3 2 28" xfId="14816" xr:uid="{FD71543A-1F4C-4DBD-8EE3-46438145A0CA}"/>
    <cellStyle name="Normal 7 3 2 29" xfId="14817" xr:uid="{4E94C6B0-B3F1-4039-BC16-C995A6693575}"/>
    <cellStyle name="Normal 7 3 2 3" xfId="14818" xr:uid="{FEEEA0EB-08AB-4C80-8338-81334F957E77}"/>
    <cellStyle name="Normal 7 3 2 30" xfId="14819" xr:uid="{85C52CE7-FF04-48C6-84EB-4E83CCD3D395}"/>
    <cellStyle name="Normal 7 3 2 31" xfId="14820" xr:uid="{E38194D9-9425-4B91-9508-07EDA4161ACD}"/>
    <cellStyle name="Normal 7 3 2 32" xfId="14821" xr:uid="{EB67C5E1-9E91-41B7-9EB5-B6FEE0C40851}"/>
    <cellStyle name="Normal 7 3 2 33" xfId="14822" xr:uid="{F6D7D741-06A2-4434-BABF-CD37F6BF81D4}"/>
    <cellStyle name="Normal 7 3 2 34" xfId="14823" xr:uid="{88A54C10-2928-4A9C-B407-F30AFC2AD34E}"/>
    <cellStyle name="Normal 7 3 2 35" xfId="14824" xr:uid="{475B9453-82A6-420F-9102-8BE853A4169D}"/>
    <cellStyle name="Normal 7 3 2 36" xfId="14825" xr:uid="{154ECE02-7B1B-47AD-ADFD-A2C17BD2A423}"/>
    <cellStyle name="Normal 7 3 2 37" xfId="14826" xr:uid="{6787C300-3495-4D58-A073-CB7891F9593A}"/>
    <cellStyle name="Normal 7 3 2 38" xfId="14827" xr:uid="{3C1F2BA9-97CF-411F-9396-1817909514D2}"/>
    <cellStyle name="Normal 7 3 2 39" xfId="14828" xr:uid="{6B507612-8080-4387-9371-C568A2325E6D}"/>
    <cellStyle name="Normal 7 3 2 4" xfId="14829" xr:uid="{66D3CCBE-A922-4959-9906-5A018E1FA250}"/>
    <cellStyle name="Normal 7 3 2 40" xfId="14830" xr:uid="{176B4E75-9E91-4397-8A1E-F072A4F1A0D5}"/>
    <cellStyle name="Normal 7 3 2 5" xfId="14831" xr:uid="{F038A533-D950-4573-8F91-F328C78A98E0}"/>
    <cellStyle name="Normal 7 3 2 6" xfId="14832" xr:uid="{A4383832-8E8B-4B38-AA01-063EF3411276}"/>
    <cellStyle name="Normal 7 3 2 7" xfId="14833" xr:uid="{48BCC2AE-5109-43C7-9C93-F09963D7939C}"/>
    <cellStyle name="Normal 7 3 2 8" xfId="14834" xr:uid="{EBF616AB-BB01-4E2C-9930-E04D04F9C89E}"/>
    <cellStyle name="Normal 7 3 2 9" xfId="14835" xr:uid="{AF338D30-FD5C-46F0-A087-DF25E482DC29}"/>
    <cellStyle name="Normal 7 3 20" xfId="14836" xr:uid="{3C3DC350-44BD-4944-87DD-20F4DC847D21}"/>
    <cellStyle name="Normal 7 3 21" xfId="14837" xr:uid="{196167B1-50EF-4AD7-8FD9-E327ABDF2F98}"/>
    <cellStyle name="Normal 7 3 22" xfId="14838" xr:uid="{CFA6C699-8294-4885-A8FA-B8F22B89EF6F}"/>
    <cellStyle name="Normal 7 3 23" xfId="14839" xr:uid="{8672717D-25E0-4090-9E03-85DFEFCACEC1}"/>
    <cellStyle name="Normal 7 3 24" xfId="14840" xr:uid="{9CD7BD94-E8D1-4CBD-A124-56A3757A1EBC}"/>
    <cellStyle name="Normal 7 3 25" xfId="14841" xr:uid="{AEB6CF6C-1035-4E48-85E1-C0850EDC8A3D}"/>
    <cellStyle name="Normal 7 3 26" xfId="14842" xr:uid="{76FB3CB8-B74E-42C9-9221-6F553DEEEAD3}"/>
    <cellStyle name="Normal 7 3 27" xfId="14843" xr:uid="{E36182CA-8E39-436A-94AD-C6F50E178755}"/>
    <cellStyle name="Normal 7 3 28" xfId="14844" xr:uid="{D45012F1-CD97-401F-905C-4ACB8102CCDA}"/>
    <cellStyle name="Normal 7 3 29" xfId="14845" xr:uid="{F224951E-9A74-44C6-8E2A-516583DA8508}"/>
    <cellStyle name="Normal 7 3 3" xfId="14846" xr:uid="{DD23D996-30EB-4BEB-A7EB-3FAEC2F5CA22}"/>
    <cellStyle name="Normal 7 3 3 10" xfId="14847" xr:uid="{18259096-B24D-4AEF-9D97-A844FA2B3689}"/>
    <cellStyle name="Normal 7 3 3 11" xfId="14848" xr:uid="{33571B0D-7570-4F72-8B2A-FAE11FC91C7B}"/>
    <cellStyle name="Normal 7 3 3 12" xfId="14849" xr:uid="{CD638B39-668E-490E-8BB8-F32ADC0B6AA9}"/>
    <cellStyle name="Normal 7 3 3 13" xfId="14850" xr:uid="{E5D55E76-5C5D-4362-A84C-6077D0683A1D}"/>
    <cellStyle name="Normal 7 3 3 14" xfId="14851" xr:uid="{CEE1110F-0D13-4E65-B039-072A43C299F9}"/>
    <cellStyle name="Normal 7 3 3 15" xfId="14852" xr:uid="{CE8184ED-77AA-408C-90E8-4E1E583D7613}"/>
    <cellStyle name="Normal 7 3 3 16" xfId="14853" xr:uid="{144789C8-14C9-4EBF-9002-57663D4AEF48}"/>
    <cellStyle name="Normal 7 3 3 17" xfId="14854" xr:uid="{BF7FBB4B-BEB4-4631-83B4-486C3A494282}"/>
    <cellStyle name="Normal 7 3 3 18" xfId="14855" xr:uid="{502F37A7-275D-4036-9144-38B62E3D4267}"/>
    <cellStyle name="Normal 7 3 3 19" xfId="14856" xr:uid="{BB0D24E8-CCEA-445D-9BE7-BBB2FCA3E9A3}"/>
    <cellStyle name="Normal 7 3 3 2" xfId="14857" xr:uid="{42F81A55-1418-405A-994B-62930068FAB3}"/>
    <cellStyle name="Normal 7 3 3 2 10" xfId="14858" xr:uid="{E933568D-6578-46A9-B851-C4DA4DA33628}"/>
    <cellStyle name="Normal 7 3 3 2 11" xfId="14859" xr:uid="{F5B3D82D-8EAE-4F3A-BFB0-975F5D225C74}"/>
    <cellStyle name="Normal 7 3 3 2 12" xfId="14860" xr:uid="{DE873B2D-B669-49AE-9B95-D6A0AF31B4E1}"/>
    <cellStyle name="Normal 7 3 3 2 13" xfId="14861" xr:uid="{389FCC9F-1BA9-4EED-B43F-0D72ABDD163E}"/>
    <cellStyle name="Normal 7 3 3 2 14" xfId="14862" xr:uid="{AEDBBA59-1B13-44C2-90CE-F6FF55670D51}"/>
    <cellStyle name="Normal 7 3 3 2 15" xfId="14863" xr:uid="{A7C270E7-4C05-4A4A-B161-0C98729C04A1}"/>
    <cellStyle name="Normal 7 3 3 2 16" xfId="14864" xr:uid="{D8EECC5E-6844-46C7-92EB-3268175E1C09}"/>
    <cellStyle name="Normal 7 3 3 2 17" xfId="14865" xr:uid="{0D81C516-A601-47B6-B52F-A28A83401446}"/>
    <cellStyle name="Normal 7 3 3 2 18" xfId="14866" xr:uid="{2F706151-EE4F-4463-BE61-4D6407DF156E}"/>
    <cellStyle name="Normal 7 3 3 2 19" xfId="14867" xr:uid="{5B09E3F3-D107-4FA0-AF90-E65856CDC23B}"/>
    <cellStyle name="Normal 7 3 3 2 2" xfId="14868" xr:uid="{957A42C9-AB34-42B3-ADC8-D2C6BAB28B1A}"/>
    <cellStyle name="Normal 7 3 3 2 20" xfId="14869" xr:uid="{0A88D488-8376-496C-8064-F90AA4F2FBF4}"/>
    <cellStyle name="Normal 7 3 3 2 21" xfId="14870" xr:uid="{9D1C126A-8E85-4255-A4D6-DA3D237174B3}"/>
    <cellStyle name="Normal 7 3 3 2 22" xfId="14871" xr:uid="{FA3540FC-F198-478C-A891-A909933683C3}"/>
    <cellStyle name="Normal 7 3 3 2 23" xfId="14872" xr:uid="{C7D203CF-B242-4F36-9C58-8E55D585B234}"/>
    <cellStyle name="Normal 7 3 3 2 24" xfId="14873" xr:uid="{4945A5FA-945A-4BDF-A2FA-AB5120DBB348}"/>
    <cellStyle name="Normal 7 3 3 2 25" xfId="14874" xr:uid="{56230DB4-AF77-4773-9ECB-EB75FB10207F}"/>
    <cellStyle name="Normal 7 3 3 2 26" xfId="14875" xr:uid="{FBEC54EB-3645-44B2-B66A-815A1C41454A}"/>
    <cellStyle name="Normal 7 3 3 2 27" xfId="14876" xr:uid="{53CA0C1C-B7D2-4AE7-9C84-F59B978CC2F1}"/>
    <cellStyle name="Normal 7 3 3 2 28" xfId="14877" xr:uid="{174FFB5D-8E88-4746-8230-0E0D180B7840}"/>
    <cellStyle name="Normal 7 3 3 2 29" xfId="14878" xr:uid="{7350867D-2F81-45C4-BB1E-887C7F4903B1}"/>
    <cellStyle name="Normal 7 3 3 2 3" xfId="14879" xr:uid="{FCB7F20F-FB71-456A-96AE-91532B4A42B4}"/>
    <cellStyle name="Normal 7 3 3 2 30" xfId="14880" xr:uid="{3ECFBE17-3163-4EE3-9871-95F15BA150BF}"/>
    <cellStyle name="Normal 7 3 3 2 31" xfId="14881" xr:uid="{AF301317-9396-4573-9415-F78CFA71A880}"/>
    <cellStyle name="Normal 7 3 3 2 32" xfId="14882" xr:uid="{B3F25C02-C0DD-43AF-8A51-23485A65297C}"/>
    <cellStyle name="Normal 7 3 3 2 33" xfId="14883" xr:uid="{D07BC279-C5CE-4D35-AF51-84A4A0D6D9DF}"/>
    <cellStyle name="Normal 7 3 3 2 34" xfId="14884" xr:uid="{BC528AF7-97FB-4006-84AF-0742C8BEE278}"/>
    <cellStyle name="Normal 7 3 3 2 35" xfId="14885" xr:uid="{8C7DC9B7-B334-47BF-8127-5F12D31A74FC}"/>
    <cellStyle name="Normal 7 3 3 2 36" xfId="14886" xr:uid="{B1606985-B4C8-4D9C-88C4-E39965589603}"/>
    <cellStyle name="Normal 7 3 3 2 37" xfId="14887" xr:uid="{ACB54568-EFE7-4EB7-AC43-E66754D03865}"/>
    <cellStyle name="Normal 7 3 3 2 38" xfId="14888" xr:uid="{E53F271C-1FFE-4F7A-B202-CDED9E4DA47F}"/>
    <cellStyle name="Normal 7 3 3 2 4" xfId="14889" xr:uid="{7E9AFD26-B3A3-4267-8508-5CD7DC66FE73}"/>
    <cellStyle name="Normal 7 3 3 2 5" xfId="14890" xr:uid="{FFEA4E97-4955-423A-B281-0B972558A629}"/>
    <cellStyle name="Normal 7 3 3 2 6" xfId="14891" xr:uid="{55A94961-E48E-4F5A-8004-5B615747E213}"/>
    <cellStyle name="Normal 7 3 3 2 7" xfId="14892" xr:uid="{29A623CE-8925-42DA-9C41-496E74C3456B}"/>
    <cellStyle name="Normal 7 3 3 2 8" xfId="14893" xr:uid="{0DCA5614-9692-4D95-ABC3-5646F34EB470}"/>
    <cellStyle name="Normal 7 3 3 2 9" xfId="14894" xr:uid="{8EC32052-87B0-44C3-A88C-E67C723D1F5C}"/>
    <cellStyle name="Normal 7 3 3 20" xfId="14895" xr:uid="{5390D8D0-7529-41ED-A869-7445C7D2F090}"/>
    <cellStyle name="Normal 7 3 3 21" xfId="14896" xr:uid="{2D0432D6-35F2-4002-AD78-9C4482FDC06C}"/>
    <cellStyle name="Normal 7 3 3 22" xfId="14897" xr:uid="{A32A6AD7-4E86-48EF-B5C1-D841CC79F90F}"/>
    <cellStyle name="Normal 7 3 3 23" xfId="14898" xr:uid="{32475D43-2A70-417B-AB4D-7B6012D39863}"/>
    <cellStyle name="Normal 7 3 3 24" xfId="14899" xr:uid="{387C653C-B51A-4A05-924D-496171A45C58}"/>
    <cellStyle name="Normal 7 3 3 25" xfId="14900" xr:uid="{6CB688EC-6E2A-4723-B4FF-43B0B4AA0CA9}"/>
    <cellStyle name="Normal 7 3 3 26" xfId="14901" xr:uid="{AA55C25D-DF60-45BE-BC2E-6E65DA333891}"/>
    <cellStyle name="Normal 7 3 3 27" xfId="14902" xr:uid="{6D745F1C-3151-4FCA-B738-8738FBAC26E3}"/>
    <cellStyle name="Normal 7 3 3 28" xfId="14903" xr:uid="{CCB849B4-F002-4BBA-9DBC-45E292022CB7}"/>
    <cellStyle name="Normal 7 3 3 29" xfId="14904" xr:uid="{09999BCA-71F1-44AC-901D-F3F2E8BD15A7}"/>
    <cellStyle name="Normal 7 3 3 3" xfId="14905" xr:uid="{E82FA489-9F90-4F75-B33F-3FCFCCE26808}"/>
    <cellStyle name="Normal 7 3 3 30" xfId="14906" xr:uid="{04DB015C-1ED0-43BF-8F79-42F5940FA5A1}"/>
    <cellStyle name="Normal 7 3 3 31" xfId="14907" xr:uid="{4772DEBA-A58E-42A4-A59F-CDF8B62CD0F9}"/>
    <cellStyle name="Normal 7 3 3 32" xfId="14908" xr:uid="{EF5B9934-021E-40BB-A682-D98063EE35A0}"/>
    <cellStyle name="Normal 7 3 3 33" xfId="14909" xr:uid="{1DFDB9B8-7C88-48BA-8597-691392BE14CD}"/>
    <cellStyle name="Normal 7 3 3 34" xfId="14910" xr:uid="{5885BA58-2220-47D1-8DE4-48FC99CB8035}"/>
    <cellStyle name="Normal 7 3 3 35" xfId="14911" xr:uid="{26C1B551-962E-404F-8374-11B594856714}"/>
    <cellStyle name="Normal 7 3 3 36" xfId="14912" xr:uid="{F8451D6F-3AD2-4C4A-91C0-7E64F4583850}"/>
    <cellStyle name="Normal 7 3 3 37" xfId="14913" xr:uid="{D258A86F-9E31-48FE-909B-1291383B4E12}"/>
    <cellStyle name="Normal 7 3 3 38" xfId="14914" xr:uid="{ED3BFB06-6BD5-4929-AFDD-DA1A26FCD20E}"/>
    <cellStyle name="Normal 7 3 3 4" xfId="14915" xr:uid="{D9BCCFC4-F013-49A3-AFB2-1EC80E08EBDE}"/>
    <cellStyle name="Normal 7 3 3 5" xfId="14916" xr:uid="{197349E4-C2CB-4068-964F-995114B8E475}"/>
    <cellStyle name="Normal 7 3 3 6" xfId="14917" xr:uid="{51C2DFCF-1A59-432F-B236-218C36E821FC}"/>
    <cellStyle name="Normal 7 3 3 7" xfId="14918" xr:uid="{7AEE4C03-8275-4DF3-9E31-F51DC0EC3F5A}"/>
    <cellStyle name="Normal 7 3 3 8" xfId="14919" xr:uid="{8DA4A89F-A48C-427B-95FD-AA2EF3B22367}"/>
    <cellStyle name="Normal 7 3 3 9" xfId="14920" xr:uid="{AD92BCD8-59B6-4E31-9D98-9945E167DF64}"/>
    <cellStyle name="Normal 7 3 30" xfId="14921" xr:uid="{2D60C580-514A-4E03-B78B-8B35955B4943}"/>
    <cellStyle name="Normal 7 3 31" xfId="14922" xr:uid="{7DA743A0-998D-49BE-9DBE-B3415EDBB8A4}"/>
    <cellStyle name="Normal 7 3 32" xfId="14923" xr:uid="{F8B0E3E5-E7F8-4189-8FE3-F8DE29F22596}"/>
    <cellStyle name="Normal 7 3 33" xfId="14924" xr:uid="{330CA62F-1C72-42CB-A408-FA27DF44764A}"/>
    <cellStyle name="Normal 7 3 34" xfId="14925" xr:uid="{A9C1658E-FD27-48CF-80A1-6090582E85B9}"/>
    <cellStyle name="Normal 7 3 35" xfId="14926" xr:uid="{5A8F90E9-7C31-4E46-A962-F664FDE2463F}"/>
    <cellStyle name="Normal 7 3 36" xfId="14927" xr:uid="{8832C089-160B-4AA7-A939-8E202C4C8DC9}"/>
    <cellStyle name="Normal 7 3 37" xfId="14928" xr:uid="{B65943E0-FB02-459C-A1BF-896C96AE5A74}"/>
    <cellStyle name="Normal 7 3 38" xfId="14929" xr:uid="{85C7E7C2-3A61-4AB0-9F12-F60EA6E2F87D}"/>
    <cellStyle name="Normal 7 3 39" xfId="14930" xr:uid="{B0269DD4-EA3A-4A6B-8967-E2ADB5A15F72}"/>
    <cellStyle name="Normal 7 3 4" xfId="14931" xr:uid="{AEA963ED-F5A4-42EC-BFB8-6E90F586B21C}"/>
    <cellStyle name="Normal 7 3 40" xfId="14932" xr:uid="{B5FE65F7-F25B-4C8E-8464-3A64400D35D9}"/>
    <cellStyle name="Normal 7 3 41" xfId="14933" xr:uid="{82BF2E7D-61CF-4E63-870D-8059B1BFC987}"/>
    <cellStyle name="Normal 7 3 42" xfId="14934" xr:uid="{02BF391B-FD4C-4728-A457-E9035411BBD1}"/>
    <cellStyle name="Normal 7 3 43" xfId="14935" xr:uid="{EDB706A8-4529-4D1C-8908-899C4B17B3BA}"/>
    <cellStyle name="Normal 7 3 44" xfId="14936" xr:uid="{DC2CE14D-C467-4622-A70F-F4FCB9DC545B}"/>
    <cellStyle name="Normal 7 3 45" xfId="14937" xr:uid="{0F3258DA-9A65-4D80-AE60-9360938FBED0}"/>
    <cellStyle name="Normal 7 3 46" xfId="14938" xr:uid="{85952634-63D7-4ACA-9DBF-CCFF7D98FC79}"/>
    <cellStyle name="Normal 7 3 47" xfId="14939" xr:uid="{F7921AB8-EFCF-4CB1-BE37-96E35EB8D0CE}"/>
    <cellStyle name="Normal 7 3 5" xfId="14940" xr:uid="{CE541A6D-375C-40BA-99EC-4E21814AAA08}"/>
    <cellStyle name="Normal 7 3 6" xfId="14941" xr:uid="{6E17135C-17B9-4815-89FE-5646786C484C}"/>
    <cellStyle name="Normal 7 3 7" xfId="14942" xr:uid="{2B5DEF30-861A-410A-A2A1-C56845CBDF7E}"/>
    <cellStyle name="Normal 7 3 8" xfId="14943" xr:uid="{D04501F1-3044-4BEC-A063-13B79EF2D84A}"/>
    <cellStyle name="Normal 7 3 9" xfId="14944" xr:uid="{3C30736A-4154-48D4-8F6A-E3251C0A094C}"/>
    <cellStyle name="Normal 7 4" xfId="14945" xr:uid="{1BCD2253-C92F-47F1-89DB-A5E2887859D9}"/>
    <cellStyle name="Normal 7 4 10" xfId="14946" xr:uid="{1ED1C421-5969-4254-AF4D-E0355A59801A}"/>
    <cellStyle name="Normal 7 4 11" xfId="14947" xr:uid="{75FA94A5-3DFA-4CC8-8731-ABFC1667ECAA}"/>
    <cellStyle name="Normal 7 4 12" xfId="14948" xr:uid="{57D30D69-A06F-43B5-B86F-D64B26D9D527}"/>
    <cellStyle name="Normal 7 4 13" xfId="14949" xr:uid="{2F270C3A-74DF-4E64-92F6-188B00173A68}"/>
    <cellStyle name="Normal 7 4 14" xfId="14950" xr:uid="{7C776594-2EB3-4B5B-BCDA-E29953117750}"/>
    <cellStyle name="Normal 7 4 15" xfId="14951" xr:uid="{65243A4D-F249-47A6-8C34-0A50B9151848}"/>
    <cellStyle name="Normal 7 4 16" xfId="14952" xr:uid="{51A1972B-1754-41B6-B321-F7E61860F2F5}"/>
    <cellStyle name="Normal 7 4 17" xfId="14953" xr:uid="{CFF12BB7-43EC-43EB-B0C4-BA18AA256B12}"/>
    <cellStyle name="Normal 7 4 18" xfId="14954" xr:uid="{3782308D-3992-4813-B118-C75CE481878A}"/>
    <cellStyle name="Normal 7 4 19" xfId="14955" xr:uid="{10977D2E-17BA-436B-B1F0-6FA1FAF00B43}"/>
    <cellStyle name="Normal 7 4 2" xfId="14956" xr:uid="{36BC381A-5629-439D-B733-F74EFBCDDB48}"/>
    <cellStyle name="Normal 7 4 20" xfId="14957" xr:uid="{E4E7AAD4-50E3-4771-8CBB-095A152C4BD3}"/>
    <cellStyle name="Normal 7 4 21" xfId="14958" xr:uid="{65BDFA6D-09A6-4E00-A46A-13A719B48B3A}"/>
    <cellStyle name="Normal 7 4 22" xfId="14959" xr:uid="{3BECE072-C364-4FFB-883A-9FE0D0A83CB7}"/>
    <cellStyle name="Normal 7 4 23" xfId="14960" xr:uid="{42A3FC59-6A29-43F5-86B3-C73E865C17A0}"/>
    <cellStyle name="Normal 7 4 24" xfId="14961" xr:uid="{53ED73F4-32B7-4AEE-91E3-BD158C01325B}"/>
    <cellStyle name="Normal 7 4 25" xfId="14962" xr:uid="{F3FFE150-6F1B-48D4-868B-7D581BBDFAC1}"/>
    <cellStyle name="Normal 7 4 26" xfId="14963" xr:uid="{41E0E03D-AA52-44EF-A659-70FD0283508B}"/>
    <cellStyle name="Normal 7 4 27" xfId="14964" xr:uid="{66E74944-DDCB-4B48-BD35-A823F98E241D}"/>
    <cellStyle name="Normal 7 4 28" xfId="14965" xr:uid="{B15C2087-07EA-4681-B8FB-C82270AE5530}"/>
    <cellStyle name="Normal 7 4 29" xfId="14966" xr:uid="{15A6D69E-7985-4388-B2D6-DC994C9FA612}"/>
    <cellStyle name="Normal 7 4 3" xfId="14967" xr:uid="{B21B843E-7BF8-4FC9-958B-8C849167B8FE}"/>
    <cellStyle name="Normal 7 4 30" xfId="14968" xr:uid="{CD7B22E0-CD66-4916-9D36-6E7EA1059DEC}"/>
    <cellStyle name="Normal 7 4 31" xfId="14969" xr:uid="{3B4A1D54-9140-439E-A83F-11F4564FF073}"/>
    <cellStyle name="Normal 7 4 32" xfId="14970" xr:uid="{50B9A874-9ACD-4D93-A6CF-9188B4091112}"/>
    <cellStyle name="Normal 7 4 33" xfId="14971" xr:uid="{12F9506E-B27C-4C71-B27F-4B0E80DB190C}"/>
    <cellStyle name="Normal 7 4 34" xfId="14972" xr:uid="{E1C0225B-0712-474C-9168-BA3548D646F1}"/>
    <cellStyle name="Normal 7 4 35" xfId="14973" xr:uid="{14EFFC0E-2093-49F3-9849-56E819440D2A}"/>
    <cellStyle name="Normal 7 4 36" xfId="14974" xr:uid="{E5ECC44B-3D2F-415F-9082-DC04CB01BDD3}"/>
    <cellStyle name="Normal 7 4 37" xfId="14975" xr:uid="{88988436-4DEF-4F2C-BB25-2072E3AFD57B}"/>
    <cellStyle name="Normal 7 4 38" xfId="14976" xr:uid="{6590A2C4-8800-48CF-B94E-9DD2309738D9}"/>
    <cellStyle name="Normal 7 4 39" xfId="14977" xr:uid="{14E892AA-CC7B-4214-A5BA-4B44C015CA14}"/>
    <cellStyle name="Normal 7 4 4" xfId="14978" xr:uid="{82109BA8-3657-46C2-B2F3-B1D6DFB16368}"/>
    <cellStyle name="Normal 7 4 40" xfId="14979" xr:uid="{E5285D57-4F27-468E-BE24-0A8A56623CCB}"/>
    <cellStyle name="Normal 7 4 41" xfId="14980" xr:uid="{2CA471C4-7CB9-4727-B165-D6A95BC29892}"/>
    <cellStyle name="Normal 7 4 42" xfId="14981" xr:uid="{2F360BCF-2F05-42ED-884B-9557733D036A}"/>
    <cellStyle name="Normal 7 4 43" xfId="14982" xr:uid="{2F2F1481-A9C9-43FC-BB3F-B54D22592BFE}"/>
    <cellStyle name="Normal 7 4 44" xfId="14983" xr:uid="{E29C2672-567D-4353-A164-3BB69EFFC830}"/>
    <cellStyle name="Normal 7 4 45" xfId="14984" xr:uid="{251BD7C6-4C99-4870-B4D6-E3987CA45702}"/>
    <cellStyle name="Normal 7 4 46" xfId="14985" xr:uid="{8BFC4236-0F35-4430-86C6-6FC0AA6C7920}"/>
    <cellStyle name="Normal 7 4 47" xfId="14986" xr:uid="{3D9424AB-1624-4158-9F00-F9B5A2FD96BD}"/>
    <cellStyle name="Normal 7 4 5" xfId="14987" xr:uid="{4A98E0BD-3E7C-4E04-BF57-269F4F6AEEEE}"/>
    <cellStyle name="Normal 7 4 6" xfId="14988" xr:uid="{2AD261B0-FA99-4EDB-BC5F-8D04879420CD}"/>
    <cellStyle name="Normal 7 4 7" xfId="14989" xr:uid="{3D310460-0FD2-43AA-8857-13773BEA8D98}"/>
    <cellStyle name="Normal 7 4 8" xfId="14990" xr:uid="{C7FC5D3B-B85B-4BDD-99ED-D37DFC181880}"/>
    <cellStyle name="Normal 7 4 9" xfId="14991" xr:uid="{404120E8-EE47-4063-AE99-07642F20D943}"/>
    <cellStyle name="Normal 7 5" xfId="14992" xr:uid="{8C618C17-DD63-4658-ABE1-57694D7DA2AF}"/>
    <cellStyle name="Normal 7 6" xfId="14476" xr:uid="{F47DA991-661E-46B6-B79B-9CE9038BD30B}"/>
    <cellStyle name="Normal 8" xfId="14993" xr:uid="{45E6E22F-F50F-40E8-A5FE-88FA25BE9D29}"/>
    <cellStyle name="Normal 8 10" xfId="14994" xr:uid="{396547D2-0AB4-43B6-9D58-8A47675882DC}"/>
    <cellStyle name="Normal 8 11" xfId="14995" xr:uid="{EC47EF6E-64BA-4594-98E3-9FB3D6184AF6}"/>
    <cellStyle name="Normal 8 12" xfId="14996" xr:uid="{A0039B43-9A39-4BBA-901F-2CA0134C0F81}"/>
    <cellStyle name="Normal 8 13" xfId="14997" xr:uid="{8E5D22FB-7A64-4A9E-A037-550B343684E8}"/>
    <cellStyle name="Normal 8 14" xfId="14998" xr:uid="{1684A680-89F4-411C-87BA-5B18E1019088}"/>
    <cellStyle name="Normal 8 15" xfId="14999" xr:uid="{2EB093D8-A1E5-412C-AA38-8EFC12159AC4}"/>
    <cellStyle name="Normal 8 16" xfId="15000" xr:uid="{60AB8645-6767-4D11-911E-7500E7ED61A1}"/>
    <cellStyle name="Normal 8 17" xfId="15001" xr:uid="{14434590-38E9-41B0-A201-C989DDA317B2}"/>
    <cellStyle name="Normal 8 18" xfId="15002" xr:uid="{43869971-6299-4501-BCEF-9CAD296A859D}"/>
    <cellStyle name="Normal 8 19" xfId="15003" xr:uid="{36BC030C-5760-48DA-8FB0-9A12FA974020}"/>
    <cellStyle name="Normal 8 2" xfId="15004" xr:uid="{3383F9EB-D47E-410E-8A24-21F18A247C8B}"/>
    <cellStyle name="Normal 8 2 10" xfId="15005" xr:uid="{207659C6-C232-40F3-8AAF-950DE2D3B4C0}"/>
    <cellStyle name="Normal 8 2 11" xfId="15006" xr:uid="{97996B93-0EBF-48CB-9236-E4AC79F35428}"/>
    <cellStyle name="Normal 8 2 12" xfId="15007" xr:uid="{E26C6257-913B-4CA4-A45F-9B9A701A7005}"/>
    <cellStyle name="Normal 8 2 13" xfId="15008" xr:uid="{A6DF1F0A-0EA8-45E6-88BB-BB5E5A59E0CA}"/>
    <cellStyle name="Normal 8 2 14" xfId="15009" xr:uid="{C278505C-1D3A-47DD-BED5-3EA4A931378A}"/>
    <cellStyle name="Normal 8 2 15" xfId="15010" xr:uid="{EFE4134A-5A0B-45E4-A13B-BEF06218ECEC}"/>
    <cellStyle name="Normal 8 2 16" xfId="15011" xr:uid="{3ED881F1-1209-48E1-A028-4D0AE3F1200E}"/>
    <cellStyle name="Normal 8 2 17" xfId="15012" xr:uid="{7B7DFC51-17E2-48CD-979F-D0AF5D36EFC9}"/>
    <cellStyle name="Normal 8 2 18" xfId="15013" xr:uid="{0E1FF440-DF8B-46DC-AC77-D86D90814CBF}"/>
    <cellStyle name="Normal 8 2 19" xfId="15014" xr:uid="{64882708-8DF3-4E1B-97F6-95CB4B0AD501}"/>
    <cellStyle name="Normal 8 2 2" xfId="15015" xr:uid="{2750B7C0-4D74-4890-8CC2-B97E7B5AC3C0}"/>
    <cellStyle name="Normal 8 2 2 10" xfId="15016" xr:uid="{5524EEC1-9531-49A8-85BE-3331A93880CC}"/>
    <cellStyle name="Normal 8 2 2 11" xfId="15017" xr:uid="{20E9B712-34D1-4034-80B2-782F2FB9D1D1}"/>
    <cellStyle name="Normal 8 2 2 12" xfId="15018" xr:uid="{76D3FD95-0563-4165-8795-614B2C9CCC6E}"/>
    <cellStyle name="Normal 8 2 2 13" xfId="15019" xr:uid="{3FDC8F4C-395C-497B-921C-172AF1BEA037}"/>
    <cellStyle name="Normal 8 2 2 14" xfId="15020" xr:uid="{D7113907-C959-435A-AC4F-313E69BBBDEC}"/>
    <cellStyle name="Normal 8 2 2 15" xfId="15021" xr:uid="{F0B19A8D-59A6-4213-9995-14E4ECA74176}"/>
    <cellStyle name="Normal 8 2 2 16" xfId="15022" xr:uid="{F979435F-06E7-464F-97F9-D065C998D5CC}"/>
    <cellStyle name="Normal 8 2 2 17" xfId="15023" xr:uid="{F9C75EE4-8B00-44A9-A403-8A923F3BA13C}"/>
    <cellStyle name="Normal 8 2 2 18" xfId="15024" xr:uid="{825D6B11-4F92-43A0-9A73-16495A956FB3}"/>
    <cellStyle name="Normal 8 2 2 19" xfId="15025" xr:uid="{1C2A7B0C-E492-41B2-8E99-E9F19AFBE4D3}"/>
    <cellStyle name="Normal 8 2 2 2" xfId="15026" xr:uid="{123E8900-2F23-42CE-975A-A56A75F35BED}"/>
    <cellStyle name="Normal 8 2 2 2 10" xfId="15027" xr:uid="{70143848-3805-49B6-83C1-162DDDDF3E80}"/>
    <cellStyle name="Normal 8 2 2 2 11" xfId="15028" xr:uid="{D8A122AD-2DB6-41D7-8C19-7023B2880F12}"/>
    <cellStyle name="Normal 8 2 2 2 12" xfId="15029" xr:uid="{3455C4D0-ED5B-46E6-8538-60C087ECAA19}"/>
    <cellStyle name="Normal 8 2 2 2 13" xfId="15030" xr:uid="{305D8F2A-5871-4A98-8677-310CFC595214}"/>
    <cellStyle name="Normal 8 2 2 2 14" xfId="15031" xr:uid="{82EF77E8-4700-4F1C-93F8-783CD010C51E}"/>
    <cellStyle name="Normal 8 2 2 2 15" xfId="15032" xr:uid="{33E10151-2986-4667-8247-27030FDCFD5D}"/>
    <cellStyle name="Normal 8 2 2 2 16" xfId="15033" xr:uid="{B951FDB4-B0F4-4318-B324-059BBDA68608}"/>
    <cellStyle name="Normal 8 2 2 2 17" xfId="15034" xr:uid="{A667AB6B-13D5-4AB2-B5F0-C6824FADFC13}"/>
    <cellStyle name="Normal 8 2 2 2 18" xfId="15035" xr:uid="{E0146F97-2D41-42F2-98EB-76F6FF0744E5}"/>
    <cellStyle name="Normal 8 2 2 2 19" xfId="15036" xr:uid="{8E20661F-FB51-4D09-981E-EC691577AC37}"/>
    <cellStyle name="Normal 8 2 2 2 2" xfId="15037" xr:uid="{E06E7A77-8845-4AA8-BBBE-7AF85EE2734A}"/>
    <cellStyle name="Normal 8 2 2 2 2 10" xfId="15038" xr:uid="{311D97BA-3934-47C9-88B5-9D3B5B05164D}"/>
    <cellStyle name="Normal 8 2 2 2 2 11" xfId="15039" xr:uid="{3DDAAD19-1055-4833-A6EA-64081042E2DF}"/>
    <cellStyle name="Normal 8 2 2 2 2 12" xfId="15040" xr:uid="{CCED0A76-FE41-496F-9502-D596331BB872}"/>
    <cellStyle name="Normal 8 2 2 2 2 13" xfId="15041" xr:uid="{95A88434-BD49-43A6-B213-03BACA678261}"/>
    <cellStyle name="Normal 8 2 2 2 2 14" xfId="15042" xr:uid="{29568F12-07E2-4A87-9717-D89CA31584F0}"/>
    <cellStyle name="Normal 8 2 2 2 2 15" xfId="15043" xr:uid="{81CEA081-F720-4A29-902F-9D3B9BAE506E}"/>
    <cellStyle name="Normal 8 2 2 2 2 16" xfId="15044" xr:uid="{BEB59553-1D7C-4A33-B537-71CA1EA9F450}"/>
    <cellStyle name="Normal 8 2 2 2 2 17" xfId="15045" xr:uid="{9645976A-E781-4A2A-8560-B863B6364F5A}"/>
    <cellStyle name="Normal 8 2 2 2 2 18" xfId="15046" xr:uid="{AC45A61F-E19B-4549-80BD-E94F80107E49}"/>
    <cellStyle name="Normal 8 2 2 2 2 19" xfId="15047" xr:uid="{ADF724BD-FB71-4B78-8A4B-E99FCD7E681B}"/>
    <cellStyle name="Normal 8 2 2 2 2 2" xfId="15048" xr:uid="{2EDB1C59-0A6F-446A-A81B-45DC5D676577}"/>
    <cellStyle name="Normal 8 2 2 2 2 20" xfId="15049" xr:uid="{67ED24E6-D914-42BF-874F-251655923D94}"/>
    <cellStyle name="Normal 8 2 2 2 2 21" xfId="15050" xr:uid="{8DAC6EE4-33BD-4896-95C1-2D617DDCD454}"/>
    <cellStyle name="Normal 8 2 2 2 2 22" xfId="15051" xr:uid="{F6A43761-609F-40C3-893B-82727058F519}"/>
    <cellStyle name="Normal 8 2 2 2 2 23" xfId="15052" xr:uid="{8B764CB4-F1A8-41FD-98CF-2F392FD9D8EF}"/>
    <cellStyle name="Normal 8 2 2 2 2 24" xfId="15053" xr:uid="{C94EF170-15A1-47E7-8CCE-956F6ED90994}"/>
    <cellStyle name="Normal 8 2 2 2 2 25" xfId="15054" xr:uid="{C86C2DC6-27FD-4545-9FDC-29D4CAADBBC2}"/>
    <cellStyle name="Normal 8 2 2 2 2 26" xfId="15055" xr:uid="{665A7ED8-B2EB-4C76-B1D5-3F3940FF53A6}"/>
    <cellStyle name="Normal 8 2 2 2 2 27" xfId="15056" xr:uid="{66CA9019-C997-466B-BA10-A33386A18AC6}"/>
    <cellStyle name="Normal 8 2 2 2 2 28" xfId="15057" xr:uid="{E47019A1-8355-4D7A-B81C-5585728FFD86}"/>
    <cellStyle name="Normal 8 2 2 2 2 29" xfId="15058" xr:uid="{D0EF447C-1093-4A41-B99E-6AFECAE9794B}"/>
    <cellStyle name="Normal 8 2 2 2 2 3" xfId="15059" xr:uid="{FB617F68-2138-4ED1-8249-4CFB45189860}"/>
    <cellStyle name="Normal 8 2 2 2 2 30" xfId="15060" xr:uid="{D7D8B950-FEDC-433D-A4A2-F2825C908B8A}"/>
    <cellStyle name="Normal 8 2 2 2 2 31" xfId="15061" xr:uid="{8758D0BD-F385-44F7-94E0-C057DEF51911}"/>
    <cellStyle name="Normal 8 2 2 2 2 32" xfId="15062" xr:uid="{E405DA96-A1F8-4A86-A258-279DBB02A85E}"/>
    <cellStyle name="Normal 8 2 2 2 2 33" xfId="15063" xr:uid="{C23BE467-6888-4914-86BB-883062764522}"/>
    <cellStyle name="Normal 8 2 2 2 2 34" xfId="15064" xr:uid="{D98AF684-5E76-424F-AAAF-BD6619317557}"/>
    <cellStyle name="Normal 8 2 2 2 2 35" xfId="15065" xr:uid="{BD059A4D-6C67-4E36-9A19-02596C1FB2F5}"/>
    <cellStyle name="Normal 8 2 2 2 2 36" xfId="15066" xr:uid="{D488685C-42A4-40F4-950D-0EBFB15AA18B}"/>
    <cellStyle name="Normal 8 2 2 2 2 37" xfId="15067" xr:uid="{27084399-6581-4F72-AE1E-D1E467363D9D}"/>
    <cellStyle name="Normal 8 2 2 2 2 38" xfId="15068" xr:uid="{A98A6FC5-E6BD-4731-9278-92A23BFF003F}"/>
    <cellStyle name="Normal 8 2 2 2 2 4" xfId="15069" xr:uid="{034DAE5E-00A1-47D9-BBB8-EA16289AE2B1}"/>
    <cellStyle name="Normal 8 2 2 2 2 5" xfId="15070" xr:uid="{8733215C-A8EF-4030-9BCA-02E74537D29D}"/>
    <cellStyle name="Normal 8 2 2 2 2 6" xfId="15071" xr:uid="{ED9FDC47-66E8-48F0-A0FD-F0B812413D5D}"/>
    <cellStyle name="Normal 8 2 2 2 2 7" xfId="15072" xr:uid="{46B5D68B-8E39-4BFC-8B46-B916D5F9B8A6}"/>
    <cellStyle name="Normal 8 2 2 2 2 8" xfId="15073" xr:uid="{6ABCF9B0-4D4A-4A0E-A3ED-3EE20CD1ECC0}"/>
    <cellStyle name="Normal 8 2 2 2 2 9" xfId="15074" xr:uid="{9953339F-E5CA-47AF-8A0B-867048568919}"/>
    <cellStyle name="Normal 8 2 2 2 20" xfId="15075" xr:uid="{F205D2F1-90ED-444C-90FB-2605B75263E8}"/>
    <cellStyle name="Normal 8 2 2 2 21" xfId="15076" xr:uid="{4E01CD30-06FD-40A0-A60E-D13D644D8A32}"/>
    <cellStyle name="Normal 8 2 2 2 22" xfId="15077" xr:uid="{2F877B99-EA86-4737-A07A-0AC799EC2487}"/>
    <cellStyle name="Normal 8 2 2 2 23" xfId="15078" xr:uid="{BFA8325C-1AD0-4F4A-A57A-DC7E6861819B}"/>
    <cellStyle name="Normal 8 2 2 2 24" xfId="15079" xr:uid="{18923138-427E-4CB3-91E7-DCE7BB8D77F8}"/>
    <cellStyle name="Normal 8 2 2 2 25" xfId="15080" xr:uid="{663392EA-1198-4099-9A68-0D85BA460187}"/>
    <cellStyle name="Normal 8 2 2 2 26" xfId="15081" xr:uid="{5E993E30-3E1D-4AF0-BB8E-03AD15636541}"/>
    <cellStyle name="Normal 8 2 2 2 27" xfId="15082" xr:uid="{61C4A4A7-204D-4C15-83FD-545E5D62A0D3}"/>
    <cellStyle name="Normal 8 2 2 2 28" xfId="15083" xr:uid="{16552535-6976-47E7-9134-34AFF1A0B71D}"/>
    <cellStyle name="Normal 8 2 2 2 29" xfId="15084" xr:uid="{30FB9DD5-6A57-4EF3-8898-5718034F0EF3}"/>
    <cellStyle name="Normal 8 2 2 2 3" xfId="15085" xr:uid="{CC8EC647-4EEC-409F-8194-B0DAAC406F18}"/>
    <cellStyle name="Normal 8 2 2 2 30" xfId="15086" xr:uid="{B830C1E2-C931-45C8-98B4-78D2658B23CB}"/>
    <cellStyle name="Normal 8 2 2 2 31" xfId="15087" xr:uid="{34F5F6FA-5AAE-49D7-808D-2D4E7444185E}"/>
    <cellStyle name="Normal 8 2 2 2 32" xfId="15088" xr:uid="{4F86E9E7-EE22-4854-BF0D-9812FA590F74}"/>
    <cellStyle name="Normal 8 2 2 2 33" xfId="15089" xr:uid="{FE1D92CB-DFD9-4A95-B4D5-9F48A4592160}"/>
    <cellStyle name="Normal 8 2 2 2 34" xfId="15090" xr:uid="{90D59254-ED56-49D0-8C1B-810217602B67}"/>
    <cellStyle name="Normal 8 2 2 2 35" xfId="15091" xr:uid="{4A6BD296-B2A3-48A7-970F-D92FBA2CBB06}"/>
    <cellStyle name="Normal 8 2 2 2 36" xfId="15092" xr:uid="{BF98B7D6-BCE0-4DB1-B410-8B086C0A48E0}"/>
    <cellStyle name="Normal 8 2 2 2 37" xfId="15093" xr:uid="{26234DBC-EE67-4A8A-81A4-156B923B507C}"/>
    <cellStyle name="Normal 8 2 2 2 38" xfId="15094" xr:uid="{C1E08A67-62E3-4C6C-A70C-4F1EA5EF2E62}"/>
    <cellStyle name="Normal 8 2 2 2 4" xfId="15095" xr:uid="{CFAAAECA-7137-4376-A0D0-D8795C5C9FFD}"/>
    <cellStyle name="Normal 8 2 2 2 5" xfId="15096" xr:uid="{65665C0B-8851-4029-9BDB-26E2A0EF86BA}"/>
    <cellStyle name="Normal 8 2 2 2 6" xfId="15097" xr:uid="{BA396419-9A3A-41FE-A13B-03CEE3CA5C40}"/>
    <cellStyle name="Normal 8 2 2 2 7" xfId="15098" xr:uid="{F9C393EF-4FE2-4137-87DB-59CBBFDABABF}"/>
    <cellStyle name="Normal 8 2 2 2 8" xfId="15099" xr:uid="{6C7F6EBC-66C2-484A-BB52-30D108735511}"/>
    <cellStyle name="Normal 8 2 2 2 9" xfId="15100" xr:uid="{C9F56FC7-AB3E-4913-AE8E-C68F52812349}"/>
    <cellStyle name="Normal 8 2 2 20" xfId="15101" xr:uid="{8261C352-B5B1-4BBF-940D-4653666D3900}"/>
    <cellStyle name="Normal 8 2 2 21" xfId="15102" xr:uid="{37F99667-5C27-47A7-8950-C3A0EA1672C7}"/>
    <cellStyle name="Normal 8 2 2 22" xfId="15103" xr:uid="{87656449-FA9C-46CB-8CD6-C16262DC3C7F}"/>
    <cellStyle name="Normal 8 2 2 23" xfId="15104" xr:uid="{3B8AC429-3CB0-4C3F-B2DD-DBA09CEBA498}"/>
    <cellStyle name="Normal 8 2 2 24" xfId="15105" xr:uid="{93C267D5-1290-4E04-92EB-48FF9024DC57}"/>
    <cellStyle name="Normal 8 2 2 25" xfId="15106" xr:uid="{73381BE5-F4F1-4163-94D5-7F64D5340C1D}"/>
    <cellStyle name="Normal 8 2 2 26" xfId="15107" xr:uid="{595845B4-7ADA-4A42-9F3D-A99BC6B57441}"/>
    <cellStyle name="Normal 8 2 2 27" xfId="15108" xr:uid="{A671068A-B2D5-4D9E-AEC0-C574A2B867CC}"/>
    <cellStyle name="Normal 8 2 2 28" xfId="15109" xr:uid="{E1A0BAE4-EED5-4015-8C97-32E821550D12}"/>
    <cellStyle name="Normal 8 2 2 29" xfId="15110" xr:uid="{6AEC006C-15F5-40BF-8401-ACA447B82094}"/>
    <cellStyle name="Normal 8 2 2 3" xfId="15111" xr:uid="{A566FF45-D030-4B4E-9A9F-9625BEAA719C}"/>
    <cellStyle name="Normal 8 2 2 30" xfId="15112" xr:uid="{C92CC072-A919-4314-A7C5-F1AB3A557650}"/>
    <cellStyle name="Normal 8 2 2 31" xfId="15113" xr:uid="{750AD509-517E-405B-8373-CFF25A11FE4A}"/>
    <cellStyle name="Normal 8 2 2 32" xfId="15114" xr:uid="{E083A914-194B-4550-8438-69B9838461BE}"/>
    <cellStyle name="Normal 8 2 2 33" xfId="15115" xr:uid="{739394B3-C631-400B-A370-D10F3A162298}"/>
    <cellStyle name="Normal 8 2 2 34" xfId="15116" xr:uid="{2499BED5-3144-4F8A-9707-DDAF7CEADE9A}"/>
    <cellStyle name="Normal 8 2 2 35" xfId="15117" xr:uid="{737DBD54-5936-4AEE-8107-93F87460C4FA}"/>
    <cellStyle name="Normal 8 2 2 36" xfId="15118" xr:uid="{9199AF8E-BB7F-4DB5-AA07-A78BE6053B6D}"/>
    <cellStyle name="Normal 8 2 2 37" xfId="15119" xr:uid="{5B046DD7-7814-4C14-8A47-9C261942B3D5}"/>
    <cellStyle name="Normal 8 2 2 38" xfId="15120" xr:uid="{F1CBB763-792C-4CE0-8792-5E23969F3845}"/>
    <cellStyle name="Normal 8 2 2 39" xfId="15121" xr:uid="{6CF11AF1-0F6B-44F5-925A-F3D5FB3146F3}"/>
    <cellStyle name="Normal 8 2 2 4" xfId="15122" xr:uid="{38903D76-9614-41AF-8DEC-2DE4C4D2E70D}"/>
    <cellStyle name="Normal 8 2 2 40" xfId="15123" xr:uid="{C79EEA14-2A7E-49E9-82F7-982465CF2C73}"/>
    <cellStyle name="Normal 8 2 2 5" xfId="15124" xr:uid="{3E09C6BD-1968-42D9-87F6-2709EDC3BA79}"/>
    <cellStyle name="Normal 8 2 2 6" xfId="15125" xr:uid="{BAC07662-9C72-4EC0-BE04-69DA66754448}"/>
    <cellStyle name="Normal 8 2 2 7" xfId="15126" xr:uid="{6623707D-E9FF-432F-B382-EAE6579A59EE}"/>
    <cellStyle name="Normal 8 2 2 8" xfId="15127" xr:uid="{922C6F1F-3501-404E-B068-0576354F81AA}"/>
    <cellStyle name="Normal 8 2 2 9" xfId="15128" xr:uid="{FB4D32CB-8376-4CEE-8B4B-2E6F86B4B6EF}"/>
    <cellStyle name="Normal 8 2 20" xfId="15129" xr:uid="{4587BF7D-5442-4E30-888E-85CECD6DFEA8}"/>
    <cellStyle name="Normal 8 2 21" xfId="15130" xr:uid="{4306A43F-CCC7-4825-B32D-5B88AB3EC074}"/>
    <cellStyle name="Normal 8 2 22" xfId="15131" xr:uid="{C0AA9D8A-F1D8-400F-AF76-C29DA3FEE1EA}"/>
    <cellStyle name="Normal 8 2 23" xfId="15132" xr:uid="{34FFC9FD-B450-4E52-ADE6-9259B6189BC6}"/>
    <cellStyle name="Normal 8 2 24" xfId="15133" xr:uid="{8A89D699-FF9D-4F59-8308-440411BFEED8}"/>
    <cellStyle name="Normal 8 2 25" xfId="15134" xr:uid="{73A2C605-E185-43E5-A102-9E64AA1B557D}"/>
    <cellStyle name="Normal 8 2 26" xfId="15135" xr:uid="{7F9F4F4F-A183-4770-BE1B-4C8898F426A7}"/>
    <cellStyle name="Normal 8 2 27" xfId="15136" xr:uid="{24BD06B3-F6E3-4C18-A480-CF03D53E32BB}"/>
    <cellStyle name="Normal 8 2 28" xfId="15137" xr:uid="{519CEBAF-D649-4323-B94D-20038BA66A62}"/>
    <cellStyle name="Normal 8 2 29" xfId="15138" xr:uid="{17D9718E-F839-4645-B90F-EAC30EC094F8}"/>
    <cellStyle name="Normal 8 2 3" xfId="15139" xr:uid="{CCE0D45B-B163-44E6-9703-FA8D74908CEE}"/>
    <cellStyle name="Normal 8 2 3 10" xfId="15140" xr:uid="{65A3E14E-443E-43E7-A5ED-152178398B4C}"/>
    <cellStyle name="Normal 8 2 3 11" xfId="15141" xr:uid="{9FF9140E-E3AD-4FC0-A4D5-E733C526E445}"/>
    <cellStyle name="Normal 8 2 3 12" xfId="15142" xr:uid="{0B241084-D7D6-49EE-9CA7-D8F627488683}"/>
    <cellStyle name="Normal 8 2 3 13" xfId="15143" xr:uid="{78434371-C1C7-465E-A74D-C7FA0258FEBA}"/>
    <cellStyle name="Normal 8 2 3 14" xfId="15144" xr:uid="{A97857F9-575E-486B-9C57-716FE022F8F2}"/>
    <cellStyle name="Normal 8 2 3 15" xfId="15145" xr:uid="{1F164746-5CE6-4783-8BFC-F90CA7A969A4}"/>
    <cellStyle name="Normal 8 2 3 16" xfId="15146" xr:uid="{2B44D9D8-E518-4B24-8BDD-25C5DCD18238}"/>
    <cellStyle name="Normal 8 2 3 17" xfId="15147" xr:uid="{0F6FD998-7DC3-4BA5-B0CB-4FEB814E68A3}"/>
    <cellStyle name="Normal 8 2 3 18" xfId="15148" xr:uid="{B64DFBB6-FB30-4FD0-96AF-6A403D98C486}"/>
    <cellStyle name="Normal 8 2 3 19" xfId="15149" xr:uid="{DE94BADA-FC2C-4902-B2FC-B3EE837EAF00}"/>
    <cellStyle name="Normal 8 2 3 2" xfId="15150" xr:uid="{3208A0CC-0CB8-4053-9DD7-87799971B8E3}"/>
    <cellStyle name="Normal 8 2 3 2 10" xfId="15151" xr:uid="{184D9605-32E8-405F-9BE5-388FFD4117F6}"/>
    <cellStyle name="Normal 8 2 3 2 11" xfId="15152" xr:uid="{3BF7D0E4-CFC7-412C-8561-A09B777E7C88}"/>
    <cellStyle name="Normal 8 2 3 2 12" xfId="15153" xr:uid="{DC2F84B3-37D6-4262-8877-6437C8A0D506}"/>
    <cellStyle name="Normal 8 2 3 2 13" xfId="15154" xr:uid="{72A6A046-CBD2-4FA5-A084-8636F9A32A8E}"/>
    <cellStyle name="Normal 8 2 3 2 14" xfId="15155" xr:uid="{0885BBA7-A944-4E13-9026-F517B112D932}"/>
    <cellStyle name="Normal 8 2 3 2 15" xfId="15156" xr:uid="{D04B4997-F81A-45BD-833F-6447B4E6D723}"/>
    <cellStyle name="Normal 8 2 3 2 16" xfId="15157" xr:uid="{C1A6C6F5-6BC6-4091-B07A-B6D1E496ECFD}"/>
    <cellStyle name="Normal 8 2 3 2 17" xfId="15158" xr:uid="{0070B06C-C876-4913-A5DF-CCF1046409C4}"/>
    <cellStyle name="Normal 8 2 3 2 18" xfId="15159" xr:uid="{83C27769-FCFB-48D5-A972-E2537915D9DC}"/>
    <cellStyle name="Normal 8 2 3 2 19" xfId="15160" xr:uid="{95E58791-DB1C-4908-A379-02C310644B78}"/>
    <cellStyle name="Normal 8 2 3 2 2" xfId="15161" xr:uid="{EAC34DD5-1D93-42A0-A850-F594284C3A6A}"/>
    <cellStyle name="Normal 8 2 3 2 20" xfId="15162" xr:uid="{B2848A40-0161-42BA-869E-4BCFD68993C7}"/>
    <cellStyle name="Normal 8 2 3 2 21" xfId="15163" xr:uid="{0EF38993-B726-43B7-819D-371732A37986}"/>
    <cellStyle name="Normal 8 2 3 2 22" xfId="15164" xr:uid="{3C33FB6C-C6F4-4460-AE30-297DF5CF4C55}"/>
    <cellStyle name="Normal 8 2 3 2 23" xfId="15165" xr:uid="{8D5F8737-B321-43C4-AB9C-7F0F7C000BF6}"/>
    <cellStyle name="Normal 8 2 3 2 24" xfId="15166" xr:uid="{71CD1080-CDD6-4207-B60E-0166E5570925}"/>
    <cellStyle name="Normal 8 2 3 2 25" xfId="15167" xr:uid="{9CA578B8-FD28-454E-BC8A-D1002F3C2817}"/>
    <cellStyle name="Normal 8 2 3 2 26" xfId="15168" xr:uid="{6E896F88-8AB6-479F-A35D-E21B8C3AA785}"/>
    <cellStyle name="Normal 8 2 3 2 27" xfId="15169" xr:uid="{868EF979-987E-4D7F-8EBD-D04E4EB850CF}"/>
    <cellStyle name="Normal 8 2 3 2 28" xfId="15170" xr:uid="{905624CC-EAFC-4A75-A2B4-4767C06446AC}"/>
    <cellStyle name="Normal 8 2 3 2 29" xfId="15171" xr:uid="{28099030-531B-4E9D-B6D8-6665EDE6F704}"/>
    <cellStyle name="Normal 8 2 3 2 3" xfId="15172" xr:uid="{C56FE029-D78C-44F7-B5F0-502B037B6F06}"/>
    <cellStyle name="Normal 8 2 3 2 30" xfId="15173" xr:uid="{22C2716D-79E3-491A-AC6A-7C0ACAE29A03}"/>
    <cellStyle name="Normal 8 2 3 2 31" xfId="15174" xr:uid="{B41E8170-09E0-4BE9-8F72-F5C9C94976EE}"/>
    <cellStyle name="Normal 8 2 3 2 32" xfId="15175" xr:uid="{816466D1-EA6A-4542-B616-DD84E4FFD458}"/>
    <cellStyle name="Normal 8 2 3 2 33" xfId="15176" xr:uid="{CC1E8F33-BE40-4A57-A9FA-B50DD6BA9934}"/>
    <cellStyle name="Normal 8 2 3 2 34" xfId="15177" xr:uid="{5CF467BB-7B05-41BF-91ED-9ED2AF4343C9}"/>
    <cellStyle name="Normal 8 2 3 2 35" xfId="15178" xr:uid="{7E52C52F-0C5A-4A06-A06C-B87AA7728030}"/>
    <cellStyle name="Normal 8 2 3 2 36" xfId="15179" xr:uid="{48A94A23-3840-44FD-8D7E-2E0D68356891}"/>
    <cellStyle name="Normal 8 2 3 2 37" xfId="15180" xr:uid="{06B6D05B-8C62-4877-AA94-4A7BCE6BEC07}"/>
    <cellStyle name="Normal 8 2 3 2 38" xfId="15181" xr:uid="{A3D0480E-6250-4978-956E-A1EF1E0C761F}"/>
    <cellStyle name="Normal 8 2 3 2 4" xfId="15182" xr:uid="{B6F823E7-A3F4-4C06-B105-70607683595A}"/>
    <cellStyle name="Normal 8 2 3 2 5" xfId="15183" xr:uid="{233BA599-34F1-4A00-8072-1E2EBFF1299E}"/>
    <cellStyle name="Normal 8 2 3 2 6" xfId="15184" xr:uid="{5B876F48-5688-43B2-946F-9886E27D706F}"/>
    <cellStyle name="Normal 8 2 3 2 7" xfId="15185" xr:uid="{AA7A34A5-C7F9-41B0-BA47-A69D8E7F968B}"/>
    <cellStyle name="Normal 8 2 3 2 8" xfId="15186" xr:uid="{A7597443-9282-4991-935F-CFD8B01FBCCE}"/>
    <cellStyle name="Normal 8 2 3 2 9" xfId="15187" xr:uid="{B45D12A3-0A46-46E6-8446-AB30ED49F15E}"/>
    <cellStyle name="Normal 8 2 3 20" xfId="15188" xr:uid="{FE6EB609-0D37-47CE-934E-1B6416BC048E}"/>
    <cellStyle name="Normal 8 2 3 21" xfId="15189" xr:uid="{16BE35B6-0943-4CCD-BAB3-2E5BBF5BEDB4}"/>
    <cellStyle name="Normal 8 2 3 22" xfId="15190" xr:uid="{A74069EF-1F6F-4747-A031-BBBCE96E7631}"/>
    <cellStyle name="Normal 8 2 3 23" xfId="15191" xr:uid="{A2366619-3575-48BA-92EB-DE59763FFDCD}"/>
    <cellStyle name="Normal 8 2 3 24" xfId="15192" xr:uid="{58D0A017-7621-4779-810B-EADA9FAED3FD}"/>
    <cellStyle name="Normal 8 2 3 25" xfId="15193" xr:uid="{DE4C491D-22F1-4EF9-97F2-5EF06C89ECBB}"/>
    <cellStyle name="Normal 8 2 3 26" xfId="15194" xr:uid="{3BAF1F8F-F65F-4BB6-981B-82FE65628CC2}"/>
    <cellStyle name="Normal 8 2 3 27" xfId="15195" xr:uid="{F108AF0F-B635-4240-B41D-E205C20ED173}"/>
    <cellStyle name="Normal 8 2 3 28" xfId="15196" xr:uid="{63168E15-B9D4-4CCB-8E34-AA3C01DFF09D}"/>
    <cellStyle name="Normal 8 2 3 29" xfId="15197" xr:uid="{A0F4A29E-E1E4-4162-B8BF-FF179879081F}"/>
    <cellStyle name="Normal 8 2 3 3" xfId="15198" xr:uid="{796AF92E-5A51-4604-87A4-1E9AE256E9A2}"/>
    <cellStyle name="Normal 8 2 3 30" xfId="15199" xr:uid="{0C5D0CB2-79E2-4F3D-B4ED-3E161AAF93B3}"/>
    <cellStyle name="Normal 8 2 3 31" xfId="15200" xr:uid="{518DACA4-04AA-4F3C-B210-F5AA6ECEFF5C}"/>
    <cellStyle name="Normal 8 2 3 32" xfId="15201" xr:uid="{453BF525-8F32-4DAA-9FD5-CBE300951B9A}"/>
    <cellStyle name="Normal 8 2 3 33" xfId="15202" xr:uid="{963A4B61-C299-4823-976A-8BB9CFDEE379}"/>
    <cellStyle name="Normal 8 2 3 34" xfId="15203" xr:uid="{BA4A06D3-1D2B-47B9-9D9B-84713EFF5C4C}"/>
    <cellStyle name="Normal 8 2 3 35" xfId="15204" xr:uid="{39F4F26C-BFA5-47CA-BCCB-C12FE842B6AB}"/>
    <cellStyle name="Normal 8 2 3 36" xfId="15205" xr:uid="{A7A25A6D-8C84-4B8E-A304-A6315DBFF74D}"/>
    <cellStyle name="Normal 8 2 3 37" xfId="15206" xr:uid="{21CD237C-D911-4DAE-A7B0-39C0D8E1AFE2}"/>
    <cellStyle name="Normal 8 2 3 38" xfId="15207" xr:uid="{40F3CD59-C310-4003-B0F5-176C8DAEF4B3}"/>
    <cellStyle name="Normal 8 2 3 4" xfId="15208" xr:uid="{64A5F850-61F9-4ECD-B661-386700984CEE}"/>
    <cellStyle name="Normal 8 2 3 5" xfId="15209" xr:uid="{F47DD039-718C-4F35-BFD1-0E5B3EB80EDB}"/>
    <cellStyle name="Normal 8 2 3 6" xfId="15210" xr:uid="{208CBC6F-7212-4D76-B666-D3D50B8EE7B4}"/>
    <cellStyle name="Normal 8 2 3 7" xfId="15211" xr:uid="{11E50554-4014-43F4-AAE7-781381B5FEF6}"/>
    <cellStyle name="Normal 8 2 3 8" xfId="15212" xr:uid="{0284D3A9-0B1F-4512-9F7B-F40167EC1D52}"/>
    <cellStyle name="Normal 8 2 3 9" xfId="15213" xr:uid="{F4AEAACC-C4C2-4DC8-8FFC-4EA6F913EE02}"/>
    <cellStyle name="Normal 8 2 30" xfId="15214" xr:uid="{15B75AFE-8FD2-495C-B75C-00879F539551}"/>
    <cellStyle name="Normal 8 2 31" xfId="15215" xr:uid="{A7BCCA3D-DF07-42AC-9076-6DCC6EE190D9}"/>
    <cellStyle name="Normal 8 2 32" xfId="15216" xr:uid="{687088C6-4248-4D85-9B17-27A3FE2F339B}"/>
    <cellStyle name="Normal 8 2 33" xfId="15217" xr:uid="{BAEBDBCC-ECA9-48BA-8D57-D47EF13C47CC}"/>
    <cellStyle name="Normal 8 2 34" xfId="15218" xr:uid="{6DDCDB37-FD58-4377-8C4B-6483DC6C2B53}"/>
    <cellStyle name="Normal 8 2 35" xfId="15219" xr:uid="{E23ED05C-F59A-4640-8DFA-EA76F5C6F2D5}"/>
    <cellStyle name="Normal 8 2 36" xfId="15220" xr:uid="{83F70F41-F71B-4746-B465-E569A327A0D8}"/>
    <cellStyle name="Normal 8 2 37" xfId="15221" xr:uid="{8AD70929-2958-49BE-B2DF-6996C2162EE4}"/>
    <cellStyle name="Normal 8 2 38" xfId="15222" xr:uid="{31E68B97-4B32-4184-87BE-A132170AB8BF}"/>
    <cellStyle name="Normal 8 2 39" xfId="15223" xr:uid="{37C57840-4598-4702-AB8B-FBE5FCE38A4B}"/>
    <cellStyle name="Normal 8 2 4" xfId="15224" xr:uid="{560F3FA8-8DAD-499E-A593-BD09E39EFC03}"/>
    <cellStyle name="Normal 8 2 40" xfId="15225" xr:uid="{EBFED571-040C-4128-B86F-62B273089F23}"/>
    <cellStyle name="Normal 8 2 41" xfId="15226" xr:uid="{23EA0CE9-5399-4164-8074-E62889C74A37}"/>
    <cellStyle name="Normal 8 2 42" xfId="15227" xr:uid="{B99EC2B9-3798-4913-9197-CECECE5B381E}"/>
    <cellStyle name="Normal 8 2 43" xfId="15228" xr:uid="{C600EE9E-029B-4B0F-ADE3-FEB1733CBE4D}"/>
    <cellStyle name="Normal 8 2 44" xfId="15229" xr:uid="{DD413562-9BE6-4127-8DF3-8B118716303A}"/>
    <cellStyle name="Normal 8 2 45" xfId="15230" xr:uid="{E1CE36E1-3EE4-4033-B8C4-37882C6800D5}"/>
    <cellStyle name="Normal 8 2 46" xfId="15231" xr:uid="{C1A76AF5-4F1F-402A-ABD3-6B21F5EE49E4}"/>
    <cellStyle name="Normal 8 2 47" xfId="15232" xr:uid="{A9826679-43B1-423F-B35E-4720DB6598AA}"/>
    <cellStyle name="Normal 8 2 5" xfId="15233" xr:uid="{F8EACB45-DA84-48A8-8459-8606953AC295}"/>
    <cellStyle name="Normal 8 2 6" xfId="15234" xr:uid="{38C686D9-126B-4BFE-B7BD-8340BE8DE8C7}"/>
    <cellStyle name="Normal 8 2 7" xfId="15235" xr:uid="{D3CD57C1-1473-463A-A449-4CD33227E2D6}"/>
    <cellStyle name="Normal 8 2 8" xfId="15236" xr:uid="{6B49092F-267C-4E4F-A3B0-54D2D4BB0472}"/>
    <cellStyle name="Normal 8 2 9" xfId="15237" xr:uid="{726E54EB-4DC2-4272-9D0F-DFAD63FB0E13}"/>
    <cellStyle name="Normal 8 20" xfId="15238" xr:uid="{347DAB17-17BB-4F16-B692-B51085ADD7C0}"/>
    <cellStyle name="Normal 8 21" xfId="15239" xr:uid="{7C9AE97A-7B33-4DCC-872B-7965773DA635}"/>
    <cellStyle name="Normal 8 22" xfId="15240" xr:uid="{5CB94712-6FC7-4FAC-8D83-A93AB0352FD2}"/>
    <cellStyle name="Normal 8 23" xfId="15241" xr:uid="{C660DEB6-DBC1-43EE-9CC3-EBE4A6824710}"/>
    <cellStyle name="Normal 8 24" xfId="15242" xr:uid="{2F92688A-8C40-4755-84BB-BFA25A06D236}"/>
    <cellStyle name="Normal 8 25" xfId="15243" xr:uid="{62FE8D9D-00E8-4A57-BBA7-CDD30D75AB54}"/>
    <cellStyle name="Normal 8 26" xfId="15244" xr:uid="{A5899417-DD7E-4305-A34D-A132C9300BA8}"/>
    <cellStyle name="Normal 8 27" xfId="15245" xr:uid="{B009BE75-DAA8-4E7A-BFB7-DD8EAA84C2A4}"/>
    <cellStyle name="Normal 8 28" xfId="15246" xr:uid="{D93DDA58-FBC9-4941-970F-8451100E7E6D}"/>
    <cellStyle name="Normal 8 29" xfId="15247" xr:uid="{9E93C302-2534-499C-A604-19135A7B3CA7}"/>
    <cellStyle name="Normal 8 3" xfId="15248" xr:uid="{E9CBC126-6326-42B9-AF5A-52DC62D45C05}"/>
    <cellStyle name="Normal 8 3 10" xfId="15249" xr:uid="{B17B68AA-BA90-4DB6-9637-728EC837226A}"/>
    <cellStyle name="Normal 8 3 11" xfId="15250" xr:uid="{D9096D8E-DA9F-4182-83C9-2A41A9A71073}"/>
    <cellStyle name="Normal 8 3 12" xfId="15251" xr:uid="{A9C4A5FB-4371-4DC9-AE50-7030A57D0F36}"/>
    <cellStyle name="Normal 8 3 13" xfId="15252" xr:uid="{475F5EBD-61EB-43D6-92DC-370542CBD57C}"/>
    <cellStyle name="Normal 8 3 14" xfId="15253" xr:uid="{506FA991-44E4-4803-AACE-08C8C9B3811F}"/>
    <cellStyle name="Normal 8 3 15" xfId="15254" xr:uid="{F17EF202-AB23-4A67-BF4F-F8791AF79556}"/>
    <cellStyle name="Normal 8 3 16" xfId="15255" xr:uid="{22C4030C-4836-4A7D-AA73-330FA8B04660}"/>
    <cellStyle name="Normal 8 3 17" xfId="15256" xr:uid="{B5747095-F852-4776-AD7E-13FF8B1DD454}"/>
    <cellStyle name="Normal 8 3 18" xfId="15257" xr:uid="{478382D7-3223-4FEA-B96D-A0315B0A0A62}"/>
    <cellStyle name="Normal 8 3 19" xfId="15258" xr:uid="{B08ADD29-E62F-4A36-8E7A-16DBF861292C}"/>
    <cellStyle name="Normal 8 3 2" xfId="15259" xr:uid="{3794E5E2-4B81-4626-AAE1-0A7CD4B2F6CC}"/>
    <cellStyle name="Normal 8 3 2 10" xfId="15260" xr:uid="{C4309DEB-5D73-4AB5-B50C-6684FEE01468}"/>
    <cellStyle name="Normal 8 3 2 11" xfId="15261" xr:uid="{6E403A64-9165-4475-8D6F-81D5A5874FE2}"/>
    <cellStyle name="Normal 8 3 2 12" xfId="15262" xr:uid="{C01D656B-1722-41B0-B950-892811A5B75C}"/>
    <cellStyle name="Normal 8 3 2 13" xfId="15263" xr:uid="{3C0A02DC-4FAD-475C-9C60-AF0CF33C444F}"/>
    <cellStyle name="Normal 8 3 2 14" xfId="15264" xr:uid="{06B6CC01-44EC-4A7C-A9C3-9A63AB8EC672}"/>
    <cellStyle name="Normal 8 3 2 15" xfId="15265" xr:uid="{F36B87A3-9D0F-494B-8FB6-C998E2F2BE7E}"/>
    <cellStyle name="Normal 8 3 2 16" xfId="15266" xr:uid="{D30C9116-3E00-4E7B-8A36-512483C959F1}"/>
    <cellStyle name="Normal 8 3 2 17" xfId="15267" xr:uid="{DCBA75BC-5FB9-4880-8F03-8D23DA2F4AF9}"/>
    <cellStyle name="Normal 8 3 2 18" xfId="15268" xr:uid="{1A4FB6C8-989B-4634-B78B-2D688DC51CCA}"/>
    <cellStyle name="Normal 8 3 2 19" xfId="15269" xr:uid="{4A0AC1BE-72CE-469D-841C-BD70D4C7976D}"/>
    <cellStyle name="Normal 8 3 2 2" xfId="15270" xr:uid="{FB7492B0-AD7E-483E-A2B7-66AFFEBCB826}"/>
    <cellStyle name="Normal 8 3 2 2 10" xfId="15271" xr:uid="{44E86DD7-45F7-4F7C-8234-1974BFDB1D69}"/>
    <cellStyle name="Normal 8 3 2 2 11" xfId="15272" xr:uid="{CDBEC25B-7CD4-47F7-BEC7-04AB729A9F11}"/>
    <cellStyle name="Normal 8 3 2 2 12" xfId="15273" xr:uid="{1A435F5C-D20F-4DB6-AA51-9936A049A881}"/>
    <cellStyle name="Normal 8 3 2 2 13" xfId="15274" xr:uid="{9135B3CC-84A1-4205-9048-75BF959C3200}"/>
    <cellStyle name="Normal 8 3 2 2 14" xfId="15275" xr:uid="{D81266F6-342B-4D25-8A6D-99C34B7369B9}"/>
    <cellStyle name="Normal 8 3 2 2 15" xfId="15276" xr:uid="{918D0D81-B592-465E-8F6A-A03A29B2ED7A}"/>
    <cellStyle name="Normal 8 3 2 2 16" xfId="15277" xr:uid="{2B9C336C-8069-4835-845E-31F375518A9F}"/>
    <cellStyle name="Normal 8 3 2 2 17" xfId="15278" xr:uid="{FEA50BAD-9D6E-4826-ABE1-4DE77CE9264C}"/>
    <cellStyle name="Normal 8 3 2 2 18" xfId="15279" xr:uid="{B74A68EC-0281-4DBD-B532-DB5144F05AE8}"/>
    <cellStyle name="Normal 8 3 2 2 19" xfId="15280" xr:uid="{2D312D75-FDDF-44B2-AD11-6A14FC100402}"/>
    <cellStyle name="Normal 8 3 2 2 2" xfId="15281" xr:uid="{9907B6AD-745A-4948-8C4A-D908ACF31AB5}"/>
    <cellStyle name="Normal 8 3 2 2 2 10" xfId="15282" xr:uid="{4E638EFD-103A-432B-9857-738C4656079E}"/>
    <cellStyle name="Normal 8 3 2 2 2 11" xfId="15283" xr:uid="{4D63F905-4AD6-4472-8CE2-69986E27CF28}"/>
    <cellStyle name="Normal 8 3 2 2 2 12" xfId="15284" xr:uid="{EFC95AF7-924F-4A49-8C6B-0865C9DF5AD1}"/>
    <cellStyle name="Normal 8 3 2 2 2 13" xfId="15285" xr:uid="{41BC3E69-9952-49B8-921A-992D3F5D6A53}"/>
    <cellStyle name="Normal 8 3 2 2 2 14" xfId="15286" xr:uid="{3B28F3CF-27C9-479C-B74D-CE7E76BB5A80}"/>
    <cellStyle name="Normal 8 3 2 2 2 15" xfId="15287" xr:uid="{B679AE6A-0BA0-4547-ADEC-E11E1CA3DA91}"/>
    <cellStyle name="Normal 8 3 2 2 2 16" xfId="15288" xr:uid="{2A2447C8-D5C0-4878-9441-ED3CDDABB901}"/>
    <cellStyle name="Normal 8 3 2 2 2 17" xfId="15289" xr:uid="{7B0F0A4B-0E92-41A7-97FB-97B88205B84A}"/>
    <cellStyle name="Normal 8 3 2 2 2 18" xfId="15290" xr:uid="{945D9265-B066-4A25-AA59-E791062EEF24}"/>
    <cellStyle name="Normal 8 3 2 2 2 19" xfId="15291" xr:uid="{63E22574-EE80-4D65-AFF6-2D66F0557407}"/>
    <cellStyle name="Normal 8 3 2 2 2 2" xfId="15292" xr:uid="{896CB40F-BAC7-4E60-AED0-3B8F096AEFD9}"/>
    <cellStyle name="Normal 8 3 2 2 2 20" xfId="15293" xr:uid="{F2356B63-4D91-4012-B74F-0F0B1476BD1D}"/>
    <cellStyle name="Normal 8 3 2 2 2 21" xfId="15294" xr:uid="{BD278297-F268-46CB-8B99-93252C8163C0}"/>
    <cellStyle name="Normal 8 3 2 2 2 22" xfId="15295" xr:uid="{85731EBF-CDF6-4E54-81E4-34C5ADF61C5E}"/>
    <cellStyle name="Normal 8 3 2 2 2 23" xfId="15296" xr:uid="{96C7141A-CAC3-4180-AE54-E8C4BC2CA130}"/>
    <cellStyle name="Normal 8 3 2 2 2 24" xfId="15297" xr:uid="{5D03F16C-FC7E-4E27-A958-0E05A999812D}"/>
    <cellStyle name="Normal 8 3 2 2 2 25" xfId="15298" xr:uid="{4309A895-8B8C-433D-84B0-CBD954B18628}"/>
    <cellStyle name="Normal 8 3 2 2 2 26" xfId="15299" xr:uid="{A5CCF0B8-430E-48F3-9F3B-B5BF7C9C4F4A}"/>
    <cellStyle name="Normal 8 3 2 2 2 27" xfId="15300" xr:uid="{63643D93-37C2-4DC4-9579-B4054B389A60}"/>
    <cellStyle name="Normal 8 3 2 2 2 28" xfId="15301" xr:uid="{A2D2622E-4F41-4E1D-AB20-2FF2F555BE08}"/>
    <cellStyle name="Normal 8 3 2 2 2 29" xfId="15302" xr:uid="{8EC8C54F-257C-458D-A9CB-A106CE24C633}"/>
    <cellStyle name="Normal 8 3 2 2 2 3" xfId="15303" xr:uid="{90DA0C06-E19E-4E8E-83A8-4CC7450B7660}"/>
    <cellStyle name="Normal 8 3 2 2 2 30" xfId="15304" xr:uid="{E4617CEE-BBFA-46EE-9F52-6FA70C1CD679}"/>
    <cellStyle name="Normal 8 3 2 2 2 31" xfId="15305" xr:uid="{5C0715D4-6032-4910-9BDE-61211B584D87}"/>
    <cellStyle name="Normal 8 3 2 2 2 32" xfId="15306" xr:uid="{A4773D17-6548-446A-BCC7-D77E9015E534}"/>
    <cellStyle name="Normal 8 3 2 2 2 33" xfId="15307" xr:uid="{CC3416FF-7793-45C4-8181-7D2ED42CD29E}"/>
    <cellStyle name="Normal 8 3 2 2 2 34" xfId="15308" xr:uid="{B6A63B94-EFC1-40DE-AC9D-D872808FAD9F}"/>
    <cellStyle name="Normal 8 3 2 2 2 35" xfId="15309" xr:uid="{07720931-2926-4422-8F53-D958C8805A0A}"/>
    <cellStyle name="Normal 8 3 2 2 2 36" xfId="15310" xr:uid="{F0A99CFE-411C-47DD-B6D5-8FECD54A7560}"/>
    <cellStyle name="Normal 8 3 2 2 2 37" xfId="15311" xr:uid="{366C251A-85D1-46AF-8352-4E10265AEAE0}"/>
    <cellStyle name="Normal 8 3 2 2 2 38" xfId="15312" xr:uid="{D855A9DB-FCE8-4895-91FF-53AAC895749D}"/>
    <cellStyle name="Normal 8 3 2 2 2 4" xfId="15313" xr:uid="{92413C03-A3CD-42E3-A5B2-990285426B60}"/>
    <cellStyle name="Normal 8 3 2 2 2 5" xfId="15314" xr:uid="{EAD331B1-5D42-4141-9DFF-01BF869C2F46}"/>
    <cellStyle name="Normal 8 3 2 2 2 6" xfId="15315" xr:uid="{77ED7639-1449-4A3D-9E6D-73C631A0BC11}"/>
    <cellStyle name="Normal 8 3 2 2 2 7" xfId="15316" xr:uid="{8C4EA25A-72B1-45FE-94F1-EF2F27FFE201}"/>
    <cellStyle name="Normal 8 3 2 2 2 8" xfId="15317" xr:uid="{93BE0C2A-F1B8-484D-8C61-7C2472E930A4}"/>
    <cellStyle name="Normal 8 3 2 2 2 9" xfId="15318" xr:uid="{8FCAB18E-790C-4DF8-80FE-299D073C415F}"/>
    <cellStyle name="Normal 8 3 2 2 20" xfId="15319" xr:uid="{EB89F440-BFA0-48D8-865C-171946B191CA}"/>
    <cellStyle name="Normal 8 3 2 2 21" xfId="15320" xr:uid="{52CDA4D3-38C9-4241-9C6E-47FBAC6D3552}"/>
    <cellStyle name="Normal 8 3 2 2 22" xfId="15321" xr:uid="{4A69783E-146E-44C3-9025-DB25E865AAFD}"/>
    <cellStyle name="Normal 8 3 2 2 23" xfId="15322" xr:uid="{0B7267CB-2011-4E3A-91DB-6F342BD0374D}"/>
    <cellStyle name="Normal 8 3 2 2 24" xfId="15323" xr:uid="{4C468205-2DF6-49AC-A35A-73D7FA41A4C2}"/>
    <cellStyle name="Normal 8 3 2 2 25" xfId="15324" xr:uid="{2D9049FE-1F57-43C0-A7F4-45C4CB75709E}"/>
    <cellStyle name="Normal 8 3 2 2 26" xfId="15325" xr:uid="{14FB46AB-FAE5-442A-87B9-84A3117B78D3}"/>
    <cellStyle name="Normal 8 3 2 2 27" xfId="15326" xr:uid="{4A40382B-0208-45B4-8962-7BD1CC6BE988}"/>
    <cellStyle name="Normal 8 3 2 2 28" xfId="15327" xr:uid="{A2480C5C-257D-44E8-8A48-28CBEC67DD66}"/>
    <cellStyle name="Normal 8 3 2 2 29" xfId="15328" xr:uid="{72F28649-0171-4B53-BFC3-F52DFDCF0A29}"/>
    <cellStyle name="Normal 8 3 2 2 3" xfId="15329" xr:uid="{9EAE9D4F-A6FD-4D9D-91C3-2BF1A7A76A29}"/>
    <cellStyle name="Normal 8 3 2 2 30" xfId="15330" xr:uid="{F4976B80-E4C1-4B9B-9E22-6E4ECDE2573D}"/>
    <cellStyle name="Normal 8 3 2 2 31" xfId="15331" xr:uid="{8C8C9AFB-0DDA-48F5-AD71-1C90857D384B}"/>
    <cellStyle name="Normal 8 3 2 2 32" xfId="15332" xr:uid="{F7C6FCC5-F316-4BD4-A62D-665F5568B92D}"/>
    <cellStyle name="Normal 8 3 2 2 33" xfId="15333" xr:uid="{A0DB2BCE-B06A-4127-98C4-5BC923D0D752}"/>
    <cellStyle name="Normal 8 3 2 2 34" xfId="15334" xr:uid="{8C49BEB1-6AC7-4E3E-8149-96B2D8F43BA2}"/>
    <cellStyle name="Normal 8 3 2 2 35" xfId="15335" xr:uid="{3297EB53-337F-47BD-8940-427E9EBB33A3}"/>
    <cellStyle name="Normal 8 3 2 2 36" xfId="15336" xr:uid="{948731A1-E533-4633-8FBE-AD54626EB5A7}"/>
    <cellStyle name="Normal 8 3 2 2 37" xfId="15337" xr:uid="{FA6407B4-36D2-4702-B075-37DA4A418F70}"/>
    <cellStyle name="Normal 8 3 2 2 38" xfId="15338" xr:uid="{431BAAB5-A426-4578-A283-AD26D43169AB}"/>
    <cellStyle name="Normal 8 3 2 2 4" xfId="15339" xr:uid="{733294DA-D774-4DD9-8AAB-E9762BCE7551}"/>
    <cellStyle name="Normal 8 3 2 2 5" xfId="15340" xr:uid="{9844F9C7-D184-47D4-BEBE-B617B8AA335D}"/>
    <cellStyle name="Normal 8 3 2 2 6" xfId="15341" xr:uid="{6760FFDB-F18B-47E9-91EA-DBBB217BED7B}"/>
    <cellStyle name="Normal 8 3 2 2 7" xfId="15342" xr:uid="{8EF0D6D9-87A3-44F5-8399-9CE266125D12}"/>
    <cellStyle name="Normal 8 3 2 2 8" xfId="15343" xr:uid="{0E9C7922-66AD-44E7-8FAE-CEC66A459B32}"/>
    <cellStyle name="Normal 8 3 2 2 9" xfId="15344" xr:uid="{FB58E921-9148-49F1-AC05-F68FE7051268}"/>
    <cellStyle name="Normal 8 3 2 20" xfId="15345" xr:uid="{75DC0A14-052D-4410-900C-F345C385583D}"/>
    <cellStyle name="Normal 8 3 2 21" xfId="15346" xr:uid="{7582F330-705F-4739-9191-DA4446483705}"/>
    <cellStyle name="Normal 8 3 2 22" xfId="15347" xr:uid="{96893267-B77C-479D-AF42-6B5F9304F5D0}"/>
    <cellStyle name="Normal 8 3 2 23" xfId="15348" xr:uid="{2A65FCA2-6E73-4FD0-A359-0D6D8088D530}"/>
    <cellStyle name="Normal 8 3 2 24" xfId="15349" xr:uid="{7CA87354-1A0D-484E-A079-7CDAA34092E6}"/>
    <cellStyle name="Normal 8 3 2 25" xfId="15350" xr:uid="{44E31A2D-FD99-4A92-8FAA-7E6A73475453}"/>
    <cellStyle name="Normal 8 3 2 26" xfId="15351" xr:uid="{960E6CE9-E2D0-46EF-ACC6-4FC4AFCD7011}"/>
    <cellStyle name="Normal 8 3 2 27" xfId="15352" xr:uid="{51C1967B-6F85-4C82-8B74-98F08A4C0DFA}"/>
    <cellStyle name="Normal 8 3 2 28" xfId="15353" xr:uid="{0B975190-6CE5-4015-B85B-693AA7EC0F50}"/>
    <cellStyle name="Normal 8 3 2 29" xfId="15354" xr:uid="{DDF354BA-7919-482F-9214-231C66EA1D49}"/>
    <cellStyle name="Normal 8 3 2 3" xfId="15355" xr:uid="{91F694BE-9F16-4BC7-B98F-1776319CC41B}"/>
    <cellStyle name="Normal 8 3 2 30" xfId="15356" xr:uid="{6666E276-5C44-4395-AC56-9A143708FD0A}"/>
    <cellStyle name="Normal 8 3 2 31" xfId="15357" xr:uid="{52FD6A23-9F80-4727-8B66-8C34AB7969D4}"/>
    <cellStyle name="Normal 8 3 2 32" xfId="15358" xr:uid="{608C1C65-EB80-4E28-9771-B964823056C2}"/>
    <cellStyle name="Normal 8 3 2 33" xfId="15359" xr:uid="{82A43355-1301-428B-A958-ED177AF6D1BA}"/>
    <cellStyle name="Normal 8 3 2 34" xfId="15360" xr:uid="{923C17A0-1842-4CDD-B61C-AC63A979DD1D}"/>
    <cellStyle name="Normal 8 3 2 35" xfId="15361" xr:uid="{D67EB4A4-1EE1-4826-BE36-9D7725481A46}"/>
    <cellStyle name="Normal 8 3 2 36" xfId="15362" xr:uid="{2D75ACB9-9404-4463-B4E9-8F7473750FC1}"/>
    <cellStyle name="Normal 8 3 2 37" xfId="15363" xr:uid="{A46E82D3-9090-46D0-8112-4175A475B518}"/>
    <cellStyle name="Normal 8 3 2 38" xfId="15364" xr:uid="{F4D908D1-3D66-49A1-A35D-9F8696BD5D51}"/>
    <cellStyle name="Normal 8 3 2 39" xfId="15365" xr:uid="{F4D4EADE-CBD6-4A58-AF81-FB39917F4B93}"/>
    <cellStyle name="Normal 8 3 2 4" xfId="15366" xr:uid="{32F7EE3B-D442-4931-96BE-2755B81E37F7}"/>
    <cellStyle name="Normal 8 3 2 40" xfId="15367" xr:uid="{B09A2A5E-DDCD-4F6F-9CCD-58A3B3289458}"/>
    <cellStyle name="Normal 8 3 2 5" xfId="15368" xr:uid="{F8741228-F59E-46E0-8D4C-F3F84D718D2C}"/>
    <cellStyle name="Normal 8 3 2 6" xfId="15369" xr:uid="{91A11780-447F-4B9B-BFAF-016A05A8437B}"/>
    <cellStyle name="Normal 8 3 2 7" xfId="15370" xr:uid="{9CF5E51F-4A63-4DD4-8FF5-461A4473CE90}"/>
    <cellStyle name="Normal 8 3 2 8" xfId="15371" xr:uid="{7D31ED63-9134-4FC1-955D-A1ED3FD6C721}"/>
    <cellStyle name="Normal 8 3 2 9" xfId="15372" xr:uid="{9E4056B3-9ABE-4864-A988-AB6F60CF13A4}"/>
    <cellStyle name="Normal 8 3 20" xfId="15373" xr:uid="{AA03BAED-5EDB-4492-BFCD-7A3D5449148D}"/>
    <cellStyle name="Normal 8 3 21" xfId="15374" xr:uid="{E4CE9A13-D5E1-4287-92AB-0B8AD4936F56}"/>
    <cellStyle name="Normal 8 3 22" xfId="15375" xr:uid="{81DD2A25-AEF7-4627-A843-CDFFDAE8E41C}"/>
    <cellStyle name="Normal 8 3 23" xfId="15376" xr:uid="{68904C3F-3973-4262-B484-3321E95DF95F}"/>
    <cellStyle name="Normal 8 3 24" xfId="15377" xr:uid="{D795D8F0-68AE-4D05-94F0-A1DC4EB52AB6}"/>
    <cellStyle name="Normal 8 3 25" xfId="15378" xr:uid="{91DAE5E9-0ECD-4FA4-8E49-0344A4CD5BA2}"/>
    <cellStyle name="Normal 8 3 26" xfId="15379" xr:uid="{CAD141E9-93B8-41D9-9D9B-92B5DAB4ED17}"/>
    <cellStyle name="Normal 8 3 27" xfId="15380" xr:uid="{F5AD1EA5-E928-42D6-933F-A2D07B94D43F}"/>
    <cellStyle name="Normal 8 3 28" xfId="15381" xr:uid="{913A3115-2FD5-4711-A44E-D3AEA3104B8E}"/>
    <cellStyle name="Normal 8 3 29" xfId="15382" xr:uid="{59DFF150-022A-43CD-935B-196C2DED415A}"/>
    <cellStyle name="Normal 8 3 3" xfId="15383" xr:uid="{FB6E1016-1CA3-42D3-99CB-6D3FDA3D2445}"/>
    <cellStyle name="Normal 8 3 3 10" xfId="15384" xr:uid="{6B44C325-E911-4BDE-B843-D34B6F7EDFCD}"/>
    <cellStyle name="Normal 8 3 3 11" xfId="15385" xr:uid="{5DB1347C-B28A-4BAB-A5D3-6F5129AC4490}"/>
    <cellStyle name="Normal 8 3 3 12" xfId="15386" xr:uid="{C348F1A6-FDA0-4FEA-BE00-A8A009BF96A8}"/>
    <cellStyle name="Normal 8 3 3 13" xfId="15387" xr:uid="{36479EAA-5B23-4442-8F10-64E854242CA3}"/>
    <cellStyle name="Normal 8 3 3 14" xfId="15388" xr:uid="{E4FBFBED-1815-4BD1-9A4A-67DE78764988}"/>
    <cellStyle name="Normal 8 3 3 15" xfId="15389" xr:uid="{6B79E59D-EC23-47FD-BED4-6FB6EC9511C1}"/>
    <cellStyle name="Normal 8 3 3 16" xfId="15390" xr:uid="{C95755A0-A13A-47A6-896C-17AC02BD61E7}"/>
    <cellStyle name="Normal 8 3 3 17" xfId="15391" xr:uid="{DF0C9051-2A47-407F-A382-10871FEE5DB8}"/>
    <cellStyle name="Normal 8 3 3 18" xfId="15392" xr:uid="{88D47E4F-6565-4660-8C55-69DAB973EFAE}"/>
    <cellStyle name="Normal 8 3 3 19" xfId="15393" xr:uid="{E07C51D3-139B-41D9-9DA8-F9D0AC31F30E}"/>
    <cellStyle name="Normal 8 3 3 2" xfId="15394" xr:uid="{00D6E97C-2188-4751-AD14-4ABFB5DCBAA4}"/>
    <cellStyle name="Normal 8 3 3 2 10" xfId="15395" xr:uid="{35450DA4-CE20-4209-AF29-E730ADF255D4}"/>
    <cellStyle name="Normal 8 3 3 2 11" xfId="15396" xr:uid="{C9BCDA2A-430A-46D4-ABBD-6100F4088667}"/>
    <cellStyle name="Normal 8 3 3 2 12" xfId="15397" xr:uid="{C0B10A39-0B0B-47E7-B3D1-C5F55877BDE6}"/>
    <cellStyle name="Normal 8 3 3 2 13" xfId="15398" xr:uid="{7D2D1C05-7E48-4203-9562-06E00AB3E7F3}"/>
    <cellStyle name="Normal 8 3 3 2 14" xfId="15399" xr:uid="{F963C565-6679-4731-A8DF-1A0C68F76798}"/>
    <cellStyle name="Normal 8 3 3 2 15" xfId="15400" xr:uid="{2710223A-6E9C-4B6B-BA98-E792E09D2A11}"/>
    <cellStyle name="Normal 8 3 3 2 16" xfId="15401" xr:uid="{283C4067-7BF7-4FC4-B632-ADD57AC21495}"/>
    <cellStyle name="Normal 8 3 3 2 17" xfId="15402" xr:uid="{31974E8C-19C7-4A28-AEE4-6E595ABF0D68}"/>
    <cellStyle name="Normal 8 3 3 2 18" xfId="15403" xr:uid="{2A7A32EA-C4C8-4586-AFD8-57DE3536151F}"/>
    <cellStyle name="Normal 8 3 3 2 19" xfId="15404" xr:uid="{F47EF5B5-9C80-4E70-8B2C-A113411B2A43}"/>
    <cellStyle name="Normal 8 3 3 2 2" xfId="15405" xr:uid="{282D0EFE-7C35-47B6-9F5B-967594869EDF}"/>
    <cellStyle name="Normal 8 3 3 2 20" xfId="15406" xr:uid="{C1E71FD3-6175-4785-94BA-C6385B02A732}"/>
    <cellStyle name="Normal 8 3 3 2 21" xfId="15407" xr:uid="{FBBAF32E-8D80-44D1-AAD2-AE97625D6AA9}"/>
    <cellStyle name="Normal 8 3 3 2 22" xfId="15408" xr:uid="{41F79C20-9CE8-467C-975F-5EAE9C340D69}"/>
    <cellStyle name="Normal 8 3 3 2 23" xfId="15409" xr:uid="{05CFD90B-870B-456F-93BE-B297D3D62962}"/>
    <cellStyle name="Normal 8 3 3 2 24" xfId="15410" xr:uid="{4BF822FA-0B59-4280-A764-AF45D5058304}"/>
    <cellStyle name="Normal 8 3 3 2 25" xfId="15411" xr:uid="{3EE226B5-E12B-4E2A-BF58-605C9917198A}"/>
    <cellStyle name="Normal 8 3 3 2 26" xfId="15412" xr:uid="{6EE9EF65-F05E-4FF4-9898-C6EEC20C189D}"/>
    <cellStyle name="Normal 8 3 3 2 27" xfId="15413" xr:uid="{7182C24B-DF63-43E1-8709-BAED79DBEDCE}"/>
    <cellStyle name="Normal 8 3 3 2 28" xfId="15414" xr:uid="{3C632D23-5794-4739-A04A-B0869370DF70}"/>
    <cellStyle name="Normal 8 3 3 2 29" xfId="15415" xr:uid="{2553F23E-5253-4EE8-B327-43402BB99145}"/>
    <cellStyle name="Normal 8 3 3 2 3" xfId="15416" xr:uid="{7459959D-2C3E-4D46-8E38-CE6F728F8B84}"/>
    <cellStyle name="Normal 8 3 3 2 30" xfId="15417" xr:uid="{C492F80A-82AD-456A-B17B-E974BF7A5D29}"/>
    <cellStyle name="Normal 8 3 3 2 31" xfId="15418" xr:uid="{14C77A28-544E-4DBF-9402-36C13029CE6F}"/>
    <cellStyle name="Normal 8 3 3 2 32" xfId="15419" xr:uid="{815BB790-414A-44A9-A14D-FA7E2D0A81A1}"/>
    <cellStyle name="Normal 8 3 3 2 33" xfId="15420" xr:uid="{2DBCA1CC-8D18-4E84-9F60-A91961A0D925}"/>
    <cellStyle name="Normal 8 3 3 2 34" xfId="15421" xr:uid="{6186C2C9-879A-4232-A560-50D12D803853}"/>
    <cellStyle name="Normal 8 3 3 2 35" xfId="15422" xr:uid="{BDC91655-D27E-46AD-9C21-AEA0508021F8}"/>
    <cellStyle name="Normal 8 3 3 2 36" xfId="15423" xr:uid="{67A4C3A4-2089-4B14-8071-33E4F3B3B57B}"/>
    <cellStyle name="Normal 8 3 3 2 37" xfId="15424" xr:uid="{B4F19BF4-45A0-49C7-A601-6DBED47103FC}"/>
    <cellStyle name="Normal 8 3 3 2 38" xfId="15425" xr:uid="{EC7BB427-48C5-4C61-960E-3C77E7323DCB}"/>
    <cellStyle name="Normal 8 3 3 2 4" xfId="15426" xr:uid="{BF372095-8FF2-4696-8A72-A6DDB534E0AA}"/>
    <cellStyle name="Normal 8 3 3 2 5" xfId="15427" xr:uid="{83D520ED-AB69-4615-80A5-DDBE9893B938}"/>
    <cellStyle name="Normal 8 3 3 2 6" xfId="15428" xr:uid="{EA42F557-C171-4859-A13D-C14805B7FC99}"/>
    <cellStyle name="Normal 8 3 3 2 7" xfId="15429" xr:uid="{0D0596BD-CA9A-4554-A190-8676B013859D}"/>
    <cellStyle name="Normal 8 3 3 2 8" xfId="15430" xr:uid="{563362EB-9CA7-41A4-8516-9F9783BFF6E3}"/>
    <cellStyle name="Normal 8 3 3 2 9" xfId="15431" xr:uid="{E6B09EA8-A529-4DF3-9136-29718DF00F17}"/>
    <cellStyle name="Normal 8 3 3 20" xfId="15432" xr:uid="{6DD74A41-D022-4CD7-BF21-F6E61A242A24}"/>
    <cellStyle name="Normal 8 3 3 21" xfId="15433" xr:uid="{E484F69D-3AFC-48D1-AF2B-3CAFD57B7B30}"/>
    <cellStyle name="Normal 8 3 3 22" xfId="15434" xr:uid="{DCF00111-490F-4E63-A343-457F4201E3E9}"/>
    <cellStyle name="Normal 8 3 3 23" xfId="15435" xr:uid="{3D2EBD9A-4920-4234-AFC4-A8B86729D8DD}"/>
    <cellStyle name="Normal 8 3 3 24" xfId="15436" xr:uid="{C5F2B4E7-1BD5-46F8-9839-81989F2FCD1F}"/>
    <cellStyle name="Normal 8 3 3 25" xfId="15437" xr:uid="{D3031859-3456-47B5-B2EE-23721D267680}"/>
    <cellStyle name="Normal 8 3 3 26" xfId="15438" xr:uid="{129FD974-FA3F-4D13-AD46-E6BEC06BEEC6}"/>
    <cellStyle name="Normal 8 3 3 27" xfId="15439" xr:uid="{447784B5-8A4D-41F8-9AD7-067ECCD5C8B2}"/>
    <cellStyle name="Normal 8 3 3 28" xfId="15440" xr:uid="{266E6902-97BF-4567-841F-106BE0AC9729}"/>
    <cellStyle name="Normal 8 3 3 29" xfId="15441" xr:uid="{7C3FE2B2-9177-4C50-80B8-2C3F31390ED0}"/>
    <cellStyle name="Normal 8 3 3 3" xfId="15442" xr:uid="{5E2B9F6C-9D4A-4DFB-AD84-23D8969CFCFC}"/>
    <cellStyle name="Normal 8 3 3 30" xfId="15443" xr:uid="{BEDAC09C-1CDE-48E5-A8A9-5E85CBF9D58A}"/>
    <cellStyle name="Normal 8 3 3 31" xfId="15444" xr:uid="{0F89AAF9-E951-467B-B7D8-C7301533CB8E}"/>
    <cellStyle name="Normal 8 3 3 32" xfId="15445" xr:uid="{C7EC279B-EDA6-447A-8E6D-73C6D18DDAED}"/>
    <cellStyle name="Normal 8 3 3 33" xfId="15446" xr:uid="{F8090FA6-A337-4FF5-9EC4-D3907DB1836F}"/>
    <cellStyle name="Normal 8 3 3 34" xfId="15447" xr:uid="{CB839569-51A1-4CBE-9D75-DA2320DA03B9}"/>
    <cellStyle name="Normal 8 3 3 35" xfId="15448" xr:uid="{D9BA671E-AD36-4301-8A65-41AFD4A9217D}"/>
    <cellStyle name="Normal 8 3 3 36" xfId="15449" xr:uid="{AB365D58-FC9B-4180-8B86-4CE04906E67D}"/>
    <cellStyle name="Normal 8 3 3 37" xfId="15450" xr:uid="{F7B9FBA8-882D-4029-AF57-2CAB63B295C5}"/>
    <cellStyle name="Normal 8 3 3 38" xfId="15451" xr:uid="{66B8EE4E-4DBE-41C7-AF80-944BD6A5E466}"/>
    <cellStyle name="Normal 8 3 3 4" xfId="15452" xr:uid="{ECD6BDA0-1800-4841-8816-08FA15F617E5}"/>
    <cellStyle name="Normal 8 3 3 5" xfId="15453" xr:uid="{7D0117F5-4A68-4CAA-BB6E-6D3BB06B37F4}"/>
    <cellStyle name="Normal 8 3 3 6" xfId="15454" xr:uid="{6BF47B25-A9A3-458C-9ABE-B4A28583F55E}"/>
    <cellStyle name="Normal 8 3 3 7" xfId="15455" xr:uid="{8F4CFB9A-B939-47A9-B30D-BF89BC7EBA97}"/>
    <cellStyle name="Normal 8 3 3 8" xfId="15456" xr:uid="{F25696A3-D07B-4E16-9359-D09E07AC604A}"/>
    <cellStyle name="Normal 8 3 3 9" xfId="15457" xr:uid="{A5BF4865-E3E2-465C-BBBB-2F8DCCFA5A97}"/>
    <cellStyle name="Normal 8 3 30" xfId="15458" xr:uid="{5A76358B-D6FF-4D66-8FBE-F084BA454F8D}"/>
    <cellStyle name="Normal 8 3 31" xfId="15459" xr:uid="{6B5AF9A4-4DB4-4537-86EF-437176364C80}"/>
    <cellStyle name="Normal 8 3 32" xfId="15460" xr:uid="{9DFBD6F1-6E9C-40E0-9BF4-BA710969734F}"/>
    <cellStyle name="Normal 8 3 33" xfId="15461" xr:uid="{CA70D742-0E11-4373-A66E-2A3FFDB725AE}"/>
    <cellStyle name="Normal 8 3 34" xfId="15462" xr:uid="{BE2F6972-BF7B-4F35-888C-36B9E906FF17}"/>
    <cellStyle name="Normal 8 3 35" xfId="15463" xr:uid="{46EC108B-D539-47A3-8C44-B732E63E331C}"/>
    <cellStyle name="Normal 8 3 36" xfId="15464" xr:uid="{EE5084F8-4AB8-43D5-A500-0570E249849F}"/>
    <cellStyle name="Normal 8 3 37" xfId="15465" xr:uid="{BEAB8710-7315-47F8-A15D-54D466B7C55D}"/>
    <cellStyle name="Normal 8 3 38" xfId="15466" xr:uid="{B5114AB4-0C0D-483A-A389-488BA6C50D07}"/>
    <cellStyle name="Normal 8 3 39" xfId="15467" xr:uid="{38C2D5DC-59F2-401A-80A5-ED41EEF471BC}"/>
    <cellStyle name="Normal 8 3 4" xfId="15468" xr:uid="{72E11798-6F3A-4095-9F8A-5966FD94D0CF}"/>
    <cellStyle name="Normal 8 3 40" xfId="15469" xr:uid="{EEA3759A-7E07-4773-B0E2-461E00784AD7}"/>
    <cellStyle name="Normal 8 3 41" xfId="15470" xr:uid="{028C3EE8-6EE3-43FE-A6CA-33E31DA98A2C}"/>
    <cellStyle name="Normal 8 3 42" xfId="15471" xr:uid="{289AFB07-3E77-46A5-B6DC-F9BF9FE02108}"/>
    <cellStyle name="Normal 8 3 43" xfId="15472" xr:uid="{03FFBA7A-D223-4D7F-893B-9ADAFCEE3835}"/>
    <cellStyle name="Normal 8 3 44" xfId="15473" xr:uid="{C659F2EF-5E7C-4D71-BD94-6B21FFF7CD3B}"/>
    <cellStyle name="Normal 8 3 45" xfId="15474" xr:uid="{9D93D6D0-E062-41C2-A38C-CFCEF9F6A9E8}"/>
    <cellStyle name="Normal 8 3 46" xfId="15475" xr:uid="{A955EA5E-5A2F-4338-A3E1-31D714B0A4C2}"/>
    <cellStyle name="Normal 8 3 47" xfId="15476" xr:uid="{A7BE13E4-B32C-4BE2-855C-260B680F5D89}"/>
    <cellStyle name="Normal 8 3 5" xfId="15477" xr:uid="{0372F2E5-A33D-4AFB-9645-CD37095E308E}"/>
    <cellStyle name="Normal 8 3 6" xfId="15478" xr:uid="{2A10E190-E163-416F-BD5A-618FA15E7CA3}"/>
    <cellStyle name="Normal 8 3 7" xfId="15479" xr:uid="{6875124F-A993-4279-AAC1-360E4C7D4DC2}"/>
    <cellStyle name="Normal 8 3 8" xfId="15480" xr:uid="{0E47AC12-16F7-4845-BC9F-818BDAE051C6}"/>
    <cellStyle name="Normal 8 3 9" xfId="15481" xr:uid="{EF893528-4A86-4C70-A769-6BD3605674DC}"/>
    <cellStyle name="Normal 8 30" xfId="15482" xr:uid="{ADB6E4B3-6393-4357-9137-751670179C39}"/>
    <cellStyle name="Normal 8 31" xfId="15483" xr:uid="{048F1919-E398-4C75-9FE4-28975127CF96}"/>
    <cellStyle name="Normal 8 32" xfId="15484" xr:uid="{FDA94AB2-9DAC-4CC6-84C4-51AFE00838A5}"/>
    <cellStyle name="Normal 8 33" xfId="15485" xr:uid="{B622FB6D-247D-4935-95F7-A55C5F545E1D}"/>
    <cellStyle name="Normal 8 34" xfId="15486" xr:uid="{AC5EB4DE-57B3-4A2E-9E31-BB6FE95CDF93}"/>
    <cellStyle name="Normal 8 35" xfId="15487" xr:uid="{6D947026-08FE-44EB-BB8C-2D2C73C3F7F0}"/>
    <cellStyle name="Normal 8 36" xfId="15488" xr:uid="{71FA43BB-1B2D-4AFB-8C96-35C9F8EEDEA6}"/>
    <cellStyle name="Normal 8 37" xfId="15489" xr:uid="{F26CB739-7485-47AC-8F6E-6214B839A15C}"/>
    <cellStyle name="Normal 8 38" xfId="15490" xr:uid="{E60DDD32-65FA-4B5F-8F67-25F95CF81A48}"/>
    <cellStyle name="Normal 8 39" xfId="15491" xr:uid="{9FDCF510-9F1A-4A77-836F-F5F7BB2A722E}"/>
    <cellStyle name="Normal 8 4" xfId="15492" xr:uid="{D5B25DF7-0C40-437E-BB6F-26A655A57086}"/>
    <cellStyle name="Normal 8 4 10" xfId="15493" xr:uid="{1F7A6D8E-487E-49DC-B600-97A195F51EF4}"/>
    <cellStyle name="Normal 8 4 11" xfId="15494" xr:uid="{14297866-C567-4E45-B242-855DBE9E59F0}"/>
    <cellStyle name="Normal 8 4 12" xfId="15495" xr:uid="{2D53FA71-C303-42FB-A235-38FEACE2D942}"/>
    <cellStyle name="Normal 8 4 13" xfId="15496" xr:uid="{4910A4C5-3158-4FEE-B779-DE932B42CECA}"/>
    <cellStyle name="Normal 8 4 14" xfId="15497" xr:uid="{3EF59E76-339B-45C3-8D72-7E2579ECF963}"/>
    <cellStyle name="Normal 8 4 15" xfId="15498" xr:uid="{38B56670-DC0D-45FD-AF9F-66C0A345D284}"/>
    <cellStyle name="Normal 8 4 16" xfId="15499" xr:uid="{19B1B7A9-DAB3-4E41-A526-8341697FC0C1}"/>
    <cellStyle name="Normal 8 4 17" xfId="15500" xr:uid="{C5022781-606D-42BF-B3E8-2FB059E9FE20}"/>
    <cellStyle name="Normal 8 4 18" xfId="15501" xr:uid="{A9AD1349-5E4B-4DDC-865D-8716860ADD50}"/>
    <cellStyle name="Normal 8 4 19" xfId="15502" xr:uid="{61438809-DB04-403C-8BB6-B22090E01D17}"/>
    <cellStyle name="Normal 8 4 2" xfId="15503" xr:uid="{08ABC145-7C37-4F38-8A34-C18BBFFEB23E}"/>
    <cellStyle name="Normal 8 4 20" xfId="15504" xr:uid="{E48C2943-13DA-427F-A64D-A32516448F2B}"/>
    <cellStyle name="Normal 8 4 21" xfId="15505" xr:uid="{3E7C8537-0BB2-4111-AE01-782FA5BA5C33}"/>
    <cellStyle name="Normal 8 4 22" xfId="15506" xr:uid="{A3715AF2-3694-4299-BA7F-5D9E18ED15E9}"/>
    <cellStyle name="Normal 8 4 23" xfId="15507" xr:uid="{9B477828-B605-4DF5-B06C-726DDAF200AE}"/>
    <cellStyle name="Normal 8 4 24" xfId="15508" xr:uid="{8073771D-9614-46B5-9D23-099CC8BDE2FA}"/>
    <cellStyle name="Normal 8 4 25" xfId="15509" xr:uid="{D260331B-2A78-49CE-BC96-3398E78E4C34}"/>
    <cellStyle name="Normal 8 4 26" xfId="15510" xr:uid="{7386BF85-D8AD-44B9-8244-0BCC123AF02E}"/>
    <cellStyle name="Normal 8 4 27" xfId="15511" xr:uid="{C2935699-8B49-4109-A22C-EF1EC00761B5}"/>
    <cellStyle name="Normal 8 4 28" xfId="15512" xr:uid="{A66E8171-E5FD-43CD-9EBF-84212DDABD86}"/>
    <cellStyle name="Normal 8 4 29" xfId="15513" xr:uid="{28B87E3B-D88B-4F6A-B26E-F2D21267BE90}"/>
    <cellStyle name="Normal 8 4 3" xfId="15514" xr:uid="{7250F4BE-9B98-4FB6-8ED9-6806097835A4}"/>
    <cellStyle name="Normal 8 4 30" xfId="15515" xr:uid="{536840F6-3D06-4419-836A-177BA230166D}"/>
    <cellStyle name="Normal 8 4 31" xfId="15516" xr:uid="{703D31FC-B325-41E1-9DFB-24CAA9A5D430}"/>
    <cellStyle name="Normal 8 4 32" xfId="15517" xr:uid="{EDDBDEAD-DDB6-406C-BF3C-1814DF6C9259}"/>
    <cellStyle name="Normal 8 4 33" xfId="15518" xr:uid="{0A2AF56A-C5C4-42F3-9ABD-064E29766DD4}"/>
    <cellStyle name="Normal 8 4 34" xfId="15519" xr:uid="{F012E930-6999-46CA-8EE3-3F2C0322BE27}"/>
    <cellStyle name="Normal 8 4 35" xfId="15520" xr:uid="{FE73E340-70BA-41B2-A803-8495EB83805C}"/>
    <cellStyle name="Normal 8 4 36" xfId="15521" xr:uid="{BE50859C-2DB2-48DC-9DC6-027533523919}"/>
    <cellStyle name="Normal 8 4 37" xfId="15522" xr:uid="{E068A97F-13EF-4828-80B2-1D6766DA7427}"/>
    <cellStyle name="Normal 8 4 38" xfId="15523" xr:uid="{9408ECC7-11A5-4661-9DFE-5D335837D7A6}"/>
    <cellStyle name="Normal 8 4 39" xfId="15524" xr:uid="{4F7AB841-01C2-4423-9A68-B5D4E6EAB7FA}"/>
    <cellStyle name="Normal 8 4 4" xfId="15525" xr:uid="{EF75BB05-4DB2-4121-A475-6DFCC95C359B}"/>
    <cellStyle name="Normal 8 4 40" xfId="15526" xr:uid="{5051A16A-7BA7-4DF6-A1A4-0588ED437F74}"/>
    <cellStyle name="Normal 8 4 41" xfId="15527" xr:uid="{3E6CA06B-ED0E-4411-A309-0E23515EC82D}"/>
    <cellStyle name="Normal 8 4 42" xfId="15528" xr:uid="{7C63DAF8-FB7D-4E37-BE8D-939A4CD0EC86}"/>
    <cellStyle name="Normal 8 4 43" xfId="15529" xr:uid="{A2F264D9-520A-4282-84EE-65E09A64428B}"/>
    <cellStyle name="Normal 8 4 44" xfId="15530" xr:uid="{31850224-A194-4EB4-BC8F-07AFB5CA7A50}"/>
    <cellStyle name="Normal 8 4 45" xfId="15531" xr:uid="{02F765D5-C37D-4340-B168-4C2341B0E85A}"/>
    <cellStyle name="Normal 8 4 46" xfId="15532" xr:uid="{A9E74FAF-B7E3-4D13-8B90-238AAE06948D}"/>
    <cellStyle name="Normal 8 4 47" xfId="15533" xr:uid="{9FFE0303-D7C9-4D1E-9F7E-722787057442}"/>
    <cellStyle name="Normal 8 4 5" xfId="15534" xr:uid="{4AA66BF6-8C64-41C7-9E2C-589813808F1C}"/>
    <cellStyle name="Normal 8 4 6" xfId="15535" xr:uid="{83C0B991-5BA4-43CB-A47F-DBD64B357128}"/>
    <cellStyle name="Normal 8 4 7" xfId="15536" xr:uid="{9A15EA87-027A-4292-97B4-2155C2A60CC1}"/>
    <cellStyle name="Normal 8 4 8" xfId="15537" xr:uid="{567C348F-8729-4239-99D5-BBE6DFB3881F}"/>
    <cellStyle name="Normal 8 4 9" xfId="15538" xr:uid="{D0EB6423-5757-4B4F-875A-F03EE57F0EBB}"/>
    <cellStyle name="Normal 8 40" xfId="15539" xr:uid="{719A5A01-87DB-4C04-930E-CC1701189DDE}"/>
    <cellStyle name="Normal 8 41" xfId="15540" xr:uid="{D05E5784-0886-4F6C-9A5F-4D91EDEA0C07}"/>
    <cellStyle name="Normal 8 42" xfId="15541" xr:uid="{B4716CA5-FDAE-4801-AF69-E8C2DBF5E0F9}"/>
    <cellStyle name="Normal 8 43" xfId="15542" xr:uid="{28DDAA60-F784-4CB2-ACF8-54AD70360567}"/>
    <cellStyle name="Normal 8 44" xfId="15543" xr:uid="{97ABAA4B-A9CE-4D89-B279-853B0E8BA672}"/>
    <cellStyle name="Normal 8 45" xfId="15544" xr:uid="{A374EC9D-EA89-455D-B069-12DEED127A84}"/>
    <cellStyle name="Normal 8 46" xfId="15545" xr:uid="{6FE11914-402E-4342-A772-20E3C1DD9404}"/>
    <cellStyle name="Normal 8 47" xfId="15546" xr:uid="{6904BC7E-3619-445D-8121-A4E8D80CF049}"/>
    <cellStyle name="Normal 8 48" xfId="15547" xr:uid="{C336711F-7ED2-41BD-A049-CD8693179F09}"/>
    <cellStyle name="Normal 8 5" xfId="15548" xr:uid="{77076255-5485-4EED-806E-96BC04F70C5F}"/>
    <cellStyle name="Normal 8 5 2" xfId="15549" xr:uid="{FD3E407B-C16A-4C28-ACEA-391BB1322A4E}"/>
    <cellStyle name="Normal 8 5 3" xfId="15550" xr:uid="{EEA51C29-4E7B-40A4-83E7-5C241991DC83}"/>
    <cellStyle name="Normal 8 5 4" xfId="15551" xr:uid="{F4B8EB91-0A68-4012-9588-A1ACF798301D}"/>
    <cellStyle name="Normal 8 5 5" xfId="15552" xr:uid="{27EFA9F5-1569-404B-81FC-8E1C6F64D0F8}"/>
    <cellStyle name="Normal 8 5 6" xfId="15553" xr:uid="{D4A5EFEF-9272-46F8-8686-8109B0A1AC0A}"/>
    <cellStyle name="Normal 8 6" xfId="15554" xr:uid="{E3E479F0-3CE6-4194-93BB-D597B949620B}"/>
    <cellStyle name="Normal 8 7" xfId="15555" xr:uid="{3FD13FAE-1347-4B88-A55A-1805A92BC456}"/>
    <cellStyle name="Normal 8 8" xfId="15556" xr:uid="{577C21CF-68C6-4C11-A812-B641B9472BC5}"/>
    <cellStyle name="Normal 8 9" xfId="15557" xr:uid="{A79D0420-4CDA-4FB9-81FD-99F4C0EF98AE}"/>
    <cellStyle name="Normal 9" xfId="15558" xr:uid="{E172BC87-2FE9-4873-B77B-B26052D1D61D}"/>
    <cellStyle name="Normal 9 10" xfId="15559" xr:uid="{D3E8AC18-5986-49CB-9F5A-C2AFD624EA93}"/>
    <cellStyle name="Normal 9 11" xfId="15560" xr:uid="{9B65ED1E-7F35-4D25-A6A3-60804E0387AB}"/>
    <cellStyle name="Normal 9 12" xfId="15561" xr:uid="{A4A9F18A-3C3E-449F-B27F-8490F1D3DD7E}"/>
    <cellStyle name="Normal 9 13" xfId="15562" xr:uid="{765F7AC8-8F25-4379-868B-485097B54A66}"/>
    <cellStyle name="Normal 9 14" xfId="15563" xr:uid="{9D803090-A1C3-49BE-9120-1F3C5463AC48}"/>
    <cellStyle name="Normal 9 15" xfId="15564" xr:uid="{E3E6597A-E52E-4985-BE04-323FC16D1084}"/>
    <cellStyle name="Normal 9 16" xfId="15565" xr:uid="{FDB6CB96-08D8-406C-83EF-05F57E6F5B13}"/>
    <cellStyle name="Normal 9 17" xfId="15566" xr:uid="{5199399C-9F2F-40E2-A2A2-C45C1C07AB7B}"/>
    <cellStyle name="Normal 9 18" xfId="15567" xr:uid="{CED0A4DD-9DE7-46ED-AA3E-C5562D755D65}"/>
    <cellStyle name="Normal 9 19" xfId="15568" xr:uid="{D376BFE3-A5C7-42AD-BAA6-F5E14896D068}"/>
    <cellStyle name="Normal 9 2" xfId="15569" xr:uid="{DD5A1C6A-F864-4280-896B-8E6DAA37817A}"/>
    <cellStyle name="Normal 9 2 10" xfId="15570" xr:uid="{739A89E3-5BCD-4C30-9F7D-A34ED30B3E20}"/>
    <cellStyle name="Normal 9 2 11" xfId="15571" xr:uid="{EE4FB9B5-368B-4FD9-8418-26F148445D10}"/>
    <cellStyle name="Normal 9 2 12" xfId="15572" xr:uid="{B77F2310-867B-4E86-95DB-DF84F3B796E7}"/>
    <cellStyle name="Normal 9 2 13" xfId="15573" xr:uid="{DE065B03-278B-4044-A78E-494432D24E4B}"/>
    <cellStyle name="Normal 9 2 14" xfId="15574" xr:uid="{D9FAB57E-D914-4D91-A0E5-0A1270B3610D}"/>
    <cellStyle name="Normal 9 2 15" xfId="15575" xr:uid="{8E0976EA-1777-49B4-8B2E-8A4CF61A9C0C}"/>
    <cellStyle name="Normal 9 2 16" xfId="15576" xr:uid="{3032EEEB-8E8F-4C39-9DBD-249FA063BF12}"/>
    <cellStyle name="Normal 9 2 17" xfId="15577" xr:uid="{B2F9EA90-E0DA-43C8-AD89-A041C11F5CC8}"/>
    <cellStyle name="Normal 9 2 18" xfId="15578" xr:uid="{547A64FD-E25E-4021-BE86-278909686BDF}"/>
    <cellStyle name="Normal 9 2 19" xfId="15579" xr:uid="{09BB342B-DA0C-4702-AD97-363C51821FB6}"/>
    <cellStyle name="Normal 9 2 2" xfId="15580" xr:uid="{AA9AAE47-8AAA-455C-905F-47F93B2D019F}"/>
    <cellStyle name="Normal 9 2 2 10" xfId="15581" xr:uid="{9211972D-C5F0-45CD-97D8-A1D7BCF98364}"/>
    <cellStyle name="Normal 9 2 2 11" xfId="15582" xr:uid="{C510F2F8-271C-4DD9-A73C-A07910E03F10}"/>
    <cellStyle name="Normal 9 2 2 12" xfId="15583" xr:uid="{9B87F7AF-53D2-4144-8166-1B7D33018ADD}"/>
    <cellStyle name="Normal 9 2 2 13" xfId="15584" xr:uid="{5EC21188-1BA7-4EC7-8031-9DC8C802E7FC}"/>
    <cellStyle name="Normal 9 2 2 14" xfId="15585" xr:uid="{11999D8F-0B60-4754-B109-082C3A7B6E88}"/>
    <cellStyle name="Normal 9 2 2 15" xfId="15586" xr:uid="{44AF2DCF-00EA-4E6D-AE70-1522E2212FE8}"/>
    <cellStyle name="Normal 9 2 2 16" xfId="15587" xr:uid="{275A5F66-7868-4BC9-B45F-6E8904361572}"/>
    <cellStyle name="Normal 9 2 2 17" xfId="15588" xr:uid="{235ABF5F-EA06-4391-865B-2660CD38D845}"/>
    <cellStyle name="Normal 9 2 2 18" xfId="15589" xr:uid="{95A4F462-C2B7-44FC-8A31-CD7612830877}"/>
    <cellStyle name="Normal 9 2 2 19" xfId="15590" xr:uid="{90D9C8F5-0B29-465F-9223-6AC2DA88F703}"/>
    <cellStyle name="Normal 9 2 2 2" xfId="15591" xr:uid="{C210E37B-4187-4993-AE27-7599754BE831}"/>
    <cellStyle name="Normal 9 2 2 2 10" xfId="15592" xr:uid="{27205BB3-55A4-42C6-8B27-C311269D41C4}"/>
    <cellStyle name="Normal 9 2 2 2 11" xfId="15593" xr:uid="{6A494852-0070-4FC4-B54D-05D68D620924}"/>
    <cellStyle name="Normal 9 2 2 2 12" xfId="15594" xr:uid="{22B017D5-E400-41DC-B797-861A591C596D}"/>
    <cellStyle name="Normal 9 2 2 2 13" xfId="15595" xr:uid="{E121506D-1DB4-46F4-A2A2-C4DA1F94DF9F}"/>
    <cellStyle name="Normal 9 2 2 2 14" xfId="15596" xr:uid="{D651F3DE-0F17-4B66-81B8-301364C214F2}"/>
    <cellStyle name="Normal 9 2 2 2 15" xfId="15597" xr:uid="{6F7449E5-F0AD-4FF5-9166-5F2D57FA734A}"/>
    <cellStyle name="Normal 9 2 2 2 16" xfId="15598" xr:uid="{3F55FC50-3D5E-475E-8212-A74E8202E781}"/>
    <cellStyle name="Normal 9 2 2 2 17" xfId="15599" xr:uid="{E1504430-040E-42B4-A41C-86DDBBD41C3B}"/>
    <cellStyle name="Normal 9 2 2 2 18" xfId="15600" xr:uid="{01BCF861-990C-4489-9652-EE15A5AFEF33}"/>
    <cellStyle name="Normal 9 2 2 2 19" xfId="15601" xr:uid="{059B57B6-D6C6-4F7C-A809-4B8D765B0E44}"/>
    <cellStyle name="Normal 9 2 2 2 2" xfId="15602" xr:uid="{B70E7BBC-BD1E-4925-99EA-E33514AAD1EC}"/>
    <cellStyle name="Normal 9 2 2 2 2 10" xfId="15603" xr:uid="{E2E3DE8A-7166-4127-AA8C-646D5DEA1179}"/>
    <cellStyle name="Normal 9 2 2 2 2 11" xfId="15604" xr:uid="{9AB1BB5C-7649-45D7-9D38-75386B789EB1}"/>
    <cellStyle name="Normal 9 2 2 2 2 12" xfId="15605" xr:uid="{FB07912D-97B4-433D-9A07-469E15AF51B8}"/>
    <cellStyle name="Normal 9 2 2 2 2 13" xfId="15606" xr:uid="{A4AC4FEC-9A08-4A68-BDD9-C1BEA0E68E9B}"/>
    <cellStyle name="Normal 9 2 2 2 2 14" xfId="15607" xr:uid="{412B123A-A4A4-47DF-8E64-B123815CA6C7}"/>
    <cellStyle name="Normal 9 2 2 2 2 15" xfId="15608" xr:uid="{44C4B8E3-35C0-4D53-A152-30EC18025B4E}"/>
    <cellStyle name="Normal 9 2 2 2 2 16" xfId="15609" xr:uid="{D9BE89C5-FB7A-4A88-AC23-40E825D65C5D}"/>
    <cellStyle name="Normal 9 2 2 2 2 17" xfId="15610" xr:uid="{3CC2ED06-B1CC-47C3-BF31-CE868533552E}"/>
    <cellStyle name="Normal 9 2 2 2 2 18" xfId="15611" xr:uid="{8C5F355A-57F5-48B9-83F0-F9D0EB6F6E8C}"/>
    <cellStyle name="Normal 9 2 2 2 2 19" xfId="15612" xr:uid="{182CA02D-13F5-45C0-B0ED-F610CAF93D14}"/>
    <cellStyle name="Normal 9 2 2 2 2 2" xfId="15613" xr:uid="{F77BF0F9-4106-45D8-A41A-767D404F3D84}"/>
    <cellStyle name="Normal 9 2 2 2 2 20" xfId="15614" xr:uid="{179B236A-E70B-4E3B-BBC0-B5CACA2FB7C9}"/>
    <cellStyle name="Normal 9 2 2 2 2 21" xfId="15615" xr:uid="{DBD1DD08-F55B-45EB-8667-C513289AAAAB}"/>
    <cellStyle name="Normal 9 2 2 2 2 22" xfId="15616" xr:uid="{7972A2F3-FC4A-40B5-87BC-60CB034B80BE}"/>
    <cellStyle name="Normal 9 2 2 2 2 23" xfId="15617" xr:uid="{6EC1EA1D-AAE8-47D7-9300-97CAE748E0E1}"/>
    <cellStyle name="Normal 9 2 2 2 2 24" xfId="15618" xr:uid="{6052A6C7-923E-42DC-8278-6E26563CFE3F}"/>
    <cellStyle name="Normal 9 2 2 2 2 25" xfId="15619" xr:uid="{59AB19D3-11A1-46EB-94BD-BBD4C2181698}"/>
    <cellStyle name="Normal 9 2 2 2 2 26" xfId="15620" xr:uid="{4AE97CF7-116A-4D7F-81C8-64CE1E6102F9}"/>
    <cellStyle name="Normal 9 2 2 2 2 27" xfId="15621" xr:uid="{518AF69D-BB1B-4B14-A086-AFA05D5067D4}"/>
    <cellStyle name="Normal 9 2 2 2 2 28" xfId="15622" xr:uid="{71E4ABE1-F662-4144-8969-4CB2D5542D17}"/>
    <cellStyle name="Normal 9 2 2 2 2 29" xfId="15623" xr:uid="{5BA32888-9239-49AA-A25B-F6C14768B45E}"/>
    <cellStyle name="Normal 9 2 2 2 2 3" xfId="15624" xr:uid="{80B06417-E41B-4BD3-A7B4-05A65221A059}"/>
    <cellStyle name="Normal 9 2 2 2 2 30" xfId="15625" xr:uid="{DFB4AEDF-5B9E-4E8C-B9B0-1E9BE46E0098}"/>
    <cellStyle name="Normal 9 2 2 2 2 31" xfId="15626" xr:uid="{1844A428-FAA3-4771-A26E-11030F110834}"/>
    <cellStyle name="Normal 9 2 2 2 2 32" xfId="15627" xr:uid="{2BECA542-194E-4C2F-9754-3340E4E8AA72}"/>
    <cellStyle name="Normal 9 2 2 2 2 33" xfId="15628" xr:uid="{22B626E0-C7D6-4869-BD15-97C4EE4B3464}"/>
    <cellStyle name="Normal 9 2 2 2 2 34" xfId="15629" xr:uid="{139D1E7C-6D39-49A8-A24E-B44837ACCA3B}"/>
    <cellStyle name="Normal 9 2 2 2 2 35" xfId="15630" xr:uid="{6D6221FC-1D7C-4C42-9242-9E03180D657B}"/>
    <cellStyle name="Normal 9 2 2 2 2 36" xfId="15631" xr:uid="{7395ED0E-5BA9-4F7F-B751-10F5EE428936}"/>
    <cellStyle name="Normal 9 2 2 2 2 37" xfId="15632" xr:uid="{62B9594F-4E20-4ED0-9CA7-8A0F8AEA5413}"/>
    <cellStyle name="Normal 9 2 2 2 2 38" xfId="15633" xr:uid="{19F9DEBF-E78E-4369-8BC4-852F67384A2C}"/>
    <cellStyle name="Normal 9 2 2 2 2 4" xfId="15634" xr:uid="{8ADE16C1-044F-4351-855B-5657B9ACE75D}"/>
    <cellStyle name="Normal 9 2 2 2 2 5" xfId="15635" xr:uid="{CF8EA379-57DB-4D81-B0F9-89977F97BBDC}"/>
    <cellStyle name="Normal 9 2 2 2 2 6" xfId="15636" xr:uid="{4860B885-D7BC-4FF8-A5B7-BCF2E2FDF13A}"/>
    <cellStyle name="Normal 9 2 2 2 2 7" xfId="15637" xr:uid="{7EDE57AB-1EF6-43B4-BD30-47E1FA570DED}"/>
    <cellStyle name="Normal 9 2 2 2 2 8" xfId="15638" xr:uid="{E1693779-8990-4949-B91D-E86D67AAB5D4}"/>
    <cellStyle name="Normal 9 2 2 2 2 9" xfId="15639" xr:uid="{A068D855-DACF-4290-A917-C3CEE3787E9B}"/>
    <cellStyle name="Normal 9 2 2 2 20" xfId="15640" xr:uid="{80376709-E84B-4A6F-909A-27F3C07EC852}"/>
    <cellStyle name="Normal 9 2 2 2 21" xfId="15641" xr:uid="{9393A4E2-6C72-4D5F-AD33-3F2205857056}"/>
    <cellStyle name="Normal 9 2 2 2 22" xfId="15642" xr:uid="{C8311B4D-823D-40BF-9587-EBE97315A948}"/>
    <cellStyle name="Normal 9 2 2 2 23" xfId="15643" xr:uid="{86C67FDE-18C8-4550-ADD8-1ACABE644417}"/>
    <cellStyle name="Normal 9 2 2 2 24" xfId="15644" xr:uid="{2D34666D-63A8-416D-9FFC-A70FE9B3E821}"/>
    <cellStyle name="Normal 9 2 2 2 25" xfId="15645" xr:uid="{D7B0C20F-D0C7-42C2-9B8D-0A9E0B30658B}"/>
    <cellStyle name="Normal 9 2 2 2 26" xfId="15646" xr:uid="{FF6E47A1-5F6D-4F1A-82CD-B1875CE38B4C}"/>
    <cellStyle name="Normal 9 2 2 2 27" xfId="15647" xr:uid="{F5EA9289-9B1E-4BB7-96DB-CB2A4A2ED065}"/>
    <cellStyle name="Normal 9 2 2 2 28" xfId="15648" xr:uid="{CA6F2B54-1CDA-4B74-9118-AF199BF64284}"/>
    <cellStyle name="Normal 9 2 2 2 29" xfId="15649" xr:uid="{C88EB074-4CC4-47E5-B5FC-5B4F7D03C057}"/>
    <cellStyle name="Normal 9 2 2 2 3" xfId="15650" xr:uid="{FF1A5159-D241-4395-A67A-F3449B2F3FB7}"/>
    <cellStyle name="Normal 9 2 2 2 30" xfId="15651" xr:uid="{C2C0B362-DA47-4EAD-8A62-5D5596FAC4B3}"/>
    <cellStyle name="Normal 9 2 2 2 31" xfId="15652" xr:uid="{C11B6109-B66E-4E1A-B007-2D403D1627A3}"/>
    <cellStyle name="Normal 9 2 2 2 32" xfId="15653" xr:uid="{E207FC6B-3CFE-4E7C-8339-09B6A9835D5A}"/>
    <cellStyle name="Normal 9 2 2 2 33" xfId="15654" xr:uid="{91D12C59-30E0-41D1-8A25-74046EBD8A47}"/>
    <cellStyle name="Normal 9 2 2 2 34" xfId="15655" xr:uid="{7C3AA603-98B7-4494-86EF-C90CB2F151DE}"/>
    <cellStyle name="Normal 9 2 2 2 35" xfId="15656" xr:uid="{E4804422-6AE3-41CC-9E2B-586A88AA9669}"/>
    <cellStyle name="Normal 9 2 2 2 36" xfId="15657" xr:uid="{98D664E6-96E9-43E6-AAF7-32C46E16D462}"/>
    <cellStyle name="Normal 9 2 2 2 37" xfId="15658" xr:uid="{96D489DE-AE06-40A4-80BB-CCDDFC7CB8D8}"/>
    <cellStyle name="Normal 9 2 2 2 38" xfId="15659" xr:uid="{4946052A-E451-46BB-BD8B-79040F79EB04}"/>
    <cellStyle name="Normal 9 2 2 2 4" xfId="15660" xr:uid="{E74E3616-DC13-420E-AD66-3C99A11F3327}"/>
    <cellStyle name="Normal 9 2 2 2 5" xfId="15661" xr:uid="{FF228FF9-3B7B-422B-AA1D-D035E9939CA5}"/>
    <cellStyle name="Normal 9 2 2 2 6" xfId="15662" xr:uid="{6EA513BC-55D0-420F-B0FE-7B029E555379}"/>
    <cellStyle name="Normal 9 2 2 2 7" xfId="15663" xr:uid="{28E9B663-A3DE-401E-A5D7-D3E394B937C7}"/>
    <cellStyle name="Normal 9 2 2 2 8" xfId="15664" xr:uid="{DF52694B-84C1-45CD-AEEF-682C451F1826}"/>
    <cellStyle name="Normal 9 2 2 2 9" xfId="15665" xr:uid="{3B6D03DD-0E2B-474E-B9C7-6512474DCC86}"/>
    <cellStyle name="Normal 9 2 2 20" xfId="15666" xr:uid="{C0E8A709-941F-42B6-B77B-583975AC543F}"/>
    <cellStyle name="Normal 9 2 2 21" xfId="15667" xr:uid="{20CCF870-B81E-4FBE-8F32-839D07E1EDC3}"/>
    <cellStyle name="Normal 9 2 2 22" xfId="15668" xr:uid="{CDCC471D-413E-4DF9-A36C-BF4B6F7A697C}"/>
    <cellStyle name="Normal 9 2 2 23" xfId="15669" xr:uid="{CEC0299F-7873-4222-BFD8-1951CC2545CB}"/>
    <cellStyle name="Normal 9 2 2 24" xfId="15670" xr:uid="{AC9F3B06-4BEF-433B-B093-83F85989B814}"/>
    <cellStyle name="Normal 9 2 2 25" xfId="15671" xr:uid="{5BC48D99-2175-48B9-B147-A2DCACFF2010}"/>
    <cellStyle name="Normal 9 2 2 26" xfId="15672" xr:uid="{19242259-9084-4391-A731-67970FE38A60}"/>
    <cellStyle name="Normal 9 2 2 27" xfId="15673" xr:uid="{0AB8C98D-A2E9-48AC-841C-8FC7A03ECB8E}"/>
    <cellStyle name="Normal 9 2 2 28" xfId="15674" xr:uid="{67554540-7191-4150-BE49-2C5C7585C34C}"/>
    <cellStyle name="Normal 9 2 2 29" xfId="15675" xr:uid="{7B0CB256-4B8E-4726-93C2-5623D191AF60}"/>
    <cellStyle name="Normal 9 2 2 3" xfId="15676" xr:uid="{CABF9B99-0FDB-446A-9783-6A4DA9685BF0}"/>
    <cellStyle name="Normal 9 2 2 30" xfId="15677" xr:uid="{5F9B77A1-EB4A-4143-8392-E8419E99F251}"/>
    <cellStyle name="Normal 9 2 2 31" xfId="15678" xr:uid="{8B13D834-8F45-4E44-A724-660213A8C7AE}"/>
    <cellStyle name="Normal 9 2 2 32" xfId="15679" xr:uid="{EC6B2212-3641-48DF-BE64-41B7BC00E469}"/>
    <cellStyle name="Normal 9 2 2 33" xfId="15680" xr:uid="{3C64378E-57FF-466E-BCC7-42A8B5BB3242}"/>
    <cellStyle name="Normal 9 2 2 34" xfId="15681" xr:uid="{7CCA7E31-C98D-4244-9B2D-60AB554FFF66}"/>
    <cellStyle name="Normal 9 2 2 35" xfId="15682" xr:uid="{9A4E02B0-1D8B-4571-9D2F-E580E789ABC1}"/>
    <cellStyle name="Normal 9 2 2 36" xfId="15683" xr:uid="{22B84942-A471-427C-A81B-1DF086862B4F}"/>
    <cellStyle name="Normal 9 2 2 37" xfId="15684" xr:uid="{B58472D1-72FB-4D41-851C-2EB59076BD08}"/>
    <cellStyle name="Normal 9 2 2 38" xfId="15685" xr:uid="{3234F131-A57F-4DC7-B5F8-813B6BA281E2}"/>
    <cellStyle name="Normal 9 2 2 39" xfId="15686" xr:uid="{1028108F-B7B5-41F0-A07F-D7288D0A731F}"/>
    <cellStyle name="Normal 9 2 2 4" xfId="15687" xr:uid="{7C77780F-13A6-45C5-9351-DA3677DC7204}"/>
    <cellStyle name="Normal 9 2 2 40" xfId="15688" xr:uid="{49D76775-B98F-4C52-A8A9-4508CB3C0B2A}"/>
    <cellStyle name="Normal 9 2 2 5" xfId="15689" xr:uid="{30C6E6AA-0ECB-46C6-8091-C3B454EE3860}"/>
    <cellStyle name="Normal 9 2 2 6" xfId="15690" xr:uid="{18346EF3-4C7E-4C7E-982A-DDA680491CDA}"/>
    <cellStyle name="Normal 9 2 2 7" xfId="15691" xr:uid="{9019390F-70AC-4770-81BC-A9D97A305B25}"/>
    <cellStyle name="Normal 9 2 2 8" xfId="15692" xr:uid="{3BE8D054-DF45-4E95-B48B-9E4FB12291BA}"/>
    <cellStyle name="Normal 9 2 2 9" xfId="15693" xr:uid="{BC03FF64-0B66-40FB-B3AA-599A3494EF13}"/>
    <cellStyle name="Normal 9 2 20" xfId="15694" xr:uid="{31660086-F197-405E-91B2-C7CC21986EF8}"/>
    <cellStyle name="Normal 9 2 21" xfId="15695" xr:uid="{60A08792-C8E2-428C-B79A-BA481AF63A60}"/>
    <cellStyle name="Normal 9 2 22" xfId="15696" xr:uid="{B48CEC8E-24DD-49CF-B17A-A1F37561DD3B}"/>
    <cellStyle name="Normal 9 2 23" xfId="15697" xr:uid="{E1B738E3-763D-4A1C-8A9D-91E76AC939CC}"/>
    <cellStyle name="Normal 9 2 24" xfId="15698" xr:uid="{DCE8F184-6FB9-4636-8871-CC28B8502EA1}"/>
    <cellStyle name="Normal 9 2 25" xfId="15699" xr:uid="{AC96BC5D-E985-481F-B4B0-2E6A73C04691}"/>
    <cellStyle name="Normal 9 2 26" xfId="15700" xr:uid="{D4B98300-447A-46BB-9587-F040F4409341}"/>
    <cellStyle name="Normal 9 2 27" xfId="15701" xr:uid="{F7EBAD49-BB56-4B5B-90C9-FE41D6F8AC64}"/>
    <cellStyle name="Normal 9 2 28" xfId="15702" xr:uid="{05252E6A-0699-4E4A-BF6F-47600FAC7D3F}"/>
    <cellStyle name="Normal 9 2 29" xfId="15703" xr:uid="{7AA48957-0C51-4BBA-B918-48694C5301D8}"/>
    <cellStyle name="Normal 9 2 3" xfId="15704" xr:uid="{E662F680-B7E7-4B4B-81BA-AB31F22E4BB7}"/>
    <cellStyle name="Normal 9 2 3 10" xfId="15705" xr:uid="{E520FAC8-5DF1-42FC-A106-DFF8DA037771}"/>
    <cellStyle name="Normal 9 2 3 11" xfId="15706" xr:uid="{53BBC692-DA5B-4235-A2D7-9F9694293703}"/>
    <cellStyle name="Normal 9 2 3 12" xfId="15707" xr:uid="{4894146A-1C6B-41B8-BFED-B612998278C7}"/>
    <cellStyle name="Normal 9 2 3 13" xfId="15708" xr:uid="{2CA6367D-FBEC-44FB-BB7B-68558A4AEC84}"/>
    <cellStyle name="Normal 9 2 3 14" xfId="15709" xr:uid="{8BFDF51C-167D-4850-A4ED-4053F3C5884E}"/>
    <cellStyle name="Normal 9 2 3 15" xfId="15710" xr:uid="{BC9E509D-57C2-458B-93E4-DA270E489499}"/>
    <cellStyle name="Normal 9 2 3 16" xfId="15711" xr:uid="{7888C62B-C25F-4334-8267-B447465A9A6B}"/>
    <cellStyle name="Normal 9 2 3 17" xfId="15712" xr:uid="{500B2028-1BBC-4833-A754-E0B56459CB1B}"/>
    <cellStyle name="Normal 9 2 3 18" xfId="15713" xr:uid="{5D5A6D54-FEA3-4286-B4E6-9DABAB99E010}"/>
    <cellStyle name="Normal 9 2 3 19" xfId="15714" xr:uid="{6BC6AB86-99A0-4CB6-B81B-E18BA308835F}"/>
    <cellStyle name="Normal 9 2 3 2" xfId="15715" xr:uid="{C065BFC6-4AF2-4358-A1A8-499C7CC49F27}"/>
    <cellStyle name="Normal 9 2 3 2 10" xfId="15716" xr:uid="{7F012826-070C-4B87-AD94-82201CCC423C}"/>
    <cellStyle name="Normal 9 2 3 2 11" xfId="15717" xr:uid="{1EB037AC-F4E3-478B-B895-172060D98274}"/>
    <cellStyle name="Normal 9 2 3 2 12" xfId="15718" xr:uid="{0E5B84FC-E23C-4CCF-A738-2F68AA86285B}"/>
    <cellStyle name="Normal 9 2 3 2 13" xfId="15719" xr:uid="{DA20BC65-44B2-45CF-96E2-D42C0F3CA173}"/>
    <cellStyle name="Normal 9 2 3 2 14" xfId="15720" xr:uid="{517D4B22-2D40-4B4E-8128-48825E6466B5}"/>
    <cellStyle name="Normal 9 2 3 2 15" xfId="15721" xr:uid="{580D02C0-CF23-46AB-8A99-96F5F4119BEE}"/>
    <cellStyle name="Normal 9 2 3 2 16" xfId="15722" xr:uid="{869C150F-54EC-4F81-80E9-D3693C8F0AD4}"/>
    <cellStyle name="Normal 9 2 3 2 17" xfId="15723" xr:uid="{3B7814E6-2EAC-4698-BE00-965D5B8F8AA7}"/>
    <cellStyle name="Normal 9 2 3 2 18" xfId="15724" xr:uid="{9410B2B0-5927-49A1-8564-E0F23B5A4AF2}"/>
    <cellStyle name="Normal 9 2 3 2 19" xfId="15725" xr:uid="{35C5E64A-CCBC-48B1-9705-BD43E117D61E}"/>
    <cellStyle name="Normal 9 2 3 2 2" xfId="15726" xr:uid="{7B74BE21-681B-43EF-A041-3F9C30855159}"/>
    <cellStyle name="Normal 9 2 3 2 20" xfId="15727" xr:uid="{ED4A1EB1-6DDF-433C-BB59-C8F0FE7FE669}"/>
    <cellStyle name="Normal 9 2 3 2 21" xfId="15728" xr:uid="{A12A803A-9335-4FE3-9917-77C5923239C6}"/>
    <cellStyle name="Normal 9 2 3 2 22" xfId="15729" xr:uid="{8D90B1E8-EA5E-45F3-B3D0-61CA63BBA235}"/>
    <cellStyle name="Normal 9 2 3 2 23" xfId="15730" xr:uid="{EF1087AB-7FBC-4059-A165-D38F770A2E30}"/>
    <cellStyle name="Normal 9 2 3 2 24" xfId="15731" xr:uid="{23554B90-08F0-439B-9D06-BAB027B56029}"/>
    <cellStyle name="Normal 9 2 3 2 25" xfId="15732" xr:uid="{B385738B-8ED6-4CE7-9C5F-EB3B79B23FBF}"/>
    <cellStyle name="Normal 9 2 3 2 26" xfId="15733" xr:uid="{F1B290E5-C8D0-4AD9-9DE0-B1AF6F7ADF10}"/>
    <cellStyle name="Normal 9 2 3 2 27" xfId="15734" xr:uid="{2B4C6774-9493-4ADC-B64D-F40CA1BAB870}"/>
    <cellStyle name="Normal 9 2 3 2 28" xfId="15735" xr:uid="{7CC7D32B-757F-49FB-93ED-17BEFAC76D50}"/>
    <cellStyle name="Normal 9 2 3 2 29" xfId="15736" xr:uid="{22E5F88D-F4E2-4144-B427-F233B336CD55}"/>
    <cellStyle name="Normal 9 2 3 2 3" xfId="15737" xr:uid="{9402AEF1-C907-40D0-82E3-2E122AB14E31}"/>
    <cellStyle name="Normal 9 2 3 2 30" xfId="15738" xr:uid="{BF2C6E57-F649-4145-98B3-760A8A3C3188}"/>
    <cellStyle name="Normal 9 2 3 2 31" xfId="15739" xr:uid="{6DDFACC9-6BF9-4ED1-A959-915B821C28BC}"/>
    <cellStyle name="Normal 9 2 3 2 32" xfId="15740" xr:uid="{3EFEBEBA-9D94-4B39-BBA8-3B31F0E1F8F1}"/>
    <cellStyle name="Normal 9 2 3 2 33" xfId="15741" xr:uid="{4E77D9F3-A66D-4E4C-BCEF-4615AAD4B2AC}"/>
    <cellStyle name="Normal 9 2 3 2 34" xfId="15742" xr:uid="{64162D8A-99C4-49BD-9B6D-8847D1800678}"/>
    <cellStyle name="Normal 9 2 3 2 35" xfId="15743" xr:uid="{1671D05B-58B9-443F-B916-4CB7B2CB41F3}"/>
    <cellStyle name="Normal 9 2 3 2 36" xfId="15744" xr:uid="{6415B649-9AED-4683-BA2F-C1B7781EFD9F}"/>
    <cellStyle name="Normal 9 2 3 2 37" xfId="15745" xr:uid="{0A65EA96-62D0-4EB7-89DE-B7A25EF737BD}"/>
    <cellStyle name="Normal 9 2 3 2 38" xfId="15746" xr:uid="{1DC27321-1412-492F-81C6-503CBE65EF8A}"/>
    <cellStyle name="Normal 9 2 3 2 4" xfId="15747" xr:uid="{8B85A3B1-C06C-4E00-A3E5-E1CA5DB49D67}"/>
    <cellStyle name="Normal 9 2 3 2 5" xfId="15748" xr:uid="{A93EC5A5-EE6D-43EB-8616-F8599748AB51}"/>
    <cellStyle name="Normal 9 2 3 2 6" xfId="15749" xr:uid="{807AD8B1-E283-435F-B26F-4E99DBE99E4B}"/>
    <cellStyle name="Normal 9 2 3 2 7" xfId="15750" xr:uid="{29BFDAD1-9847-4F44-AFBF-A4E6CEF8BBE4}"/>
    <cellStyle name="Normal 9 2 3 2 8" xfId="15751" xr:uid="{B130ADFC-C0E4-45F4-B03A-6C096F20F387}"/>
    <cellStyle name="Normal 9 2 3 2 9" xfId="15752" xr:uid="{E29C727D-46A6-415D-9EB8-43765094955E}"/>
    <cellStyle name="Normal 9 2 3 20" xfId="15753" xr:uid="{66E3381B-249F-420F-A32C-2CAEBA72F558}"/>
    <cellStyle name="Normal 9 2 3 21" xfId="15754" xr:uid="{25D5E8C7-2F43-481B-844F-BB9F7A2A6052}"/>
    <cellStyle name="Normal 9 2 3 22" xfId="15755" xr:uid="{DA21AEEC-2391-4041-A2A4-700F1AACB887}"/>
    <cellStyle name="Normal 9 2 3 23" xfId="15756" xr:uid="{0B6D5BE1-11B8-425C-B93A-03CE495E3C17}"/>
    <cellStyle name="Normal 9 2 3 24" xfId="15757" xr:uid="{5E487439-5A00-40B8-84C2-A55BA7F343B5}"/>
    <cellStyle name="Normal 9 2 3 25" xfId="15758" xr:uid="{92A2DAB9-CEAD-498A-B29B-5A93AE8004C3}"/>
    <cellStyle name="Normal 9 2 3 26" xfId="15759" xr:uid="{07F3C789-11D7-4CE4-ABE8-E4FF9C4EA9B1}"/>
    <cellStyle name="Normal 9 2 3 27" xfId="15760" xr:uid="{033A87B4-EBE4-4E15-B982-B2053BC68FB2}"/>
    <cellStyle name="Normal 9 2 3 28" xfId="15761" xr:uid="{FDDC5D7A-F7E7-4339-9FE8-417ACC0350F9}"/>
    <cellStyle name="Normal 9 2 3 29" xfId="15762" xr:uid="{F70C0881-A97E-4FC5-A209-24422C1302ED}"/>
    <cellStyle name="Normal 9 2 3 3" xfId="15763" xr:uid="{DF460E88-7A02-4127-B356-8A9056A77E48}"/>
    <cellStyle name="Normal 9 2 3 30" xfId="15764" xr:uid="{00BCBA48-FCF7-44F0-9845-E3B83F21720C}"/>
    <cellStyle name="Normal 9 2 3 31" xfId="15765" xr:uid="{AFEAFC15-007A-49FE-9B97-F22D25A7FEAF}"/>
    <cellStyle name="Normal 9 2 3 32" xfId="15766" xr:uid="{92B406B1-0195-49D5-B666-53E5CF4A3951}"/>
    <cellStyle name="Normal 9 2 3 33" xfId="15767" xr:uid="{3DE00942-6421-4998-8ACA-634F30950811}"/>
    <cellStyle name="Normal 9 2 3 34" xfId="15768" xr:uid="{0F511B75-172F-4A53-8D1C-E60296932D7A}"/>
    <cellStyle name="Normal 9 2 3 35" xfId="15769" xr:uid="{D628E9B2-5D47-44AA-88F2-3D0C7F7E6F56}"/>
    <cellStyle name="Normal 9 2 3 36" xfId="15770" xr:uid="{A9CC3522-4D11-41B1-B530-0594D682A1DB}"/>
    <cellStyle name="Normal 9 2 3 37" xfId="15771" xr:uid="{B6C54538-2551-4D76-88C9-3AE58138AAAF}"/>
    <cellStyle name="Normal 9 2 3 38" xfId="15772" xr:uid="{BD7A63B7-64B5-4DE6-B80A-9E3F3E60B4EE}"/>
    <cellStyle name="Normal 9 2 3 4" xfId="15773" xr:uid="{E9544C34-403D-4F7B-8B06-9326F613928F}"/>
    <cellStyle name="Normal 9 2 3 5" xfId="15774" xr:uid="{837890D6-395B-4D65-96F3-C9A1958A1E9E}"/>
    <cellStyle name="Normal 9 2 3 6" xfId="15775" xr:uid="{77BDE464-24E2-48AC-9F88-12C2C3505166}"/>
    <cellStyle name="Normal 9 2 3 7" xfId="15776" xr:uid="{A22493FB-23A1-489A-B5A8-45EA2FDBA8F4}"/>
    <cellStyle name="Normal 9 2 3 8" xfId="15777" xr:uid="{E20B68FB-EF12-4F97-9821-DD4F9F497A3B}"/>
    <cellStyle name="Normal 9 2 3 9" xfId="15778" xr:uid="{7696156E-F686-405B-993A-DD850AE1E4BE}"/>
    <cellStyle name="Normal 9 2 30" xfId="15779" xr:uid="{122A5419-C7BF-41F3-A20B-207A619328CC}"/>
    <cellStyle name="Normal 9 2 31" xfId="15780" xr:uid="{DE433FD9-BDC3-4277-8AC2-838CAFFF1E22}"/>
    <cellStyle name="Normal 9 2 32" xfId="15781" xr:uid="{560E4BF4-F51B-4311-ACAA-AA74A635CB30}"/>
    <cellStyle name="Normal 9 2 33" xfId="15782" xr:uid="{CB0569AE-C3CC-4741-B9AE-4FB460DB0A27}"/>
    <cellStyle name="Normal 9 2 34" xfId="15783" xr:uid="{59EC5CF8-0106-4EED-8ACD-B3A786C64DC2}"/>
    <cellStyle name="Normal 9 2 35" xfId="15784" xr:uid="{2052843D-84EA-47D6-A8B4-8CE6D98061EE}"/>
    <cellStyle name="Normal 9 2 36" xfId="15785" xr:uid="{B5BAD390-50F1-439F-8547-9841C1B07AFB}"/>
    <cellStyle name="Normal 9 2 37" xfId="15786" xr:uid="{A899A2D2-7C2C-46F9-B2FA-AE6A366F5E28}"/>
    <cellStyle name="Normal 9 2 38" xfId="15787" xr:uid="{0DDE2679-A1EE-4C77-896F-9C214B38807A}"/>
    <cellStyle name="Normal 9 2 39" xfId="15788" xr:uid="{44292DA3-B3D6-424B-9F65-C50FB3F5770D}"/>
    <cellStyle name="Normal 9 2 4" xfId="15789" xr:uid="{4681850A-FBBF-4DA4-A3D6-B834E21C6C93}"/>
    <cellStyle name="Normal 9 2 40" xfId="15790" xr:uid="{5BD5A70A-7C5D-4A89-8DF2-92FAE814C8EF}"/>
    <cellStyle name="Normal 9 2 41" xfId="15791" xr:uid="{86B0924A-CEEE-45D4-A591-820F09826452}"/>
    <cellStyle name="Normal 9 2 42" xfId="15792" xr:uid="{1FDA2687-5263-4ADC-B549-F9BC0F48F09B}"/>
    <cellStyle name="Normal 9 2 43" xfId="15793" xr:uid="{8E3DBDCE-D421-490D-8A1A-7C237FFEEDEB}"/>
    <cellStyle name="Normal 9 2 44" xfId="15794" xr:uid="{58A1139F-F9CC-4202-A94F-03BED37427B4}"/>
    <cellStyle name="Normal 9 2 45" xfId="15795" xr:uid="{01224DBF-97CE-4F15-BD3D-2AF2F416F2AD}"/>
    <cellStyle name="Normal 9 2 46" xfId="15796" xr:uid="{A017D1F5-6EFD-41E1-835E-F1E9B3723A8F}"/>
    <cellStyle name="Normal 9 2 47" xfId="15797" xr:uid="{FA145F1B-B06B-43AA-80AD-87312CCF5FFA}"/>
    <cellStyle name="Normal 9 2 5" xfId="15798" xr:uid="{AA74F007-BA6D-440F-A14B-BA11B5291B56}"/>
    <cellStyle name="Normal 9 2 6" xfId="15799" xr:uid="{3CCA4B87-F641-4475-A333-EF4382A28737}"/>
    <cellStyle name="Normal 9 2 7" xfId="15800" xr:uid="{EBCC9876-47E7-48CD-9F8D-13833224F980}"/>
    <cellStyle name="Normal 9 2 8" xfId="15801" xr:uid="{B0214F74-5518-4031-B0D8-A3E1BF7BD2D8}"/>
    <cellStyle name="Normal 9 2 9" xfId="15802" xr:uid="{871A2A2F-0CBD-4D68-9E7F-68ADBE203AF0}"/>
    <cellStyle name="Normal 9 20" xfId="15803" xr:uid="{C50993B2-D5CB-4570-B7E6-34F8F521BFB0}"/>
    <cellStyle name="Normal 9 21" xfId="15804" xr:uid="{EB735733-A95A-4080-B99E-8CA8D27B5EE0}"/>
    <cellStyle name="Normal 9 22" xfId="15805" xr:uid="{B9BFE304-6F61-4E9E-B69A-C931EA396063}"/>
    <cellStyle name="Normal 9 23" xfId="15806" xr:uid="{5FAA353F-3F7A-4182-8556-C26C1CE74DB4}"/>
    <cellStyle name="Normal 9 24" xfId="15807" xr:uid="{4F9E6936-ECE1-4DCE-BE72-DA779ACA9234}"/>
    <cellStyle name="Normal 9 25" xfId="15808" xr:uid="{4AFB35F0-0FEF-49E7-8232-CE2337D42187}"/>
    <cellStyle name="Normal 9 26" xfId="15809" xr:uid="{641EE5FB-941F-4844-987B-79B7F9C1B55D}"/>
    <cellStyle name="Normal 9 27" xfId="15810" xr:uid="{D1882BB2-5481-4938-A93E-6A5790D10E93}"/>
    <cellStyle name="Normal 9 28" xfId="15811" xr:uid="{91406EE5-E2AC-47DB-A3E4-2554900F5F82}"/>
    <cellStyle name="Normal 9 29" xfId="15812" xr:uid="{2C4EA4A4-D277-4EC1-8266-EB604961B442}"/>
    <cellStyle name="Normal 9 3" xfId="15813" xr:uid="{F9B03ADA-A0BA-4336-8510-6DF349A0343A}"/>
    <cellStyle name="Normal 9 3 10" xfId="15814" xr:uid="{19618FC2-EBD8-47D4-BC9C-4BF8CCE31AD1}"/>
    <cellStyle name="Normal 9 3 11" xfId="15815" xr:uid="{573A6C67-DC80-419B-B6E5-9CA5AEE56134}"/>
    <cellStyle name="Normal 9 3 12" xfId="15816" xr:uid="{51859BD9-6146-4EB4-A335-4575A8CC5992}"/>
    <cellStyle name="Normal 9 3 13" xfId="15817" xr:uid="{49A8150F-9093-461B-B52C-0269EEBF2618}"/>
    <cellStyle name="Normal 9 3 14" xfId="15818" xr:uid="{F3D90429-2FF1-4666-8B04-D42A04906FED}"/>
    <cellStyle name="Normal 9 3 15" xfId="15819" xr:uid="{0DA35ED2-311C-4C3E-8E13-563F8C3D6211}"/>
    <cellStyle name="Normal 9 3 16" xfId="15820" xr:uid="{6B777BED-A19F-4D84-A88D-851BC6E45B52}"/>
    <cellStyle name="Normal 9 3 17" xfId="15821" xr:uid="{816F5E1D-66A2-4FBB-9260-71F85F2B427B}"/>
    <cellStyle name="Normal 9 3 18" xfId="15822" xr:uid="{E2D1717C-10BD-4C1A-A076-76E19ECF7C7A}"/>
    <cellStyle name="Normal 9 3 19" xfId="15823" xr:uid="{F59A7961-B0A8-4DE9-AEA1-FDC4A9C5A9CF}"/>
    <cellStyle name="Normal 9 3 2" xfId="15824" xr:uid="{50D8EA03-1174-4326-8ADE-EC7BB75EE6AD}"/>
    <cellStyle name="Normal 9 3 2 10" xfId="15825" xr:uid="{4ADB8A39-6D84-472A-AFE6-F27AE903B344}"/>
    <cellStyle name="Normal 9 3 2 11" xfId="15826" xr:uid="{005690F3-F8BD-42D8-8489-5F5BB6D3BC6F}"/>
    <cellStyle name="Normal 9 3 2 12" xfId="15827" xr:uid="{85D8E01B-CD6B-49D6-A7A1-549DCAED5C31}"/>
    <cellStyle name="Normal 9 3 2 13" xfId="15828" xr:uid="{9BFC6B19-6B91-45CF-97B0-86211CCEC54F}"/>
    <cellStyle name="Normal 9 3 2 14" xfId="15829" xr:uid="{BD8831EA-6E47-48C8-B939-FBE5CB9C8AE3}"/>
    <cellStyle name="Normal 9 3 2 15" xfId="15830" xr:uid="{FE8173DC-87BB-4C45-9BB8-9A77312DB0DC}"/>
    <cellStyle name="Normal 9 3 2 16" xfId="15831" xr:uid="{16498478-DFA0-4A43-82B5-C5BF29BBE9EE}"/>
    <cellStyle name="Normal 9 3 2 17" xfId="15832" xr:uid="{7A4866ED-4777-4C3D-BD31-DD3FC63206C0}"/>
    <cellStyle name="Normal 9 3 2 18" xfId="15833" xr:uid="{B70829AE-AC8E-4FC0-BD76-58BEB914263C}"/>
    <cellStyle name="Normal 9 3 2 19" xfId="15834" xr:uid="{B3E94A1D-440F-44C8-93B6-5890C045BB48}"/>
    <cellStyle name="Normal 9 3 2 2" xfId="15835" xr:uid="{367CA631-4397-476F-8BDE-6E6B74ABCA48}"/>
    <cellStyle name="Normal 9 3 2 2 10" xfId="15836" xr:uid="{8B9CEA4A-1A9D-4F3C-87B6-002CC4187DAC}"/>
    <cellStyle name="Normal 9 3 2 2 11" xfId="15837" xr:uid="{6A8724B1-D293-4212-AC2C-E2B0D055E87B}"/>
    <cellStyle name="Normal 9 3 2 2 12" xfId="15838" xr:uid="{41867EDC-82A9-4EF6-90CD-F1CB581E9194}"/>
    <cellStyle name="Normal 9 3 2 2 13" xfId="15839" xr:uid="{74B32488-8962-4065-BF61-8F9F5E949F95}"/>
    <cellStyle name="Normal 9 3 2 2 14" xfId="15840" xr:uid="{CE09370D-FF45-41B7-A2C0-5326FFAB5F11}"/>
    <cellStyle name="Normal 9 3 2 2 15" xfId="15841" xr:uid="{CD8092F9-6AA6-48DA-ABD6-7EC9CA322C0E}"/>
    <cellStyle name="Normal 9 3 2 2 16" xfId="15842" xr:uid="{577D57CA-4738-499C-B741-98475029A57C}"/>
    <cellStyle name="Normal 9 3 2 2 17" xfId="15843" xr:uid="{1E03D88C-BE62-43D3-BB62-4BCB52CCF1E9}"/>
    <cellStyle name="Normal 9 3 2 2 18" xfId="15844" xr:uid="{D7517BC9-FF03-4392-A771-20B4E4E08B2C}"/>
    <cellStyle name="Normal 9 3 2 2 19" xfId="15845" xr:uid="{9D102AA9-E9F9-4353-97F3-0F8F90A5DAD7}"/>
    <cellStyle name="Normal 9 3 2 2 2" xfId="15846" xr:uid="{1A4F157E-ADCF-4415-90DD-112761B5A7E6}"/>
    <cellStyle name="Normal 9 3 2 2 2 10" xfId="15847" xr:uid="{189FAB5D-252D-43E7-89D7-DD417026D05E}"/>
    <cellStyle name="Normal 9 3 2 2 2 11" xfId="15848" xr:uid="{5160A9A7-0CC3-465F-9DEF-D6DF1E2E24CE}"/>
    <cellStyle name="Normal 9 3 2 2 2 12" xfId="15849" xr:uid="{DA2B2D8F-FF53-4A6D-9EEA-1AD5400FFBD0}"/>
    <cellStyle name="Normal 9 3 2 2 2 13" xfId="15850" xr:uid="{BEF59566-8255-461B-9765-D575CB05BC1C}"/>
    <cellStyle name="Normal 9 3 2 2 2 14" xfId="15851" xr:uid="{5F891930-9E2C-4584-9967-6D292C910245}"/>
    <cellStyle name="Normal 9 3 2 2 2 15" xfId="15852" xr:uid="{B2D2A4A0-9188-477B-B9B7-E98C8529693C}"/>
    <cellStyle name="Normal 9 3 2 2 2 16" xfId="15853" xr:uid="{FD41870B-0322-4B5A-AC05-5CA2B914922F}"/>
    <cellStyle name="Normal 9 3 2 2 2 17" xfId="15854" xr:uid="{23F8C3C2-805B-4E3A-8C73-18CC848D52EE}"/>
    <cellStyle name="Normal 9 3 2 2 2 18" xfId="15855" xr:uid="{19C3C959-8D5E-425A-A78C-86F73F72BE65}"/>
    <cellStyle name="Normal 9 3 2 2 2 19" xfId="15856" xr:uid="{31CE5351-8C29-4FF5-B88A-5018C816973A}"/>
    <cellStyle name="Normal 9 3 2 2 2 2" xfId="15857" xr:uid="{52BD7822-681D-47C8-BE2D-3F831DED24EE}"/>
    <cellStyle name="Normal 9 3 2 2 2 20" xfId="15858" xr:uid="{1066739E-6CE3-4446-B145-6EDC929DF41A}"/>
    <cellStyle name="Normal 9 3 2 2 2 21" xfId="15859" xr:uid="{3138BD97-9ECD-4C25-8DFA-58AFFF8ADFAB}"/>
    <cellStyle name="Normal 9 3 2 2 2 22" xfId="15860" xr:uid="{D0F2A131-1D49-4D96-9D8B-E006A546E7C7}"/>
    <cellStyle name="Normal 9 3 2 2 2 23" xfId="15861" xr:uid="{AFAEFD6D-8F84-4F84-8E26-E2D39E6E7EF0}"/>
    <cellStyle name="Normal 9 3 2 2 2 24" xfId="15862" xr:uid="{2EC970AD-7013-49B5-B9E1-867694E812EA}"/>
    <cellStyle name="Normal 9 3 2 2 2 25" xfId="15863" xr:uid="{E87D10F4-3C95-4199-9AE6-7D5B0FF2FF33}"/>
    <cellStyle name="Normal 9 3 2 2 2 26" xfId="15864" xr:uid="{16AA9A48-E4E8-4714-A5FE-181C8BCDBDDA}"/>
    <cellStyle name="Normal 9 3 2 2 2 27" xfId="15865" xr:uid="{046F6CA4-2A9C-4EA4-9BCF-7CB4647DCD85}"/>
    <cellStyle name="Normal 9 3 2 2 2 28" xfId="15866" xr:uid="{B415757B-677E-41C3-8782-0F999265FEEC}"/>
    <cellStyle name="Normal 9 3 2 2 2 29" xfId="15867" xr:uid="{A86E4BBA-E037-44AC-BC0B-AD1BD11906F2}"/>
    <cellStyle name="Normal 9 3 2 2 2 3" xfId="15868" xr:uid="{BE3544C4-1412-4494-B274-004B58A50BF4}"/>
    <cellStyle name="Normal 9 3 2 2 2 30" xfId="15869" xr:uid="{714ADB3A-B49F-43C4-A8A7-DA564AD9B7CD}"/>
    <cellStyle name="Normal 9 3 2 2 2 31" xfId="15870" xr:uid="{8EB356C5-98F5-42EA-A8BD-1A0B702BD08C}"/>
    <cellStyle name="Normal 9 3 2 2 2 32" xfId="15871" xr:uid="{02223269-B145-4109-972F-7F527E578962}"/>
    <cellStyle name="Normal 9 3 2 2 2 33" xfId="15872" xr:uid="{167909D7-61C9-4B38-9D6E-D91EC4DFC7BC}"/>
    <cellStyle name="Normal 9 3 2 2 2 34" xfId="15873" xr:uid="{FD7C61E3-DBB0-45CC-9690-703FCB94008B}"/>
    <cellStyle name="Normal 9 3 2 2 2 35" xfId="15874" xr:uid="{A299685C-9E1E-41A4-9D06-FDD506F6FF42}"/>
    <cellStyle name="Normal 9 3 2 2 2 36" xfId="15875" xr:uid="{C58BCA4A-7EED-43AC-AA79-35A95CB7EB98}"/>
    <cellStyle name="Normal 9 3 2 2 2 37" xfId="15876" xr:uid="{96708EEE-BEBC-4DA5-A4BB-0DBD8DE73509}"/>
    <cellStyle name="Normal 9 3 2 2 2 38" xfId="15877" xr:uid="{E72A7473-D54A-485F-B296-10B3B1A6783D}"/>
    <cellStyle name="Normal 9 3 2 2 2 4" xfId="15878" xr:uid="{9C8D7A79-185F-4F9B-8D6E-65C678341DED}"/>
    <cellStyle name="Normal 9 3 2 2 2 5" xfId="15879" xr:uid="{353F8353-04B2-47DD-96FC-F1D1F1D970C4}"/>
    <cellStyle name="Normal 9 3 2 2 2 6" xfId="15880" xr:uid="{AC00CB4E-BED9-460F-B422-11A0A69006DB}"/>
    <cellStyle name="Normal 9 3 2 2 2 7" xfId="15881" xr:uid="{25DCD7C4-0BC8-4A65-95D5-40251C3D27CC}"/>
    <cellStyle name="Normal 9 3 2 2 2 8" xfId="15882" xr:uid="{7FE4C4E6-36B3-4FE7-B77A-56EA9077C417}"/>
    <cellStyle name="Normal 9 3 2 2 2 9" xfId="15883" xr:uid="{84E9A11F-35E1-46E1-AE25-117D5BB04954}"/>
    <cellStyle name="Normal 9 3 2 2 20" xfId="15884" xr:uid="{E61371EA-0C6C-42A2-AC2D-F9AC32CE49F7}"/>
    <cellStyle name="Normal 9 3 2 2 21" xfId="15885" xr:uid="{D6F3F77C-2649-4D35-BC4E-3EB48A73EA0D}"/>
    <cellStyle name="Normal 9 3 2 2 22" xfId="15886" xr:uid="{DAB68190-DC63-43E5-8C35-1B8C018314EB}"/>
    <cellStyle name="Normal 9 3 2 2 23" xfId="15887" xr:uid="{3D62E865-5981-49B2-A157-73E60B9A5C51}"/>
    <cellStyle name="Normal 9 3 2 2 24" xfId="15888" xr:uid="{BBB8803F-D2ED-4CCD-AC27-F6B76D9D6CFE}"/>
    <cellStyle name="Normal 9 3 2 2 25" xfId="15889" xr:uid="{FB66FF1A-BA6D-4F02-AB44-9D1DF2FD3ADD}"/>
    <cellStyle name="Normal 9 3 2 2 26" xfId="15890" xr:uid="{71583F34-7F10-408B-9DCD-D3651B166D83}"/>
    <cellStyle name="Normal 9 3 2 2 27" xfId="15891" xr:uid="{67EC07C3-08FC-4FC9-B877-CEA80396C13B}"/>
    <cellStyle name="Normal 9 3 2 2 28" xfId="15892" xr:uid="{931840AD-C25F-492F-A331-E57D3F493CAD}"/>
    <cellStyle name="Normal 9 3 2 2 29" xfId="15893" xr:uid="{D8E4EB29-9938-4EC8-B6DB-C2393FFDC100}"/>
    <cellStyle name="Normal 9 3 2 2 3" xfId="15894" xr:uid="{C2166338-ABA3-467B-B973-3CD3B96F1D0D}"/>
    <cellStyle name="Normal 9 3 2 2 30" xfId="15895" xr:uid="{FF238EA9-CDF8-4939-8BCD-2886A038A066}"/>
    <cellStyle name="Normal 9 3 2 2 31" xfId="15896" xr:uid="{93C855A0-F495-4CC7-9F6B-F4C24A90EBC2}"/>
    <cellStyle name="Normal 9 3 2 2 32" xfId="15897" xr:uid="{93A62683-D748-4F98-B038-BE862C270C70}"/>
    <cellStyle name="Normal 9 3 2 2 33" xfId="15898" xr:uid="{F4180BEE-ACF5-43C2-BA33-52060D6418F6}"/>
    <cellStyle name="Normal 9 3 2 2 34" xfId="15899" xr:uid="{B5232087-D5FE-4A98-83D8-502009578DC0}"/>
    <cellStyle name="Normal 9 3 2 2 35" xfId="15900" xr:uid="{68D85064-1AEF-4CED-8E9C-A71F54EDE742}"/>
    <cellStyle name="Normal 9 3 2 2 36" xfId="15901" xr:uid="{2887D327-1840-4735-B1EB-39F6F6876D56}"/>
    <cellStyle name="Normal 9 3 2 2 37" xfId="15902" xr:uid="{7F25E913-FC9A-4324-98B7-50628A88927B}"/>
    <cellStyle name="Normal 9 3 2 2 38" xfId="15903" xr:uid="{47D80D0F-27FE-40FC-B665-06F69DC045A2}"/>
    <cellStyle name="Normal 9 3 2 2 4" xfId="15904" xr:uid="{CA802A33-CD23-4007-A513-ED368F5EDEDA}"/>
    <cellStyle name="Normal 9 3 2 2 5" xfId="15905" xr:uid="{440C27E0-2FBB-4650-8DB6-D55F3DC08A7F}"/>
    <cellStyle name="Normal 9 3 2 2 6" xfId="15906" xr:uid="{1501AB63-201D-47FD-B02A-1B8804C21673}"/>
    <cellStyle name="Normal 9 3 2 2 7" xfId="15907" xr:uid="{F742D4F9-9BC1-4644-8789-E6A4404605A6}"/>
    <cellStyle name="Normal 9 3 2 2 8" xfId="15908" xr:uid="{914276A9-38B2-44A5-980D-86752003B00F}"/>
    <cellStyle name="Normal 9 3 2 2 9" xfId="15909" xr:uid="{A495015E-5F38-425C-BB0D-32FBC8A6557D}"/>
    <cellStyle name="Normal 9 3 2 20" xfId="15910" xr:uid="{639B1BC5-74D8-4CA1-8CE9-235DCB61DE70}"/>
    <cellStyle name="Normal 9 3 2 21" xfId="15911" xr:uid="{880DE604-79D5-466D-BD20-895561976CCF}"/>
    <cellStyle name="Normal 9 3 2 22" xfId="15912" xr:uid="{6306BE22-5E8A-47A6-87BB-1B5BDFAAF8B7}"/>
    <cellStyle name="Normal 9 3 2 23" xfId="15913" xr:uid="{AC9F0E25-2186-4916-AA8E-6E02966BF41D}"/>
    <cellStyle name="Normal 9 3 2 24" xfId="15914" xr:uid="{85EF4E9D-BC50-4A18-AF56-113F937B421B}"/>
    <cellStyle name="Normal 9 3 2 25" xfId="15915" xr:uid="{E438DA42-78F1-4812-968D-2A46CCA93F80}"/>
    <cellStyle name="Normal 9 3 2 26" xfId="15916" xr:uid="{22059D1D-0E75-4105-ACB9-F9536513C4CD}"/>
    <cellStyle name="Normal 9 3 2 27" xfId="15917" xr:uid="{420B65E1-18E5-4CA2-96EB-1D3C583A5304}"/>
    <cellStyle name="Normal 9 3 2 28" xfId="15918" xr:uid="{AE0EB244-A070-4E04-A8FA-5203A9C23A69}"/>
    <cellStyle name="Normal 9 3 2 29" xfId="15919" xr:uid="{66855A83-BF96-48E4-99BF-709F619E1B4F}"/>
    <cellStyle name="Normal 9 3 2 3" xfId="15920" xr:uid="{83632047-09CA-49C3-AC4E-DC4E15317AFA}"/>
    <cellStyle name="Normal 9 3 2 30" xfId="15921" xr:uid="{0CFD3881-CEEC-451C-B301-E234A9C5432E}"/>
    <cellStyle name="Normal 9 3 2 31" xfId="15922" xr:uid="{E0A899A6-10DD-4630-92A0-489800B98DC3}"/>
    <cellStyle name="Normal 9 3 2 32" xfId="15923" xr:uid="{DE7A59D4-FC7B-4FD6-AA00-200C5F92DFE8}"/>
    <cellStyle name="Normal 9 3 2 33" xfId="15924" xr:uid="{27D84B0B-B922-439C-8A1E-36B144120788}"/>
    <cellStyle name="Normal 9 3 2 34" xfId="15925" xr:uid="{6733D827-B080-48A1-95ED-BF46D3AF28F2}"/>
    <cellStyle name="Normal 9 3 2 35" xfId="15926" xr:uid="{B04F4EBD-8191-4689-AFD2-9F046F8872E8}"/>
    <cellStyle name="Normal 9 3 2 36" xfId="15927" xr:uid="{CE666639-F968-4B25-8F03-DCC3B8386027}"/>
    <cellStyle name="Normal 9 3 2 37" xfId="15928" xr:uid="{DB108A69-B19E-41C0-8AF8-81769A916CED}"/>
    <cellStyle name="Normal 9 3 2 38" xfId="15929" xr:uid="{7FFBB7A6-D785-433C-892B-4DD0AB83C058}"/>
    <cellStyle name="Normal 9 3 2 39" xfId="15930" xr:uid="{D59357F9-07C6-4F20-A74C-EAAD0F4F3047}"/>
    <cellStyle name="Normal 9 3 2 4" xfId="15931" xr:uid="{1392400B-9278-4FCC-B84F-5F87543BEFCA}"/>
    <cellStyle name="Normal 9 3 2 40" xfId="15932" xr:uid="{23151202-3413-427D-A998-3C318454D573}"/>
    <cellStyle name="Normal 9 3 2 5" xfId="15933" xr:uid="{23EFCEB2-3373-4D10-86A5-4BEA32B4CB07}"/>
    <cellStyle name="Normal 9 3 2 6" xfId="15934" xr:uid="{C7568508-212D-4A6C-AF79-68978C2FBC18}"/>
    <cellStyle name="Normal 9 3 2 7" xfId="15935" xr:uid="{A22676D0-D73D-481A-B661-E5DF2AF97AF2}"/>
    <cellStyle name="Normal 9 3 2 8" xfId="15936" xr:uid="{778F6A7A-D817-47DD-8A23-E6D421B59906}"/>
    <cellStyle name="Normal 9 3 2 9" xfId="15937" xr:uid="{9002BF2A-8356-48CF-B3F3-D228E3D50E20}"/>
    <cellStyle name="Normal 9 3 20" xfId="15938" xr:uid="{F8410812-D81A-4737-A8C0-3EA7681279C8}"/>
    <cellStyle name="Normal 9 3 21" xfId="15939" xr:uid="{690700BF-723E-4681-AE5F-4662C6011792}"/>
    <cellStyle name="Normal 9 3 22" xfId="15940" xr:uid="{BE6E1424-0F2A-4030-B46F-905494F14CEA}"/>
    <cellStyle name="Normal 9 3 23" xfId="15941" xr:uid="{DDCC35BA-A6B2-43A6-96F5-35145C817029}"/>
    <cellStyle name="Normal 9 3 24" xfId="15942" xr:uid="{C63B8104-23ED-4576-8C09-AF64336AF5E7}"/>
    <cellStyle name="Normal 9 3 25" xfId="15943" xr:uid="{AB1CEC52-95EB-4E60-B406-D0039038A16B}"/>
    <cellStyle name="Normal 9 3 26" xfId="15944" xr:uid="{76D61D14-D338-45B5-AE7C-E512C3F528AA}"/>
    <cellStyle name="Normal 9 3 27" xfId="15945" xr:uid="{36E54A59-2186-4E15-A722-4F02B12D5767}"/>
    <cellStyle name="Normal 9 3 28" xfId="15946" xr:uid="{91023E6A-91BC-444C-B622-7E78FD436704}"/>
    <cellStyle name="Normal 9 3 29" xfId="15947" xr:uid="{60CE958B-C732-4B12-BDAF-8D32C69D0481}"/>
    <cellStyle name="Normal 9 3 3" xfId="15948" xr:uid="{BD08A53F-213E-49BE-BDB6-D45F0574D980}"/>
    <cellStyle name="Normal 9 3 3 10" xfId="15949" xr:uid="{C6E813CD-AA76-4581-ABF5-69D7734CAD80}"/>
    <cellStyle name="Normal 9 3 3 11" xfId="15950" xr:uid="{CEF61423-ECAF-4CC4-B26F-90B85F9166F1}"/>
    <cellStyle name="Normal 9 3 3 12" xfId="15951" xr:uid="{857656F6-AD7B-4E52-9936-81F56E2AC5C1}"/>
    <cellStyle name="Normal 9 3 3 13" xfId="15952" xr:uid="{CD0D8773-63B4-4869-B9E0-B4B03B94383A}"/>
    <cellStyle name="Normal 9 3 3 14" xfId="15953" xr:uid="{54B7BB7D-108F-4102-9560-0BF72113FB5D}"/>
    <cellStyle name="Normal 9 3 3 15" xfId="15954" xr:uid="{2EE5EDB3-E32A-49F0-B44A-6BAFA198540B}"/>
    <cellStyle name="Normal 9 3 3 16" xfId="15955" xr:uid="{B59FAAD8-DAB5-4CD8-AAA9-98409AA77977}"/>
    <cellStyle name="Normal 9 3 3 17" xfId="15956" xr:uid="{E986E6CE-7839-47B4-8BE2-53D9E47337CF}"/>
    <cellStyle name="Normal 9 3 3 18" xfId="15957" xr:uid="{17A76739-330F-4B53-9D03-13108D0BA0D4}"/>
    <cellStyle name="Normal 9 3 3 19" xfId="15958" xr:uid="{9E049215-CE09-4977-A27E-80CEEB9F3014}"/>
    <cellStyle name="Normal 9 3 3 2" xfId="15959" xr:uid="{743A0603-2F78-4E87-9F50-4544E67767D5}"/>
    <cellStyle name="Normal 9 3 3 2 10" xfId="15960" xr:uid="{684ABDB8-71DE-4FEA-9358-A5266D9564E4}"/>
    <cellStyle name="Normal 9 3 3 2 11" xfId="15961" xr:uid="{2C951752-DDAF-4EBA-9CA2-40C7BFBE7AF0}"/>
    <cellStyle name="Normal 9 3 3 2 12" xfId="15962" xr:uid="{D048B87F-A782-41B4-A84B-D2D7197F6EAE}"/>
    <cellStyle name="Normal 9 3 3 2 13" xfId="15963" xr:uid="{E47E2DFE-7403-4314-9B70-7158AD203CF3}"/>
    <cellStyle name="Normal 9 3 3 2 14" xfId="15964" xr:uid="{492E8197-9619-4752-A50F-1D23B22F5A05}"/>
    <cellStyle name="Normal 9 3 3 2 15" xfId="15965" xr:uid="{1CC90353-850D-407D-930E-E5F3E124DDCC}"/>
    <cellStyle name="Normal 9 3 3 2 16" xfId="15966" xr:uid="{037E6105-EB76-4900-9C94-D21CA08E8470}"/>
    <cellStyle name="Normal 9 3 3 2 17" xfId="15967" xr:uid="{A773C492-EC0D-4E3C-8E26-B752D779B2F4}"/>
    <cellStyle name="Normal 9 3 3 2 18" xfId="15968" xr:uid="{C31A2990-8AF1-4523-9823-0D8E63B722C3}"/>
    <cellStyle name="Normal 9 3 3 2 19" xfId="15969" xr:uid="{85549187-4C84-46EC-984C-02FC8E5BC74D}"/>
    <cellStyle name="Normal 9 3 3 2 2" xfId="15970" xr:uid="{7E390A8A-37EE-43DA-A258-9CD8D827F993}"/>
    <cellStyle name="Normal 9 3 3 2 20" xfId="15971" xr:uid="{E52931C9-412F-485A-A8A1-D56C064935AE}"/>
    <cellStyle name="Normal 9 3 3 2 21" xfId="15972" xr:uid="{A81CBA6D-EC46-47ED-AEF0-59238F35DD90}"/>
    <cellStyle name="Normal 9 3 3 2 22" xfId="15973" xr:uid="{D29F4A3D-3006-48A5-8ADB-C76EC179336B}"/>
    <cellStyle name="Normal 9 3 3 2 23" xfId="15974" xr:uid="{91EBAA35-20B7-434B-A5BF-E3F7B60F4AAE}"/>
    <cellStyle name="Normal 9 3 3 2 24" xfId="15975" xr:uid="{804D1B26-CEAF-4D65-8CB8-6205FAEBA908}"/>
    <cellStyle name="Normal 9 3 3 2 25" xfId="15976" xr:uid="{B61FEFA5-D64A-4F10-9377-A5C724BA7C50}"/>
    <cellStyle name="Normal 9 3 3 2 26" xfId="15977" xr:uid="{354C6FD3-B562-4777-A54C-3E9D13EC808D}"/>
    <cellStyle name="Normal 9 3 3 2 27" xfId="15978" xr:uid="{B86C10F3-39E1-4C0B-8757-5F01BB66442C}"/>
    <cellStyle name="Normal 9 3 3 2 28" xfId="15979" xr:uid="{B35B58AE-E367-454C-BD06-D121E815B019}"/>
    <cellStyle name="Normal 9 3 3 2 29" xfId="15980" xr:uid="{A55783E5-3277-4D7E-8F5C-F018ABBD29C9}"/>
    <cellStyle name="Normal 9 3 3 2 3" xfId="15981" xr:uid="{66B602A1-D1B4-46F2-BF16-10CDF5F2E299}"/>
    <cellStyle name="Normal 9 3 3 2 30" xfId="15982" xr:uid="{BD6A508F-85B5-4D48-A956-1F8CD3E471D8}"/>
    <cellStyle name="Normal 9 3 3 2 31" xfId="15983" xr:uid="{3F6D0D89-4935-42EF-8C92-7364834F94E9}"/>
    <cellStyle name="Normal 9 3 3 2 32" xfId="15984" xr:uid="{ED4340CD-4EDE-4198-AC50-95290B132F78}"/>
    <cellStyle name="Normal 9 3 3 2 33" xfId="15985" xr:uid="{31907C67-31D8-4670-92AF-7BEF02295436}"/>
    <cellStyle name="Normal 9 3 3 2 34" xfId="15986" xr:uid="{907737CB-B92A-4D25-B2A9-339E7AE3E3DB}"/>
    <cellStyle name="Normal 9 3 3 2 35" xfId="15987" xr:uid="{126E4F74-B9B3-43A8-9139-DC3F48D732A5}"/>
    <cellStyle name="Normal 9 3 3 2 36" xfId="15988" xr:uid="{BD3B168B-6975-41D5-9766-BEBF40EDAEC8}"/>
    <cellStyle name="Normal 9 3 3 2 37" xfId="15989" xr:uid="{A53BB3FF-C2F3-414E-AF18-E174C7EDE39B}"/>
    <cellStyle name="Normal 9 3 3 2 38" xfId="15990" xr:uid="{4D5B404B-899D-477B-B3AC-8440EF398556}"/>
    <cellStyle name="Normal 9 3 3 2 4" xfId="15991" xr:uid="{7A35C49D-9547-4DFD-BA64-F1C98FD7F2B5}"/>
    <cellStyle name="Normal 9 3 3 2 5" xfId="15992" xr:uid="{7A2BBA0B-5AB3-468E-893E-BA161F1A54CC}"/>
    <cellStyle name="Normal 9 3 3 2 6" xfId="15993" xr:uid="{21ADF671-9363-4F22-AF71-AE98CDD50A2D}"/>
    <cellStyle name="Normal 9 3 3 2 7" xfId="15994" xr:uid="{3236284C-3192-4658-9BB0-E312568FAF98}"/>
    <cellStyle name="Normal 9 3 3 2 8" xfId="15995" xr:uid="{EBF3DF79-94CD-4642-A14D-EF9575E0268C}"/>
    <cellStyle name="Normal 9 3 3 2 9" xfId="15996" xr:uid="{0B01D729-3DC9-47E4-BBFA-A264FCA20167}"/>
    <cellStyle name="Normal 9 3 3 20" xfId="15997" xr:uid="{D52F1B34-39A3-419B-A1F7-E0A98B70AD23}"/>
    <cellStyle name="Normal 9 3 3 21" xfId="15998" xr:uid="{82FD973E-1DEB-47B6-8003-561EBC01E85F}"/>
    <cellStyle name="Normal 9 3 3 22" xfId="15999" xr:uid="{6A27F4CC-9DD2-40CC-9F56-276560A4718D}"/>
    <cellStyle name="Normal 9 3 3 23" xfId="16000" xr:uid="{8CE7705D-9CC6-49E0-A7B1-17A9BFAC06C3}"/>
    <cellStyle name="Normal 9 3 3 24" xfId="16001" xr:uid="{9A424B89-35D6-420B-8C6B-5613CDFBC2D7}"/>
    <cellStyle name="Normal 9 3 3 25" xfId="16002" xr:uid="{BC725A7E-15E5-4683-A138-3E487D72D666}"/>
    <cellStyle name="Normal 9 3 3 26" xfId="16003" xr:uid="{6E66E03B-097F-4CBB-8BDA-9EB58EBDCA2D}"/>
    <cellStyle name="Normal 9 3 3 27" xfId="16004" xr:uid="{EEFB3D1B-83B4-43FA-8F12-8D0CF983565E}"/>
    <cellStyle name="Normal 9 3 3 28" xfId="16005" xr:uid="{BEDCC13A-36CE-4C0A-B4FC-6A12F2742E2E}"/>
    <cellStyle name="Normal 9 3 3 29" xfId="16006" xr:uid="{7F7A30A4-2E9B-4FBB-A473-781FE9A03552}"/>
    <cellStyle name="Normal 9 3 3 3" xfId="16007" xr:uid="{C8098231-12F9-468E-A221-296F130AD749}"/>
    <cellStyle name="Normal 9 3 3 30" xfId="16008" xr:uid="{6085CD0F-7CBA-48D7-95C1-94068976F1F4}"/>
    <cellStyle name="Normal 9 3 3 31" xfId="16009" xr:uid="{923EB6AB-4882-4534-B003-875D3A4E7E45}"/>
    <cellStyle name="Normal 9 3 3 32" xfId="16010" xr:uid="{671A1AC5-E844-4AEF-BF9C-50E5E017F893}"/>
    <cellStyle name="Normal 9 3 3 33" xfId="16011" xr:uid="{147437AA-2E45-4837-99C1-06E56DB0B70F}"/>
    <cellStyle name="Normal 9 3 3 34" xfId="16012" xr:uid="{7A01AD14-0D98-415B-BE15-F153535054AD}"/>
    <cellStyle name="Normal 9 3 3 35" xfId="16013" xr:uid="{D010339A-AE8A-41EF-BA76-2EADD8369C66}"/>
    <cellStyle name="Normal 9 3 3 36" xfId="16014" xr:uid="{8BC8B531-11FD-4665-BA56-57DC1F25FD39}"/>
    <cellStyle name="Normal 9 3 3 37" xfId="16015" xr:uid="{94C92E1A-4C97-43A2-91D7-75C977697CC0}"/>
    <cellStyle name="Normal 9 3 3 38" xfId="16016" xr:uid="{ECF41908-57A9-4E60-B113-ABE22C32FCE0}"/>
    <cellStyle name="Normal 9 3 3 4" xfId="16017" xr:uid="{10993661-88B9-495E-9859-8123BC3E8CCC}"/>
    <cellStyle name="Normal 9 3 3 5" xfId="16018" xr:uid="{0097B025-B29F-449C-9BF0-03D9BD11F908}"/>
    <cellStyle name="Normal 9 3 3 6" xfId="16019" xr:uid="{C17069C7-2468-4273-B171-A62D95473F72}"/>
    <cellStyle name="Normal 9 3 3 7" xfId="16020" xr:uid="{07A8DA53-D61A-4789-A78D-9D62D5FCAB03}"/>
    <cellStyle name="Normal 9 3 3 8" xfId="16021" xr:uid="{6614D65D-AD2A-455A-9CA4-4AFA0E4D523A}"/>
    <cellStyle name="Normal 9 3 3 9" xfId="16022" xr:uid="{833366DD-2517-4147-A420-2BE6DD8EEC27}"/>
    <cellStyle name="Normal 9 3 30" xfId="16023" xr:uid="{FD990CF3-FF70-46C5-A30D-6DB2D7AE8E0A}"/>
    <cellStyle name="Normal 9 3 31" xfId="16024" xr:uid="{B1FB6EB0-DEEA-4C0B-8F69-B89C5C028930}"/>
    <cellStyle name="Normal 9 3 32" xfId="16025" xr:uid="{D343E20F-928C-4352-8852-C4D920E89602}"/>
    <cellStyle name="Normal 9 3 33" xfId="16026" xr:uid="{19EB3D48-8DD1-4093-B4F6-A2B7F6424A39}"/>
    <cellStyle name="Normal 9 3 34" xfId="16027" xr:uid="{63525CCF-E3E7-4E9F-836D-A7DC55213390}"/>
    <cellStyle name="Normal 9 3 35" xfId="16028" xr:uid="{35749767-7B17-4BF1-960A-AB5450D0E4CB}"/>
    <cellStyle name="Normal 9 3 36" xfId="16029" xr:uid="{2B99C084-39BD-4D4C-A353-078F7706727B}"/>
    <cellStyle name="Normal 9 3 37" xfId="16030" xr:uid="{A53D50E6-5C53-404C-BE6E-9E6BFF8C9CB6}"/>
    <cellStyle name="Normal 9 3 38" xfId="16031" xr:uid="{7E1F640B-DC89-4E4D-B443-6002A3974CBB}"/>
    <cellStyle name="Normal 9 3 39" xfId="16032" xr:uid="{A1529E91-6B82-42BB-B7E2-D8AA794DCD53}"/>
    <cellStyle name="Normal 9 3 4" xfId="16033" xr:uid="{39888FDC-D7C7-48F9-ABF2-07C7E2034407}"/>
    <cellStyle name="Normal 9 3 40" xfId="16034" xr:uid="{884E50BE-8DA6-41B5-AFE4-3F9D21E8D83C}"/>
    <cellStyle name="Normal 9 3 41" xfId="16035" xr:uid="{78B47F37-7EC8-429F-816E-DEF3F38DD9DF}"/>
    <cellStyle name="Normal 9 3 42" xfId="16036" xr:uid="{FF388610-DD0D-4EF0-86B6-90C509D197D3}"/>
    <cellStyle name="Normal 9 3 43" xfId="16037" xr:uid="{AA96CF12-9C13-483B-98E1-8327352DA22B}"/>
    <cellStyle name="Normal 9 3 44" xfId="16038" xr:uid="{3ECC13A9-B731-4303-9F5F-CB9C38A758FC}"/>
    <cellStyle name="Normal 9 3 45" xfId="16039" xr:uid="{DD17CD63-1C50-4057-B847-FD17E8E6CEA8}"/>
    <cellStyle name="Normal 9 3 46" xfId="16040" xr:uid="{FEC2E291-8806-4753-B66D-A03C4A06B8BE}"/>
    <cellStyle name="Normal 9 3 47" xfId="16041" xr:uid="{F045AD1F-3DC3-4D97-A55B-15863C1B874A}"/>
    <cellStyle name="Normal 9 3 5" xfId="16042" xr:uid="{A5A4A205-1E15-4778-9645-0CFA2F52A224}"/>
    <cellStyle name="Normal 9 3 6" xfId="16043" xr:uid="{A9F9087C-A4DE-42DF-8B4D-34BC915C8089}"/>
    <cellStyle name="Normal 9 3 7" xfId="16044" xr:uid="{366B0160-8A30-41FE-84F3-B53AB31E03F5}"/>
    <cellStyle name="Normal 9 3 8" xfId="16045" xr:uid="{276E21F4-99EE-4C60-9589-8E7A50395A17}"/>
    <cellStyle name="Normal 9 3 9" xfId="16046" xr:uid="{BAA9F5A5-5F87-4F91-9DDD-8DD56E8A5841}"/>
    <cellStyle name="Normal 9 30" xfId="16047" xr:uid="{9176D2B5-6D02-4C1C-A61E-F8FFA2EC3B46}"/>
    <cellStyle name="Normal 9 31" xfId="16048" xr:uid="{5F353AE6-CD7B-4C9A-924D-E061FD52500E}"/>
    <cellStyle name="Normal 9 32" xfId="16049" xr:uid="{B4398B1D-798A-4A04-90E1-D21472AD13D6}"/>
    <cellStyle name="Normal 9 33" xfId="16050" xr:uid="{E8F84344-4A0F-4C27-85DC-9416B678E63F}"/>
    <cellStyle name="Normal 9 34" xfId="16051" xr:uid="{3AF9EF5D-8770-47D3-A4DD-9F6A3D4D2899}"/>
    <cellStyle name="Normal 9 35" xfId="16052" xr:uid="{CF03FE14-5D3D-4DCE-9F87-4624AC56BF18}"/>
    <cellStyle name="Normal 9 36" xfId="16053" xr:uid="{B7C0C125-FEE9-42EF-BAF0-83E44E0FBCC1}"/>
    <cellStyle name="Normal 9 37" xfId="16054" xr:uid="{3B3733F9-E222-45DF-B064-9750429066DD}"/>
    <cellStyle name="Normal 9 38" xfId="16055" xr:uid="{B96DB49B-0836-44BA-A782-277CEFE98871}"/>
    <cellStyle name="Normal 9 39" xfId="16056" xr:uid="{69356A33-E3E5-4127-A139-F41D5AEED574}"/>
    <cellStyle name="Normal 9 4" xfId="16057" xr:uid="{FF8A2579-34E7-4BB2-AFDF-8B42E5D2619B}"/>
    <cellStyle name="Normal 9 4 10" xfId="16058" xr:uid="{90D393E2-5612-4D3D-8801-B3FB2B17DCDE}"/>
    <cellStyle name="Normal 9 4 11" xfId="16059" xr:uid="{8AA3B182-8DA4-446E-A6F0-1105A3ED1C99}"/>
    <cellStyle name="Normal 9 4 12" xfId="16060" xr:uid="{FDB88D33-0A3D-4752-BC39-BA97E66D42D7}"/>
    <cellStyle name="Normal 9 4 13" xfId="16061" xr:uid="{D755DA84-8D3C-4EB0-9833-08B033F49250}"/>
    <cellStyle name="Normal 9 4 14" xfId="16062" xr:uid="{7FAA7EDE-0822-4AB1-A1BF-B5989366301B}"/>
    <cellStyle name="Normal 9 4 15" xfId="16063" xr:uid="{6EED9A38-8C3A-46C0-A44A-CE39A7217931}"/>
    <cellStyle name="Normal 9 4 16" xfId="16064" xr:uid="{EBE49527-BD2D-44D9-8519-6CFB7FFB2137}"/>
    <cellStyle name="Normal 9 4 17" xfId="16065" xr:uid="{2720ECCC-FE3D-487D-B654-1BABAF7CF7A1}"/>
    <cellStyle name="Normal 9 4 18" xfId="16066" xr:uid="{C5E97807-4705-44AB-81E7-53EB988CC661}"/>
    <cellStyle name="Normal 9 4 19" xfId="16067" xr:uid="{914DD87D-BC76-4A68-B748-4309068E4371}"/>
    <cellStyle name="Normal 9 4 2" xfId="16068" xr:uid="{A013AD4B-5471-4F46-9FF9-A716537418A1}"/>
    <cellStyle name="Normal 9 4 2 10" xfId="16069" xr:uid="{7417E748-DBAB-4C25-9154-9DF45FC31028}"/>
    <cellStyle name="Normal 9 4 2 11" xfId="16070" xr:uid="{7495A525-3934-4953-9B4A-05DDDB0E4775}"/>
    <cellStyle name="Normal 9 4 2 12" xfId="16071" xr:uid="{1935C41D-9960-48A4-AE80-C4C3E194F166}"/>
    <cellStyle name="Normal 9 4 2 13" xfId="16072" xr:uid="{8EA9CFA8-B4B0-4ABE-9501-DFD8EB95C26E}"/>
    <cellStyle name="Normal 9 4 2 14" xfId="16073" xr:uid="{508C2B3C-D6B5-4B07-94E7-DAC401CA2102}"/>
    <cellStyle name="Normal 9 4 2 15" xfId="16074" xr:uid="{1F854429-FE26-44C2-A6E4-238EE1B4C01A}"/>
    <cellStyle name="Normal 9 4 2 16" xfId="16075" xr:uid="{1435B41D-43CF-4B33-8133-8FEC0659D45D}"/>
    <cellStyle name="Normal 9 4 2 17" xfId="16076" xr:uid="{5CE95D8B-81D8-4373-B5E0-538BF64AF1E5}"/>
    <cellStyle name="Normal 9 4 2 18" xfId="16077" xr:uid="{DB217E16-8974-455C-98CA-9346EBCE0EB3}"/>
    <cellStyle name="Normal 9 4 2 19" xfId="16078" xr:uid="{AC65E25C-77F7-4306-9FEC-E9B0A2927BD7}"/>
    <cellStyle name="Normal 9 4 2 2" xfId="16079" xr:uid="{390DB0B8-FF17-4D63-A6B7-E538F13A9122}"/>
    <cellStyle name="Normal 9 4 2 2 10" xfId="16080" xr:uid="{8511CAAC-90D7-480E-862D-8F730A21FEA9}"/>
    <cellStyle name="Normal 9 4 2 2 11" xfId="16081" xr:uid="{73EE866F-C341-4A6A-87F8-D2134190A0E4}"/>
    <cellStyle name="Normal 9 4 2 2 12" xfId="16082" xr:uid="{A3F9FFB9-A090-4BC0-B98A-06199D763950}"/>
    <cellStyle name="Normal 9 4 2 2 13" xfId="16083" xr:uid="{17128886-10B5-4323-8AAF-493F09F90487}"/>
    <cellStyle name="Normal 9 4 2 2 14" xfId="16084" xr:uid="{483524F8-EDFD-4121-983B-0212A4CCCE4E}"/>
    <cellStyle name="Normal 9 4 2 2 15" xfId="16085" xr:uid="{6DB62608-1A40-4B9A-8E8F-ADF7FA20A0FF}"/>
    <cellStyle name="Normal 9 4 2 2 16" xfId="16086" xr:uid="{2AFDF2F4-E6C5-4C28-8F80-024418CFB797}"/>
    <cellStyle name="Normal 9 4 2 2 17" xfId="16087" xr:uid="{ABC17F0B-EB81-4676-B73B-C7B6E81D47E0}"/>
    <cellStyle name="Normal 9 4 2 2 18" xfId="16088" xr:uid="{78691249-335F-4691-BD16-4CD88210F5CA}"/>
    <cellStyle name="Normal 9 4 2 2 19" xfId="16089" xr:uid="{3D834924-CF88-4447-937C-6F6F682B85FA}"/>
    <cellStyle name="Normal 9 4 2 2 2" xfId="16090" xr:uid="{4B044ADE-68DF-40BA-821A-D8E1C59230DA}"/>
    <cellStyle name="Normal 9 4 2 2 2 10" xfId="16091" xr:uid="{41ADCEC7-BBE2-4A91-9DC9-FBF98F71E969}"/>
    <cellStyle name="Normal 9 4 2 2 2 11" xfId="16092" xr:uid="{D811BA60-AB3B-4229-8F7F-A8CA570269D1}"/>
    <cellStyle name="Normal 9 4 2 2 2 12" xfId="16093" xr:uid="{90F412A5-3AE5-421A-91C7-CEB31AF1392C}"/>
    <cellStyle name="Normal 9 4 2 2 2 13" xfId="16094" xr:uid="{96F76495-133C-4277-ABCC-4D6B5C59CC25}"/>
    <cellStyle name="Normal 9 4 2 2 2 14" xfId="16095" xr:uid="{D4E39D3B-2139-471F-902E-02578E5E2B85}"/>
    <cellStyle name="Normal 9 4 2 2 2 15" xfId="16096" xr:uid="{667AEE57-3C3D-44E5-8476-AF08A1BF7B5D}"/>
    <cellStyle name="Normal 9 4 2 2 2 16" xfId="16097" xr:uid="{98E468E6-9283-470F-BCA6-2EF4D2A3F05B}"/>
    <cellStyle name="Normal 9 4 2 2 2 17" xfId="16098" xr:uid="{CAC27609-7AF0-41D5-8AE4-D52037AD6EEB}"/>
    <cellStyle name="Normal 9 4 2 2 2 18" xfId="16099" xr:uid="{59C6F14F-F209-49C4-B84B-926E3DB6B7C3}"/>
    <cellStyle name="Normal 9 4 2 2 2 19" xfId="16100" xr:uid="{7685A36B-6EC5-46DD-8275-A97582D86432}"/>
    <cellStyle name="Normal 9 4 2 2 2 2" xfId="16101" xr:uid="{E29062D5-C59C-40E9-A40D-07E33B10EB00}"/>
    <cellStyle name="Normal 9 4 2 2 2 20" xfId="16102" xr:uid="{A351615D-A5C8-4524-B3EA-B939A70E7C64}"/>
    <cellStyle name="Normal 9 4 2 2 2 21" xfId="16103" xr:uid="{4D80DB69-7640-42B1-B189-DC7C3C84EC83}"/>
    <cellStyle name="Normal 9 4 2 2 2 22" xfId="16104" xr:uid="{9E1FB929-BC5E-4819-A2E4-C4F894C78A0D}"/>
    <cellStyle name="Normal 9 4 2 2 2 23" xfId="16105" xr:uid="{04F298C3-C1D0-43FD-9C44-CCBFBC15A8FC}"/>
    <cellStyle name="Normal 9 4 2 2 2 24" xfId="16106" xr:uid="{81A59A23-6AA8-47E0-899F-37834F04BD2C}"/>
    <cellStyle name="Normal 9 4 2 2 2 25" xfId="16107" xr:uid="{9F64D1E1-6E6A-4994-884A-3A365A19CA5E}"/>
    <cellStyle name="Normal 9 4 2 2 2 26" xfId="16108" xr:uid="{B6556D62-B03A-4E1D-B8A9-DA4C21C576AB}"/>
    <cellStyle name="Normal 9 4 2 2 2 27" xfId="16109" xr:uid="{FCE21B9F-D6C7-4589-A60C-10C793F2D6A6}"/>
    <cellStyle name="Normal 9 4 2 2 2 28" xfId="16110" xr:uid="{DCC020AC-421F-4591-870B-639F655CB61C}"/>
    <cellStyle name="Normal 9 4 2 2 2 29" xfId="16111" xr:uid="{73CB3AD3-0167-41D1-9710-793F057C0CAB}"/>
    <cellStyle name="Normal 9 4 2 2 2 3" xfId="16112" xr:uid="{FC954A7D-1A2D-457E-9825-10BEA4F99F03}"/>
    <cellStyle name="Normal 9 4 2 2 2 30" xfId="16113" xr:uid="{96443B78-18B9-4CA1-8B43-C75E5DF6C95D}"/>
    <cellStyle name="Normal 9 4 2 2 2 31" xfId="16114" xr:uid="{8812E654-BC63-44F7-AF17-17BBAEA044F0}"/>
    <cellStyle name="Normal 9 4 2 2 2 32" xfId="16115" xr:uid="{E39B1FA1-F04E-4A86-AAA7-1FA4A9603089}"/>
    <cellStyle name="Normal 9 4 2 2 2 33" xfId="16116" xr:uid="{87BFB708-0BC0-475C-B061-5B2583BF6926}"/>
    <cellStyle name="Normal 9 4 2 2 2 34" xfId="16117" xr:uid="{6EBBBC8C-8C02-4D16-B6C1-7FFC6DE981E2}"/>
    <cellStyle name="Normal 9 4 2 2 2 35" xfId="16118" xr:uid="{F7E992E5-C6AC-4AF7-8C3B-E9D9597A761A}"/>
    <cellStyle name="Normal 9 4 2 2 2 36" xfId="16119" xr:uid="{C0A599C6-2B21-44EB-A291-BF7D97ADE655}"/>
    <cellStyle name="Normal 9 4 2 2 2 37" xfId="16120" xr:uid="{A99D5B37-7498-4AA9-8B9A-35481AC8F98D}"/>
    <cellStyle name="Normal 9 4 2 2 2 38" xfId="16121" xr:uid="{B19F4624-D54A-4EFC-938A-88AE291F7166}"/>
    <cellStyle name="Normal 9 4 2 2 2 4" xfId="16122" xr:uid="{2D58AF87-2813-4B97-A1BD-113A7E3E2A19}"/>
    <cellStyle name="Normal 9 4 2 2 2 5" xfId="16123" xr:uid="{547E80ED-855D-4E29-B846-68D1F2EE09BD}"/>
    <cellStyle name="Normal 9 4 2 2 2 6" xfId="16124" xr:uid="{0E73D059-90E3-4D72-86FC-51718243E958}"/>
    <cellStyle name="Normal 9 4 2 2 2 7" xfId="16125" xr:uid="{4042C6B3-C2AA-4210-82AB-7FDDFE79E89E}"/>
    <cellStyle name="Normal 9 4 2 2 2 8" xfId="16126" xr:uid="{58BF9D38-F681-489A-92BC-06BBDBE64439}"/>
    <cellStyle name="Normal 9 4 2 2 2 9" xfId="16127" xr:uid="{529AEFD5-AA90-47F3-ABCF-B254CE6F74AB}"/>
    <cellStyle name="Normal 9 4 2 2 20" xfId="16128" xr:uid="{09CE1758-45B8-44C4-AD93-3C0CD530FD3B}"/>
    <cellStyle name="Normal 9 4 2 2 21" xfId="16129" xr:uid="{D24C7A81-C6DF-49DB-816C-886234FCE6B5}"/>
    <cellStyle name="Normal 9 4 2 2 22" xfId="16130" xr:uid="{8D3B9D8E-DFCC-4D0C-9BCD-26608B1FDBAB}"/>
    <cellStyle name="Normal 9 4 2 2 23" xfId="16131" xr:uid="{0BAEDF62-A932-40E7-8314-3503059EE352}"/>
    <cellStyle name="Normal 9 4 2 2 24" xfId="16132" xr:uid="{DFE57F26-1178-47B1-A295-B15C4272668F}"/>
    <cellStyle name="Normal 9 4 2 2 25" xfId="16133" xr:uid="{B020E907-980D-42CD-811B-67A80850EB3D}"/>
    <cellStyle name="Normal 9 4 2 2 26" xfId="16134" xr:uid="{10A08911-C8F7-4245-9F71-1B3D84C19E0B}"/>
    <cellStyle name="Normal 9 4 2 2 27" xfId="16135" xr:uid="{0DF3F234-D237-498C-92F3-4C098FA14F25}"/>
    <cellStyle name="Normal 9 4 2 2 28" xfId="16136" xr:uid="{C46AF8A1-4AAB-43D3-BD46-93042C876DD3}"/>
    <cellStyle name="Normal 9 4 2 2 29" xfId="16137" xr:uid="{008C0C30-5792-47B4-9C7D-A8ABF5C9EDA1}"/>
    <cellStyle name="Normal 9 4 2 2 3" xfId="16138" xr:uid="{06F7D23C-4B1F-4B89-B44C-383CC266D93F}"/>
    <cellStyle name="Normal 9 4 2 2 30" xfId="16139" xr:uid="{678128DF-9C2B-4CB6-BAAB-120116A53E8E}"/>
    <cellStyle name="Normal 9 4 2 2 31" xfId="16140" xr:uid="{210C4192-B743-43CB-8E46-5689085503AD}"/>
    <cellStyle name="Normal 9 4 2 2 32" xfId="16141" xr:uid="{B378E7E1-4F21-4BD3-9EEE-CB224991ADA2}"/>
    <cellStyle name="Normal 9 4 2 2 33" xfId="16142" xr:uid="{329EC3F9-0F33-407D-AAB4-2B818A53F360}"/>
    <cellStyle name="Normal 9 4 2 2 34" xfId="16143" xr:uid="{FC65D980-63F8-42C6-B245-A875991BAD94}"/>
    <cellStyle name="Normal 9 4 2 2 35" xfId="16144" xr:uid="{69555D53-B104-4321-A7DF-ADA7A5B3B360}"/>
    <cellStyle name="Normal 9 4 2 2 36" xfId="16145" xr:uid="{1AB0A3F3-8E3C-4C3F-BFD5-BD01F75D2CCE}"/>
    <cellStyle name="Normal 9 4 2 2 37" xfId="16146" xr:uid="{EB35BB8F-350B-488A-B07F-E727C5790D7F}"/>
    <cellStyle name="Normal 9 4 2 2 38" xfId="16147" xr:uid="{F0FFE3B8-5EC9-4F50-9BB9-C089E85D5BF8}"/>
    <cellStyle name="Normal 9 4 2 2 4" xfId="16148" xr:uid="{C41FB213-358A-4677-8087-7958843F71AE}"/>
    <cellStyle name="Normal 9 4 2 2 5" xfId="16149" xr:uid="{B55ECB91-844F-4ECC-B5FC-C6EEDA9694C8}"/>
    <cellStyle name="Normal 9 4 2 2 6" xfId="16150" xr:uid="{B4B43345-2CF2-4A81-BB32-EC7C3C4CB907}"/>
    <cellStyle name="Normal 9 4 2 2 7" xfId="16151" xr:uid="{ECB28536-4633-48ED-984C-6280A2B3D69A}"/>
    <cellStyle name="Normal 9 4 2 2 8" xfId="16152" xr:uid="{84B7D58B-3A24-4ADD-B83A-70EB251E1A3A}"/>
    <cellStyle name="Normal 9 4 2 2 9" xfId="16153" xr:uid="{3BDA7C28-7E7E-4E87-8DCA-7F95521FF9EC}"/>
    <cellStyle name="Normal 9 4 2 20" xfId="16154" xr:uid="{2487874E-4983-4ED5-935A-2B3D368A0E9F}"/>
    <cellStyle name="Normal 9 4 2 21" xfId="16155" xr:uid="{4C808371-50B5-4635-B20F-FBCCD26168FD}"/>
    <cellStyle name="Normal 9 4 2 22" xfId="16156" xr:uid="{02210382-9094-43C2-90A5-E95E913B7846}"/>
    <cellStyle name="Normal 9 4 2 23" xfId="16157" xr:uid="{147E130D-BCC8-4DAD-A93B-E9BB84B7AED5}"/>
    <cellStyle name="Normal 9 4 2 24" xfId="16158" xr:uid="{9BD22471-2A6D-4C7F-A32D-B696384B73ED}"/>
    <cellStyle name="Normal 9 4 2 25" xfId="16159" xr:uid="{593E9D93-D636-4CDA-B4CB-F1BA8527CD03}"/>
    <cellStyle name="Normal 9 4 2 26" xfId="16160" xr:uid="{7F7122E9-F794-41B0-99A4-DF413BB27C2B}"/>
    <cellStyle name="Normal 9 4 2 27" xfId="16161" xr:uid="{3AA15190-4E79-4658-B4DC-C93118BC18E6}"/>
    <cellStyle name="Normal 9 4 2 28" xfId="16162" xr:uid="{1DCFF1DD-37DE-4C59-B92D-97C967A654E2}"/>
    <cellStyle name="Normal 9 4 2 29" xfId="16163" xr:uid="{1019EE62-B3E2-46E4-A22E-8367943A27A8}"/>
    <cellStyle name="Normal 9 4 2 3" xfId="16164" xr:uid="{AB187BEF-927D-4D3B-9309-13C382DB5D4D}"/>
    <cellStyle name="Normal 9 4 2 30" xfId="16165" xr:uid="{56DC3B02-ECFA-4817-A2D2-BC5466384B3F}"/>
    <cellStyle name="Normal 9 4 2 31" xfId="16166" xr:uid="{E9C73348-2863-4162-B928-0E83D5796FE3}"/>
    <cellStyle name="Normal 9 4 2 32" xfId="16167" xr:uid="{39C0FA4B-2D81-4D62-B446-348159FD70E4}"/>
    <cellStyle name="Normal 9 4 2 33" xfId="16168" xr:uid="{7BFEEACC-9ABD-45B7-8F76-0A11B078E64A}"/>
    <cellStyle name="Normal 9 4 2 34" xfId="16169" xr:uid="{2E81C689-761D-4E6D-933E-F50F6A1E942E}"/>
    <cellStyle name="Normal 9 4 2 35" xfId="16170" xr:uid="{2D34CF2A-80B1-4F40-AB36-9F85AB7341EC}"/>
    <cellStyle name="Normal 9 4 2 36" xfId="16171" xr:uid="{B7AF7427-6B7A-4BC0-A499-80754C6E2BF9}"/>
    <cellStyle name="Normal 9 4 2 37" xfId="16172" xr:uid="{F1F33116-627F-417F-8EF9-CF5BF618B609}"/>
    <cellStyle name="Normal 9 4 2 38" xfId="16173" xr:uid="{21071855-45FA-4090-B2B2-1573A384E1C1}"/>
    <cellStyle name="Normal 9 4 2 39" xfId="16174" xr:uid="{8DE70870-7A25-4C9D-B62C-E818F32341A2}"/>
    <cellStyle name="Normal 9 4 2 4" xfId="16175" xr:uid="{19278E1C-290D-4547-A95C-6E2ACCC00406}"/>
    <cellStyle name="Normal 9 4 2 40" xfId="16176" xr:uid="{28A8BC5D-3F50-4D72-BD0C-FC8F1787BA63}"/>
    <cellStyle name="Normal 9 4 2 5" xfId="16177" xr:uid="{75FFEB51-E6CA-415E-99C6-1E41CE371DE8}"/>
    <cellStyle name="Normal 9 4 2 6" xfId="16178" xr:uid="{FFF57C95-E70E-4FB6-9675-8F039F1E34A5}"/>
    <cellStyle name="Normal 9 4 2 7" xfId="16179" xr:uid="{6FC63C0F-51B0-4A5F-89A8-7D0BB3105EAF}"/>
    <cellStyle name="Normal 9 4 2 8" xfId="16180" xr:uid="{C162B536-C115-4662-897B-10A31F031DC2}"/>
    <cellStyle name="Normal 9 4 2 9" xfId="16181" xr:uid="{36577574-4DD9-40CD-A0C1-A162B20CCF7B}"/>
    <cellStyle name="Normal 9 4 20" xfId="16182" xr:uid="{7340D3BC-7120-45D2-9A6D-EBA1D3AF4EA6}"/>
    <cellStyle name="Normal 9 4 21" xfId="16183" xr:uid="{CB999930-A3E0-439B-8A9F-73A5FDDDE065}"/>
    <cellStyle name="Normal 9 4 22" xfId="16184" xr:uid="{F9DF6594-E86F-4BC3-8A04-B1141EC21C6F}"/>
    <cellStyle name="Normal 9 4 23" xfId="16185" xr:uid="{5E996819-A04E-4CCC-8B13-0E8D63EF6A66}"/>
    <cellStyle name="Normal 9 4 24" xfId="16186" xr:uid="{1D54A8AA-8DC1-43DC-B003-C81546AB84B2}"/>
    <cellStyle name="Normal 9 4 25" xfId="16187" xr:uid="{3C7D5CC2-9745-4160-AB0E-EFBEE314BA09}"/>
    <cellStyle name="Normal 9 4 26" xfId="16188" xr:uid="{4DABD886-11A5-412D-A36F-C584DCEF0745}"/>
    <cellStyle name="Normal 9 4 27" xfId="16189" xr:uid="{C5823D20-F65B-4574-A163-EA8EA8D4B003}"/>
    <cellStyle name="Normal 9 4 28" xfId="16190" xr:uid="{533DD60B-32DC-4D95-9858-F9C851EB6644}"/>
    <cellStyle name="Normal 9 4 29" xfId="16191" xr:uid="{209060EA-CBF0-48E5-93E2-0F1C73785226}"/>
    <cellStyle name="Normal 9 4 3" xfId="16192" xr:uid="{72F50D03-89C0-42BF-BA32-85800FF343E5}"/>
    <cellStyle name="Normal 9 4 3 10" xfId="16193" xr:uid="{C0D81CDE-67D4-4F94-BFF4-B7CDAE6632E9}"/>
    <cellStyle name="Normal 9 4 3 11" xfId="16194" xr:uid="{DF424F7F-E184-4D30-936C-6AD829A453F5}"/>
    <cellStyle name="Normal 9 4 3 12" xfId="16195" xr:uid="{CEC10B60-87A4-4779-8CB7-6FF521441C59}"/>
    <cellStyle name="Normal 9 4 3 13" xfId="16196" xr:uid="{B67750CF-BC79-4F9D-8C57-DEC8B7BB9AD9}"/>
    <cellStyle name="Normal 9 4 3 14" xfId="16197" xr:uid="{A30CCB17-37EB-4B01-8637-C1EFADF46654}"/>
    <cellStyle name="Normal 9 4 3 15" xfId="16198" xr:uid="{979FAE4D-920D-425B-ADAD-188B6D34F6FB}"/>
    <cellStyle name="Normal 9 4 3 16" xfId="16199" xr:uid="{9921242B-CB0A-4EC9-9519-2C10E43924D5}"/>
    <cellStyle name="Normal 9 4 3 17" xfId="16200" xr:uid="{21C742E8-1B97-4C85-9307-FC5A5B9FB56C}"/>
    <cellStyle name="Normal 9 4 3 18" xfId="16201" xr:uid="{28C3220C-2CD7-48D6-93F0-B8BF4FF92C54}"/>
    <cellStyle name="Normal 9 4 3 19" xfId="16202" xr:uid="{C048F56B-7997-433F-A1E3-B2D14ABF583C}"/>
    <cellStyle name="Normal 9 4 3 2" xfId="16203" xr:uid="{AD0FD275-1DA8-49CA-B397-55A9F5A40457}"/>
    <cellStyle name="Normal 9 4 3 2 10" xfId="16204" xr:uid="{F25E7E52-B90F-4E64-88D6-D23B89583F97}"/>
    <cellStyle name="Normal 9 4 3 2 11" xfId="16205" xr:uid="{53044FE2-09A7-47A5-A547-3AEA00348B5B}"/>
    <cellStyle name="Normal 9 4 3 2 12" xfId="16206" xr:uid="{230AF0D2-B701-4C76-91F6-284F52683F7F}"/>
    <cellStyle name="Normal 9 4 3 2 13" xfId="16207" xr:uid="{D4B313F8-1C95-4898-89AA-748F9A87DDAB}"/>
    <cellStyle name="Normal 9 4 3 2 14" xfId="16208" xr:uid="{5AABFD52-59A9-4D69-82CA-9AC552763971}"/>
    <cellStyle name="Normal 9 4 3 2 15" xfId="16209" xr:uid="{FCB55518-6D8C-4BF7-93A5-DD1CD988913A}"/>
    <cellStyle name="Normal 9 4 3 2 16" xfId="16210" xr:uid="{8A39438E-E58C-4CA5-8966-C1778CB6EC7D}"/>
    <cellStyle name="Normal 9 4 3 2 17" xfId="16211" xr:uid="{6B014697-A835-4DAD-81DC-3FF1243FB21F}"/>
    <cellStyle name="Normal 9 4 3 2 18" xfId="16212" xr:uid="{F6EA7DB2-C62D-496C-9666-3249F98C995D}"/>
    <cellStyle name="Normal 9 4 3 2 19" xfId="16213" xr:uid="{1D942C24-6FE0-44AD-ABF0-39061A69F9D8}"/>
    <cellStyle name="Normal 9 4 3 2 2" xfId="16214" xr:uid="{21250164-82CB-4925-8702-A443D50A3714}"/>
    <cellStyle name="Normal 9 4 3 2 20" xfId="16215" xr:uid="{7E1CD028-D2DA-4C52-826E-7783DC7B703E}"/>
    <cellStyle name="Normal 9 4 3 2 21" xfId="16216" xr:uid="{BE82F7A3-504F-48F7-A29A-F3682FBBA3F4}"/>
    <cellStyle name="Normal 9 4 3 2 22" xfId="16217" xr:uid="{EBF52C34-9C02-47F1-B564-E5A80FE06BB2}"/>
    <cellStyle name="Normal 9 4 3 2 23" xfId="16218" xr:uid="{CB5B7D78-1BF7-4770-A98A-EF0652BA78DF}"/>
    <cellStyle name="Normal 9 4 3 2 24" xfId="16219" xr:uid="{4AB4D066-9416-4CA4-B8AB-1746D271E2C4}"/>
    <cellStyle name="Normal 9 4 3 2 25" xfId="16220" xr:uid="{1532A6A6-48CF-4254-9FA1-F2D06BA170C2}"/>
    <cellStyle name="Normal 9 4 3 2 26" xfId="16221" xr:uid="{0EA28AD7-E684-4E6C-8E0D-936E9E16881D}"/>
    <cellStyle name="Normal 9 4 3 2 27" xfId="16222" xr:uid="{39DDE096-EA88-4721-A56A-05D633ACD1A1}"/>
    <cellStyle name="Normal 9 4 3 2 28" xfId="16223" xr:uid="{704B4621-694D-4E26-90BC-09BEAB028B82}"/>
    <cellStyle name="Normal 9 4 3 2 29" xfId="16224" xr:uid="{AB2BAFB3-CC51-436C-B1F5-9E3CE6F2170A}"/>
    <cellStyle name="Normal 9 4 3 2 3" xfId="16225" xr:uid="{377779AF-12F6-4DAB-BCE8-B78394592EEC}"/>
    <cellStyle name="Normal 9 4 3 2 30" xfId="16226" xr:uid="{74BCE784-F364-4231-BC32-42B7B2AA2D35}"/>
    <cellStyle name="Normal 9 4 3 2 31" xfId="16227" xr:uid="{EB3DB018-C51E-4909-8D8C-3439C09346B6}"/>
    <cellStyle name="Normal 9 4 3 2 32" xfId="16228" xr:uid="{F38942BE-1214-47A4-BEC4-1FD4A19344D8}"/>
    <cellStyle name="Normal 9 4 3 2 33" xfId="16229" xr:uid="{0AD883D5-FA5C-4815-8324-EE69E8592D88}"/>
    <cellStyle name="Normal 9 4 3 2 34" xfId="16230" xr:uid="{D5A39066-A368-484F-84C3-F7746C996925}"/>
    <cellStyle name="Normal 9 4 3 2 35" xfId="16231" xr:uid="{D07CDA91-FE24-49C1-A082-CB0C6D6D5C57}"/>
    <cellStyle name="Normal 9 4 3 2 36" xfId="16232" xr:uid="{F0D9B38E-96C3-4838-88CD-5F4B768FE2A2}"/>
    <cellStyle name="Normal 9 4 3 2 37" xfId="16233" xr:uid="{16C7F87E-F259-445C-A4E5-1103406C0386}"/>
    <cellStyle name="Normal 9 4 3 2 38" xfId="16234" xr:uid="{F6BC4E56-AF01-4CAC-B198-087A813C7EB5}"/>
    <cellStyle name="Normal 9 4 3 2 4" xfId="16235" xr:uid="{69E51F15-71BD-4493-B06A-CE03C81DF8E9}"/>
    <cellStyle name="Normal 9 4 3 2 5" xfId="16236" xr:uid="{26EB6392-76DA-4225-A06E-C006DB425037}"/>
    <cellStyle name="Normal 9 4 3 2 6" xfId="16237" xr:uid="{22E00033-D783-4AAE-8887-3EB2AF94EE34}"/>
    <cellStyle name="Normal 9 4 3 2 7" xfId="16238" xr:uid="{C57846C6-F187-4687-A879-F1590ADC1FC5}"/>
    <cellStyle name="Normal 9 4 3 2 8" xfId="16239" xr:uid="{6CC1742B-6B3C-4FB1-A56E-8911F522C9BA}"/>
    <cellStyle name="Normal 9 4 3 2 9" xfId="16240" xr:uid="{1DDB2282-F914-4D88-81FB-BA304E9FEDD3}"/>
    <cellStyle name="Normal 9 4 3 20" xfId="16241" xr:uid="{9E909D44-97B1-4EC9-92DD-DD2B55713188}"/>
    <cellStyle name="Normal 9 4 3 21" xfId="16242" xr:uid="{5EE2305A-CB83-4B37-97F6-14FDBDCE5C43}"/>
    <cellStyle name="Normal 9 4 3 22" xfId="16243" xr:uid="{2BA7F357-F674-47DD-B28A-25A33AC6F779}"/>
    <cellStyle name="Normal 9 4 3 23" xfId="16244" xr:uid="{D70B4F21-A2D4-4C9C-BEE5-A9188370ABC1}"/>
    <cellStyle name="Normal 9 4 3 24" xfId="16245" xr:uid="{9C4DC193-47A7-4FD1-8A7D-6AA71215FCD5}"/>
    <cellStyle name="Normal 9 4 3 25" xfId="16246" xr:uid="{D822B67E-CEAD-4907-82D5-3E60BD774B03}"/>
    <cellStyle name="Normal 9 4 3 26" xfId="16247" xr:uid="{7CFE2EAD-9B2D-4E0E-9048-C1835DE93F39}"/>
    <cellStyle name="Normal 9 4 3 27" xfId="16248" xr:uid="{8E92EC1B-18A4-46E2-96F6-1162E853E9BB}"/>
    <cellStyle name="Normal 9 4 3 28" xfId="16249" xr:uid="{312422BA-E37A-4AF4-B5CB-8F36075C7A8B}"/>
    <cellStyle name="Normal 9 4 3 29" xfId="16250" xr:uid="{5FA7FF34-929A-4F87-B8BC-E1BFBE87BDAC}"/>
    <cellStyle name="Normal 9 4 3 3" xfId="16251" xr:uid="{44F5A6C4-8CF6-4201-A4B4-A965533F8284}"/>
    <cellStyle name="Normal 9 4 3 30" xfId="16252" xr:uid="{8C5B9EF3-20EC-48F8-9922-1C6767BC715D}"/>
    <cellStyle name="Normal 9 4 3 31" xfId="16253" xr:uid="{24F55EC5-2BC0-445B-89FF-9C932B41A77F}"/>
    <cellStyle name="Normal 9 4 3 32" xfId="16254" xr:uid="{F4ABA98B-0D18-4EB9-A3AD-1B0B4FBE4F95}"/>
    <cellStyle name="Normal 9 4 3 33" xfId="16255" xr:uid="{1EB179B8-6A8E-4C9B-BF71-FC854E36A377}"/>
    <cellStyle name="Normal 9 4 3 34" xfId="16256" xr:uid="{1ADFB95D-E58A-4562-9CE7-78EF0DB54974}"/>
    <cellStyle name="Normal 9 4 3 35" xfId="16257" xr:uid="{35359DCC-C8AB-461A-AF83-191140F98B97}"/>
    <cellStyle name="Normal 9 4 3 36" xfId="16258" xr:uid="{67E4C0AB-5538-420B-AE62-CBDBE6916E39}"/>
    <cellStyle name="Normal 9 4 3 37" xfId="16259" xr:uid="{057AECFE-3CEB-44F9-B08B-251A3E274F15}"/>
    <cellStyle name="Normal 9 4 3 38" xfId="16260" xr:uid="{2F8AC31C-CDA6-4F3D-BA31-C65CABD7548E}"/>
    <cellStyle name="Normal 9 4 3 4" xfId="16261" xr:uid="{CFDCCCF8-5890-43ED-A01B-7AE848381C2A}"/>
    <cellStyle name="Normal 9 4 3 5" xfId="16262" xr:uid="{F47DE030-09A3-49D0-83D7-797959C91587}"/>
    <cellStyle name="Normal 9 4 3 6" xfId="16263" xr:uid="{7010FAB6-7ACB-44A7-88F7-300596B3B125}"/>
    <cellStyle name="Normal 9 4 3 7" xfId="16264" xr:uid="{8CB6F7A1-F810-412D-BE69-9C402DA6C72E}"/>
    <cellStyle name="Normal 9 4 3 8" xfId="16265" xr:uid="{B64416E1-30FF-4115-B493-1DF6D5271E15}"/>
    <cellStyle name="Normal 9 4 3 9" xfId="16266" xr:uid="{8B10DAE4-122F-4982-AF61-23AE290F194C}"/>
    <cellStyle name="Normal 9 4 30" xfId="16267" xr:uid="{05EDFC0C-6318-4947-86CA-5D21F4C71691}"/>
    <cellStyle name="Normal 9 4 31" xfId="16268" xr:uid="{6026B43C-5BE7-44F2-845B-685E7BC2131F}"/>
    <cellStyle name="Normal 9 4 32" xfId="16269" xr:uid="{2113C97F-0A15-4679-BC8C-696133653F36}"/>
    <cellStyle name="Normal 9 4 33" xfId="16270" xr:uid="{FB67C10C-4D5F-4D2B-A983-0B46E9E216F8}"/>
    <cellStyle name="Normal 9 4 34" xfId="16271" xr:uid="{DFDD0EBD-29E4-4564-A1CE-70380365EF89}"/>
    <cellStyle name="Normal 9 4 35" xfId="16272" xr:uid="{F95AE94A-BE61-455E-8B06-79C089E79DF8}"/>
    <cellStyle name="Normal 9 4 36" xfId="16273" xr:uid="{442E2BE8-268C-4CD1-BE24-E740E466BEEB}"/>
    <cellStyle name="Normal 9 4 37" xfId="16274" xr:uid="{6FCA122C-5FAC-4BA4-BE55-F20E5B6EA4E5}"/>
    <cellStyle name="Normal 9 4 38" xfId="16275" xr:uid="{D64735A7-2C76-4CF1-B5AF-956ED25B4A3C}"/>
    <cellStyle name="Normal 9 4 39" xfId="16276" xr:uid="{87D4FB63-AB20-4B1F-B059-D1080FE988ED}"/>
    <cellStyle name="Normal 9 4 4" xfId="16277" xr:uid="{6CBBD0C7-453D-49D0-AE13-F332DD846B21}"/>
    <cellStyle name="Normal 9 4 40" xfId="16278" xr:uid="{B50AA904-600A-451E-9831-25C17B03E462}"/>
    <cellStyle name="Normal 9 4 41" xfId="16279" xr:uid="{51F32437-1EA2-45D3-8A0E-B9B044CBD0BD}"/>
    <cellStyle name="Normal 9 4 42" xfId="16280" xr:uid="{FE24AFCB-5A25-4C64-964A-523D616A344B}"/>
    <cellStyle name="Normal 9 4 43" xfId="16281" xr:uid="{BB308B96-544E-4F61-89CC-BBA8AF364BAB}"/>
    <cellStyle name="Normal 9 4 44" xfId="16282" xr:uid="{F6582210-C6B2-4335-99AA-AAE6ACF4F08F}"/>
    <cellStyle name="Normal 9 4 45" xfId="16283" xr:uid="{90C10675-956C-4687-853F-2CB9335524A7}"/>
    <cellStyle name="Normal 9 4 46" xfId="16284" xr:uid="{FCC48EEF-41CD-4DB4-8A60-638151DF1DBD}"/>
    <cellStyle name="Normal 9 4 47" xfId="16285" xr:uid="{4582307C-3765-45F3-A62A-2159D727E2B0}"/>
    <cellStyle name="Normal 9 4 5" xfId="16286" xr:uid="{9D54A7FB-2835-4938-9671-6DEB4727E30A}"/>
    <cellStyle name="Normal 9 4 6" xfId="16287" xr:uid="{090645DF-D907-44D1-9646-D817DD70C948}"/>
    <cellStyle name="Normal 9 4 7" xfId="16288" xr:uid="{B8B57D3C-DD58-43A5-97D4-F519CC1275FE}"/>
    <cellStyle name="Normal 9 4 8" xfId="16289" xr:uid="{F40E40B8-DC75-4393-A285-90EF7C6C6C87}"/>
    <cellStyle name="Normal 9 4 9" xfId="16290" xr:uid="{E5A31B12-DC10-47ED-BBBA-90526164FFFD}"/>
    <cellStyle name="Normal 9 40" xfId="16291" xr:uid="{685308B4-8165-4C3D-87F8-16DA76DE6292}"/>
    <cellStyle name="Normal 9 41" xfId="16292" xr:uid="{FACA8303-B8DC-4879-975E-4AC14F5146C5}"/>
    <cellStyle name="Normal 9 42" xfId="16293" xr:uid="{FF8AC668-5FBA-4051-9CDC-5B754B9D5387}"/>
    <cellStyle name="Normal 9 43" xfId="16294" xr:uid="{663B741E-D8AD-41E0-AB2D-A05098A706AC}"/>
    <cellStyle name="Normal 9 44" xfId="16295" xr:uid="{56A7A2F9-18B8-44ED-90A9-1068820B1ECE}"/>
    <cellStyle name="Normal 9 45" xfId="16296" xr:uid="{89C6A2B9-9F77-4D81-955D-967251B18B9E}"/>
    <cellStyle name="Normal 9 46" xfId="16297" xr:uid="{298B1F96-B303-4E48-9A92-7895C572B0EE}"/>
    <cellStyle name="Normal 9 47" xfId="16298" xr:uid="{C28CCFBF-CEDD-4EAE-B793-1A90D4E64590}"/>
    <cellStyle name="Normal 9 48" xfId="16299" xr:uid="{4CCBBBB2-4EFA-412B-8931-0C5711E76989}"/>
    <cellStyle name="Normal 9 49" xfId="16300" xr:uid="{068479B7-FE5D-48AE-98B3-B7B672C9C67F}"/>
    <cellStyle name="Normal 9 5" xfId="16301" xr:uid="{7D2D0DEE-2F63-4911-9A07-C26C301A69FE}"/>
    <cellStyle name="Normal 9 50" xfId="16302" xr:uid="{36B48646-5A9B-467F-9B6C-F9422B97E4CF}"/>
    <cellStyle name="Normal 9 51" xfId="16303" xr:uid="{05AEC7EA-FD39-443D-BE5D-5E21CDD640C6}"/>
    <cellStyle name="Normal 9 52" xfId="16304" xr:uid="{B4B35210-9702-4308-8414-DA2C9E90656F}"/>
    <cellStyle name="Normal 9 53" xfId="16305" xr:uid="{DEB08195-CB6E-4491-B70F-8CB678B5B54C}"/>
    <cellStyle name="Normal 9 6" xfId="16306" xr:uid="{ADA82D44-0485-4F2B-940A-6FFE25D55D7E}"/>
    <cellStyle name="Normal 9 7" xfId="16307" xr:uid="{A546D250-92D1-4A64-9763-1DA34288CA94}"/>
    <cellStyle name="Normal 9 8" xfId="16308" xr:uid="{B8C39ACF-FCFF-4B93-91EF-2910E416B7F9}"/>
    <cellStyle name="Normal 9 9" xfId="16309" xr:uid="{8383AEAC-2C9D-43B8-93F5-43722A3ED787}"/>
    <cellStyle name="Note 10" xfId="16310" xr:uid="{137C87E8-EB96-4554-9068-FC9E6090F62A}"/>
    <cellStyle name="Note 11" xfId="16311" xr:uid="{E8E75FE6-560F-457B-96CE-07F0442E2C12}"/>
    <cellStyle name="Note 12" xfId="16312" xr:uid="{A1442126-A8AB-43E4-BB95-711D7DB5AAFC}"/>
    <cellStyle name="Note 13" xfId="16313" xr:uid="{D5A14438-E2F2-4664-9A93-0194239D31B9}"/>
    <cellStyle name="Note 14" xfId="16314" xr:uid="{90D20B1B-78AD-42DF-AD8B-82EF650C1C44}"/>
    <cellStyle name="Note 15" xfId="16315" xr:uid="{D3A67AE3-2212-4FDC-924D-C87619CAF8E5}"/>
    <cellStyle name="Note 16" xfId="16316" xr:uid="{0FC798E4-5C70-4073-B7CF-63516E2ABC7F}"/>
    <cellStyle name="Note 17" xfId="16773" xr:uid="{7C0A444F-5645-408C-A154-5693E2B9798A}"/>
    <cellStyle name="Note 18" xfId="16782" xr:uid="{70E04F0E-409A-48A1-84E6-4427A91C4C60}"/>
    <cellStyle name="Note 19" xfId="54" xr:uid="{E50D2900-85BB-443A-B187-89C8AA3D69A1}"/>
    <cellStyle name="Note 2" xfId="16317" xr:uid="{D5000749-E7B1-4776-B1C8-41DA689B64C7}"/>
    <cellStyle name="Note 2 10" xfId="16318" xr:uid="{1784743C-A0CF-482A-9AD1-A318738B402E}"/>
    <cellStyle name="Note 2 11" xfId="16319" xr:uid="{7821DB40-9EE8-4CE7-AE18-1F2B9DB618F6}"/>
    <cellStyle name="Note 2 12" xfId="16320" xr:uid="{F836A55D-E1DD-4338-BC53-538748F3505F}"/>
    <cellStyle name="Note 2 13" xfId="16321" xr:uid="{35ACFAEE-7489-4E48-903E-C15195319B7C}"/>
    <cellStyle name="Note 2 14" xfId="16322" xr:uid="{030CD730-4BD2-40AA-9C07-34F20659E27C}"/>
    <cellStyle name="Note 2 15" xfId="16323" xr:uid="{04F67025-549F-435B-869B-0C4B859E75B8}"/>
    <cellStyle name="Note 2 16" xfId="16324" xr:uid="{95428B71-2730-4239-BF1D-F5443C5BA7E8}"/>
    <cellStyle name="Note 2 16 10" xfId="16325" xr:uid="{2A44F3E0-100A-415A-BFEB-9243D55554A5}"/>
    <cellStyle name="Note 2 16 11" xfId="16326" xr:uid="{D0E51A83-D372-46A8-9BE2-D49A31A5D4A0}"/>
    <cellStyle name="Note 2 16 12" xfId="16327" xr:uid="{DA7150E7-1CDE-49BC-9D93-2A9EAFBD2EA8}"/>
    <cellStyle name="Note 2 16 13" xfId="16328" xr:uid="{3A6EA27C-2A96-407E-80C4-98014EE26FB9}"/>
    <cellStyle name="Note 2 16 14" xfId="16329" xr:uid="{F90A0885-53B6-419E-862B-E1C2C3A60A91}"/>
    <cellStyle name="Note 2 16 15" xfId="16330" xr:uid="{B7CE35DD-C3CB-426F-8EE3-8F459839EC68}"/>
    <cellStyle name="Note 2 16 16" xfId="16331" xr:uid="{4EFD9FE5-F6CF-4B4D-A466-9B1858352F58}"/>
    <cellStyle name="Note 2 16 17" xfId="16332" xr:uid="{AFFCFFC9-288C-4D10-9A87-D625088BEBBA}"/>
    <cellStyle name="Note 2 16 18" xfId="16333" xr:uid="{BCC8A6E7-26A2-45E4-B4D8-01BB3823E974}"/>
    <cellStyle name="Note 2 16 19" xfId="16334" xr:uid="{AA72BDF4-43F2-4625-919A-6F428EEA2E30}"/>
    <cellStyle name="Note 2 16 2" xfId="16335" xr:uid="{47A36A2B-98C4-48B6-957B-C49EBBCFD4AB}"/>
    <cellStyle name="Note 2 16 20" xfId="16336" xr:uid="{234DD05E-12E3-4209-B70C-4801A9411D13}"/>
    <cellStyle name="Note 2 16 21" xfId="16337" xr:uid="{B67DB3B6-8688-440C-8C58-B5001D3D6D60}"/>
    <cellStyle name="Note 2 16 22" xfId="16338" xr:uid="{1E5A08B0-AE34-4AD7-8499-A62857F17081}"/>
    <cellStyle name="Note 2 16 23" xfId="16339" xr:uid="{0A011AFA-EC6F-4F93-8610-7943AAC8A188}"/>
    <cellStyle name="Note 2 16 24" xfId="16340" xr:uid="{E1E016E6-CBA9-4470-9EEA-4D041C0FB23C}"/>
    <cellStyle name="Note 2 16 25" xfId="16341" xr:uid="{72D4B243-0BA0-4F91-8D98-A8170F09B75E}"/>
    <cellStyle name="Note 2 16 26" xfId="16342" xr:uid="{70D827C1-3D1F-4302-9972-5F8E0127D1DB}"/>
    <cellStyle name="Note 2 16 27" xfId="16343" xr:uid="{F4C7A80A-58BF-4D1D-A07F-1F93C78C189C}"/>
    <cellStyle name="Note 2 16 28" xfId="16344" xr:uid="{9FB800DA-DCD3-403D-903A-D629C0B322DF}"/>
    <cellStyle name="Note 2 16 29" xfId="16345" xr:uid="{CC530050-AE0B-4337-9339-5C4F2C5BA964}"/>
    <cellStyle name="Note 2 16 3" xfId="16346" xr:uid="{7E1DE1FC-B727-4831-8EBD-9A1774CFCEF3}"/>
    <cellStyle name="Note 2 16 30" xfId="16347" xr:uid="{EB0D2E30-7D26-477B-A652-DF8C45BEC92E}"/>
    <cellStyle name="Note 2 16 31" xfId="16348" xr:uid="{2290BA33-D4B7-4D20-BDBB-21E2F9C3D810}"/>
    <cellStyle name="Note 2 16 32" xfId="16349" xr:uid="{9A1CA147-E4A2-46DC-8D75-7B44D6D8BCAB}"/>
    <cellStyle name="Note 2 16 33" xfId="16350" xr:uid="{273D9E8A-A04B-47B8-80AE-A1DFB5E12018}"/>
    <cellStyle name="Note 2 16 34" xfId="16351" xr:uid="{642D399B-ECD8-436D-A5CF-A828A16EC4C1}"/>
    <cellStyle name="Note 2 16 35" xfId="16352" xr:uid="{6B86AFFE-E6C6-43DA-823B-3A5B19DBB39C}"/>
    <cellStyle name="Note 2 16 36" xfId="16353" xr:uid="{7F8FD2BE-988C-42D5-AA06-D14D4A1E3659}"/>
    <cellStyle name="Note 2 16 37" xfId="16354" xr:uid="{69C986FE-2E36-4EB4-8683-64D37EE71842}"/>
    <cellStyle name="Note 2 16 38" xfId="16355" xr:uid="{FC346544-7C4B-4229-8888-F437977AB60B}"/>
    <cellStyle name="Note 2 16 39" xfId="16356" xr:uid="{108E7AFF-67D4-4DD8-BBD6-F373E0BD0E31}"/>
    <cellStyle name="Note 2 16 4" xfId="16357" xr:uid="{D49765EC-D4EC-4842-A10C-1C5E7F070FEC}"/>
    <cellStyle name="Note 2 16 40" xfId="16358" xr:uid="{20F3D889-640B-4E0D-9F5A-DECC459C8113}"/>
    <cellStyle name="Note 2 16 41" xfId="16359" xr:uid="{66A1189F-BF68-4B05-B430-7426F5557F12}"/>
    <cellStyle name="Note 2 16 42" xfId="16360" xr:uid="{0E263B65-84FF-465F-BB6A-7B9927D97BFA}"/>
    <cellStyle name="Note 2 16 43" xfId="16361" xr:uid="{386867BF-FC1F-4755-8B84-A80E26EA6AD4}"/>
    <cellStyle name="Note 2 16 44" xfId="16362" xr:uid="{92FE7458-9734-4838-8F2F-59379F6B0F55}"/>
    <cellStyle name="Note 2 16 45" xfId="16363" xr:uid="{574D2236-E86B-4212-9113-DB0655C95BB6}"/>
    <cellStyle name="Note 2 16 46" xfId="16364" xr:uid="{BCC9DA10-C535-4855-8456-5F444E83859F}"/>
    <cellStyle name="Note 2 16 47" xfId="16365" xr:uid="{2C7E5869-21A0-49C4-817E-801ABCAF3F52}"/>
    <cellStyle name="Note 2 16 5" xfId="16366" xr:uid="{A1AADE6A-F645-442C-BF01-292A68CD37E1}"/>
    <cellStyle name="Note 2 16 6" xfId="16367" xr:uid="{D230E60D-ACEB-4D96-9BDD-3FC27EF7B507}"/>
    <cellStyle name="Note 2 16 7" xfId="16368" xr:uid="{5DAEC253-C0CD-474C-A209-DC339901188A}"/>
    <cellStyle name="Note 2 16 8" xfId="16369" xr:uid="{B378D511-016A-43CB-8E14-678D1A30FF19}"/>
    <cellStyle name="Note 2 16 9" xfId="16370" xr:uid="{4312CA81-197A-4A76-B040-898AF20CF186}"/>
    <cellStyle name="Note 2 2" xfId="16371" xr:uid="{191BCA8A-17B9-441A-89C2-DF0EC6E25432}"/>
    <cellStyle name="Note 2 2 10" xfId="16372" xr:uid="{4BEBD538-7753-4BB1-8D72-4288C075B231}"/>
    <cellStyle name="Note 2 2 2" xfId="16373" xr:uid="{6BB88FA7-DB47-48A4-BFEF-1EE5248E6DF9}"/>
    <cellStyle name="Note 2 2 2 2" xfId="16374" xr:uid="{FA2D799E-6ED3-47D7-A01E-22E5FEC9ED27}"/>
    <cellStyle name="Note 2 2 3" xfId="16375" xr:uid="{0559AD4D-5CBB-4398-9554-178E69A0A36F}"/>
    <cellStyle name="Note 2 2 4" xfId="16376" xr:uid="{CE62EE13-58F3-4C2D-B7AB-1C12DCD6D654}"/>
    <cellStyle name="Note 2 2 5" xfId="16377" xr:uid="{50FDF103-EED1-4782-AEF4-15A805FD5231}"/>
    <cellStyle name="Note 2 2 6" xfId="16378" xr:uid="{15763211-DF60-4665-9ABB-16CA5571CE17}"/>
    <cellStyle name="Note 2 2 7" xfId="16379" xr:uid="{5311968D-41B9-46A1-A085-E96177D21334}"/>
    <cellStyle name="Note 2 2 8" xfId="16380" xr:uid="{936F5543-91C2-4353-9A25-70CA0902736E}"/>
    <cellStyle name="Note 2 2 9" xfId="16381" xr:uid="{8B14E20A-F39F-4BBF-8F15-938FCF55D09E}"/>
    <cellStyle name="Note 2 3" xfId="16382" xr:uid="{DE9D72D3-EDD1-4F4B-90D2-B59730FE587A}"/>
    <cellStyle name="Note 2 3 2" xfId="16383" xr:uid="{68FAA5DB-3A3C-48FB-8217-C2EA08876DF8}"/>
    <cellStyle name="Note 2 4" xfId="16384" xr:uid="{259DC8F5-8096-4426-9E5A-D8854F8F7439}"/>
    <cellStyle name="Note 2 4 2" xfId="16385" xr:uid="{CC790589-C56F-4107-835A-2AEAE06F56E5}"/>
    <cellStyle name="Note 2 5" xfId="16386" xr:uid="{FEB82E66-778C-4D64-BF90-2100F1AE805D}"/>
    <cellStyle name="Note 2 6" xfId="16387" xr:uid="{611DB62B-D765-4014-AA91-F41F31B26D0F}"/>
    <cellStyle name="Note 2 7" xfId="16388" xr:uid="{8C3F3805-EBF7-45D6-9EB0-F95D1D73C835}"/>
    <cellStyle name="Note 2 8" xfId="16389" xr:uid="{9C880E54-9F65-47FF-964C-C648AF02CE17}"/>
    <cellStyle name="Note 2 9" xfId="16390" xr:uid="{B8F8012F-E579-4DB5-AF74-845847DF4061}"/>
    <cellStyle name="Note 3" xfId="16744" xr:uid="{1283879A-5D14-45BE-AE79-2C6EC195968F}"/>
    <cellStyle name="Note 3 10" xfId="16391" xr:uid="{382FD45C-DF7C-460D-8F77-BFACE7E83279}"/>
    <cellStyle name="Note 3 10 10" xfId="16392" xr:uid="{D08076E8-4763-483D-85E2-A27CC025032D}"/>
    <cellStyle name="Note 3 10 11" xfId="16393" xr:uid="{510EE373-4A01-42F6-8815-39D06F67BA84}"/>
    <cellStyle name="Note 3 10 12" xfId="16394" xr:uid="{FDCA8A99-5864-41D1-BD37-AE39B40F1842}"/>
    <cellStyle name="Note 3 10 13" xfId="16395" xr:uid="{039FE389-D6B2-466D-833C-00F98C5CDD5C}"/>
    <cellStyle name="Note 3 10 14" xfId="16396" xr:uid="{175F727C-434D-465D-9204-F730F60E6BD8}"/>
    <cellStyle name="Note 3 10 15" xfId="16397" xr:uid="{58EC83C1-E48C-4D64-8FBE-F57B0300776B}"/>
    <cellStyle name="Note 3 10 16" xfId="16398" xr:uid="{C05DFF03-3D13-4B7F-A242-6670F4AA0179}"/>
    <cellStyle name="Note 3 10 17" xfId="16399" xr:uid="{4D61BD9E-A5B7-496B-A79F-5DBAD83C9328}"/>
    <cellStyle name="Note 3 10 18" xfId="16400" xr:uid="{40671588-7C77-4F80-8EF3-4EBA29F28984}"/>
    <cellStyle name="Note 3 10 19" xfId="16401" xr:uid="{092AF7B5-6FA3-421E-ABF7-6AEC3D0FDB20}"/>
    <cellStyle name="Note 3 10 2" xfId="16402" xr:uid="{346D9EC6-BDD0-44CF-B3B5-A65C6B4AAB11}"/>
    <cellStyle name="Note 3 10 20" xfId="16403" xr:uid="{20154F79-7107-4A2F-8F2E-2269B93558BA}"/>
    <cellStyle name="Note 3 10 21" xfId="16404" xr:uid="{6584D8D5-813D-46A9-9CCA-71141A1B83DA}"/>
    <cellStyle name="Note 3 10 22" xfId="16405" xr:uid="{3F7E3CCA-9981-41D8-A7B6-89F1C6EBB2D3}"/>
    <cellStyle name="Note 3 10 23" xfId="16406" xr:uid="{3B1DEB13-9BD2-4FDF-A56D-27FF1B612AC7}"/>
    <cellStyle name="Note 3 10 24" xfId="16407" xr:uid="{106EFFA3-05B3-439B-9F1A-D55009A10A98}"/>
    <cellStyle name="Note 3 10 25" xfId="16408" xr:uid="{4F22D2F1-0AB5-49F4-BC00-2B469ADBB119}"/>
    <cellStyle name="Note 3 10 26" xfId="16409" xr:uid="{BEA7C173-B9A4-43F1-8151-829BB90B71C7}"/>
    <cellStyle name="Note 3 10 27" xfId="16410" xr:uid="{1172750F-3985-495A-8CF6-BE9D52A2DE3B}"/>
    <cellStyle name="Note 3 10 28" xfId="16411" xr:uid="{C1727F23-9F5B-416A-83DF-7EF8FCC623B4}"/>
    <cellStyle name="Note 3 10 29" xfId="16412" xr:uid="{D850A27E-79E1-4E81-9BD9-AB2A541B92D4}"/>
    <cellStyle name="Note 3 10 3" xfId="16413" xr:uid="{454E55F9-71EF-49DD-B46D-DB4D737FAD4A}"/>
    <cellStyle name="Note 3 10 30" xfId="16414" xr:uid="{1B927561-E342-4E89-B7C0-61614BFCADB5}"/>
    <cellStyle name="Note 3 10 31" xfId="16415" xr:uid="{9FA5D95F-A44C-4024-83DA-072A5436E69B}"/>
    <cellStyle name="Note 3 10 32" xfId="16416" xr:uid="{E6891199-883D-4902-9983-93B9EFDB1F21}"/>
    <cellStyle name="Note 3 10 33" xfId="16417" xr:uid="{FBDB730B-BAAA-4639-8166-A69587F2D355}"/>
    <cellStyle name="Note 3 10 34" xfId="16418" xr:uid="{46D3CEC2-D6E6-4B74-BE62-E197C6802FCE}"/>
    <cellStyle name="Note 3 10 35" xfId="16419" xr:uid="{A71D6C32-490C-4D02-8C0B-D74485FBB8B3}"/>
    <cellStyle name="Note 3 10 36" xfId="16420" xr:uid="{3CC47616-1C0E-4806-9624-44320A37D947}"/>
    <cellStyle name="Note 3 10 37" xfId="16421" xr:uid="{5DA70EB6-F9DD-4CCF-AC1B-C86EE7306FA1}"/>
    <cellStyle name="Note 3 10 38" xfId="16422" xr:uid="{CA13B6DF-11B7-47DA-9FAB-4669DDDA6C45}"/>
    <cellStyle name="Note 3 10 39" xfId="16423" xr:uid="{18B82216-E4A3-4BC1-9AD6-C97550EBB6ED}"/>
    <cellStyle name="Note 3 10 4" xfId="16424" xr:uid="{B851D993-D16F-4AC1-851B-455AFAE2B4F5}"/>
    <cellStyle name="Note 3 10 40" xfId="16425" xr:uid="{27F2465A-C8DE-43A5-B4E4-62820243CBE2}"/>
    <cellStyle name="Note 3 10 41" xfId="16426" xr:uid="{FC7CDD3D-E51A-42E8-A9AF-21D744B0A00E}"/>
    <cellStyle name="Note 3 10 42" xfId="16427" xr:uid="{4C795EEB-711C-4712-873F-4B06BF4C3524}"/>
    <cellStyle name="Note 3 10 43" xfId="16428" xr:uid="{7FF05D44-EA89-49DC-8F0E-D04FABED3CEA}"/>
    <cellStyle name="Note 3 10 44" xfId="16429" xr:uid="{CFBDEA87-6386-4681-98E0-AD5B1E79D93E}"/>
    <cellStyle name="Note 3 10 45" xfId="16430" xr:uid="{7C592964-A1B7-42C5-8B3E-6F49CFAB3F8C}"/>
    <cellStyle name="Note 3 10 46" xfId="16431" xr:uid="{BA8C65E4-3193-4631-9852-D112EE6E87D3}"/>
    <cellStyle name="Note 3 10 47" xfId="16432" xr:uid="{F8E18187-0B37-4D0C-AF51-0484569AB118}"/>
    <cellStyle name="Note 3 10 5" xfId="16433" xr:uid="{28BE2F8E-690B-462B-AC98-813E9C01CBCA}"/>
    <cellStyle name="Note 3 10 6" xfId="16434" xr:uid="{BD2A1787-BE34-4EEA-B83F-3BA067766B9C}"/>
    <cellStyle name="Note 3 10 7" xfId="16435" xr:uid="{0C3105BA-30E6-4517-83D9-364B9BD72F33}"/>
    <cellStyle name="Note 3 10 8" xfId="16436" xr:uid="{CC60CD02-8AA6-4A45-848F-2962399463EA}"/>
    <cellStyle name="Note 3 10 9" xfId="16437" xr:uid="{CB2E85DC-AD84-4A82-8965-C4F39B113F69}"/>
    <cellStyle name="Note 3 2" xfId="16438" xr:uid="{F079A3CE-26D5-49B1-BC81-936DBDDB2022}"/>
    <cellStyle name="Note 3 3" xfId="16439" xr:uid="{EECC6AFE-1277-4C3F-9EA3-6C367D5A0670}"/>
    <cellStyle name="Note 3 4" xfId="16440" xr:uid="{57E19F15-369E-4AE9-8183-FF7BFF9DA8F3}"/>
    <cellStyle name="Note 3 5" xfId="16441" xr:uid="{E7FCAD35-781E-4766-9862-A1A53AF81B3B}"/>
    <cellStyle name="Note 3 6" xfId="16442" xr:uid="{1F7F0843-A394-4DC2-AE44-F103B4C0DA21}"/>
    <cellStyle name="Note 3 7" xfId="16443" xr:uid="{F3769C2B-9244-49CE-9F2D-DE605F10D7FD}"/>
    <cellStyle name="Note 3 8" xfId="16444" xr:uid="{40034465-37BD-4CD0-BD80-51C39B6FE2CC}"/>
    <cellStyle name="Note 3 9" xfId="16445" xr:uid="{08C62316-E8F6-4DFA-AA74-CED9F3FE4271}"/>
    <cellStyle name="Note 4" xfId="16763" xr:uid="{1D8B5ECF-29CD-46FD-82F7-CE8971DDA5E0}"/>
    <cellStyle name="Note 4 10" xfId="16446" xr:uid="{20345631-F052-4844-90E8-F8C007CA3E82}"/>
    <cellStyle name="Note 4 11" xfId="16447" xr:uid="{60C3E1AF-8AB5-4527-BEC5-CDDDAAE3FD9D}"/>
    <cellStyle name="Note 4 12" xfId="16448" xr:uid="{49B357FF-4960-45F0-AF1A-CD10B9C18C17}"/>
    <cellStyle name="Note 4 2" xfId="16449" xr:uid="{61400D0A-392D-467E-86CF-6622533033D6}"/>
    <cellStyle name="Note 4 3" xfId="16450" xr:uid="{FC2C912C-7002-4808-B9A1-27D669511D11}"/>
    <cellStyle name="Note 4 4" xfId="16451" xr:uid="{8606EE80-CF09-4AA5-99EA-7672F9927239}"/>
    <cellStyle name="Note 4 5" xfId="16452" xr:uid="{0B5EB7FE-5E58-43D9-A977-83208B894462}"/>
    <cellStyle name="Note 4 6" xfId="16453" xr:uid="{67CC6B28-F166-45F0-960F-68972C743504}"/>
    <cellStyle name="Note 4 7" xfId="16454" xr:uid="{CF89F2C6-BF8F-4FCA-A764-6EC8C8377D8A}"/>
    <cellStyle name="Note 4 8" xfId="16455" xr:uid="{54E9D117-8766-4E95-8A91-14453CFD944E}"/>
    <cellStyle name="Note 4 9" xfId="16456" xr:uid="{4FA1CEAC-9748-4F6F-8F2A-4E8473D24D6C}"/>
    <cellStyle name="Note 5" xfId="16457" xr:uid="{F8F93B5D-F39D-46D5-894A-1725C7242A54}"/>
    <cellStyle name="Note 5 10" xfId="16458" xr:uid="{B5F172EB-40A5-4627-8CB3-BF8E3EFBFB9A}"/>
    <cellStyle name="Note 5 2" xfId="16459" xr:uid="{DB01AD9C-8223-4E05-9C2A-D31470A793EA}"/>
    <cellStyle name="Note 5 3" xfId="16460" xr:uid="{D732099C-7E71-4F17-9F2E-59645DD2B193}"/>
    <cellStyle name="Note 5 4" xfId="16461" xr:uid="{102B4F0A-C7B6-4F20-9B14-B5A8A0BB00BE}"/>
    <cellStyle name="Note 5 5" xfId="16462" xr:uid="{68813E1E-255A-4E22-9D38-ACE9E15F3976}"/>
    <cellStyle name="Note 5 6" xfId="16463" xr:uid="{E0CBB35C-EB5B-448B-AACA-1AEE5CE52B7B}"/>
    <cellStyle name="Note 5 7" xfId="16464" xr:uid="{AC291A81-D4A1-4F64-A90D-BDFDB7AD7E96}"/>
    <cellStyle name="Note 5 8" xfId="16465" xr:uid="{D738B8AA-C8FA-4505-BC28-035CFCE8A394}"/>
    <cellStyle name="Note 5 9" xfId="16466" xr:uid="{69C75D3A-93F3-4077-ACFB-3D09002B4757}"/>
    <cellStyle name="Note 6" xfId="16467" xr:uid="{269255FE-446A-44CD-98CB-B17F9114FE5E}"/>
    <cellStyle name="Note 6 10" xfId="16468" xr:uid="{3C896E23-4DBC-42EB-AA23-3C44E465ED72}"/>
    <cellStyle name="Note 6 2" xfId="16469" xr:uid="{CBBBB7A4-5B81-43BD-9A1D-00AFC36749A0}"/>
    <cellStyle name="Note 6 3" xfId="16470" xr:uid="{2CD2A028-1603-433B-8876-3910CC8543AB}"/>
    <cellStyle name="Note 6 4" xfId="16471" xr:uid="{638BA7BD-911D-4845-8F4C-67D80A46E460}"/>
    <cellStyle name="Note 6 5" xfId="16472" xr:uid="{713F2D57-9F2A-415B-B3BF-A29CC8767B4E}"/>
    <cellStyle name="Note 6 6" xfId="16473" xr:uid="{D6005E49-0D8D-4280-8616-91C757E92680}"/>
    <cellStyle name="Note 6 7" xfId="16474" xr:uid="{B0780701-0DA9-40FF-9CFF-C5CE649F69D2}"/>
    <cellStyle name="Note 6 8" xfId="16475" xr:uid="{28E62AB4-F6AE-42A8-A36B-B5275417B23B}"/>
    <cellStyle name="Note 6 9" xfId="16476" xr:uid="{CFA519A8-8D8F-4274-9F9B-CB2F9AD5498C}"/>
    <cellStyle name="Note 7" xfId="16477" xr:uid="{05309036-14E4-4E59-80DA-08F3505BF81B}"/>
    <cellStyle name="Note 7 10" xfId="16478" xr:uid="{480B6543-207A-4E68-9F5C-A2125F1AA3C7}"/>
    <cellStyle name="Note 7 2" xfId="16479" xr:uid="{FC06E757-C312-4F3B-BD9A-1578D8B64FD9}"/>
    <cellStyle name="Note 7 3" xfId="16480" xr:uid="{4F832293-93F4-4FD5-8106-BBD021FCCC22}"/>
    <cellStyle name="Note 7 4" xfId="16481" xr:uid="{CD4BBE4B-B36C-45D8-A232-FBD612F2A8B5}"/>
    <cellStyle name="Note 7 5" xfId="16482" xr:uid="{2ED67C2C-81A3-4E6B-826E-1672ACD3ACDA}"/>
    <cellStyle name="Note 7 6" xfId="16483" xr:uid="{4F172420-4AAA-45A7-96FB-E869199FE9F7}"/>
    <cellStyle name="Note 7 7" xfId="16484" xr:uid="{24009A23-6D33-44CC-B932-92C49A806053}"/>
    <cellStyle name="Note 7 8" xfId="16485" xr:uid="{BAD774E8-1678-4012-AA74-1FA626857B07}"/>
    <cellStyle name="Note 7 9" xfId="16486" xr:uid="{5105E935-5D21-4FA1-B930-DEF212FDD055}"/>
    <cellStyle name="Note 8" xfId="16766" xr:uid="{3241D58B-5AF5-4381-96B4-60395D94040E}"/>
    <cellStyle name="Note 8 2" xfId="16487" xr:uid="{98A79BE1-AE9F-4E47-8D74-436C60941AB5}"/>
    <cellStyle name="Note 9" xfId="16768" xr:uid="{8DD789C3-20C4-4709-A16B-A7964A5FD07E}"/>
    <cellStyle name="Note 9 2" xfId="16488" xr:uid="{70B7160C-F9AF-4523-B945-F574F1D410BF}"/>
    <cellStyle name="Output" xfId="15" builtinId="21" customBuiltin="1"/>
    <cellStyle name="Output 10" xfId="16489" xr:uid="{21FB4C1E-6E35-493C-A7C5-A6659FB1EC44}"/>
    <cellStyle name="Output 11" xfId="16490" xr:uid="{4FEB3246-ABFB-4433-80D0-2282655C9E43}"/>
    <cellStyle name="Output 12" xfId="16491" xr:uid="{6C3D1AFB-6111-4ACA-952B-573976612C08}"/>
    <cellStyle name="Output 13" xfId="16492" xr:uid="{8ED0A6A9-22F0-477A-919B-DE4E2E167724}"/>
    <cellStyle name="Output 14" xfId="16493" xr:uid="{AB40C85D-0C52-4F8D-AF9C-DCE906DF9C73}"/>
    <cellStyle name="Output 2 10" xfId="16494" xr:uid="{384BB31E-4B55-48BB-87B1-B44A83998E07}"/>
    <cellStyle name="Output 2 11" xfId="16495" xr:uid="{DEB3AC54-4649-43CB-A771-84273EE2B223}"/>
    <cellStyle name="Output 2 12" xfId="16496" xr:uid="{DE76BF25-6683-469F-BCCD-85757E2474F5}"/>
    <cellStyle name="Output 2 13" xfId="16497" xr:uid="{6DD3D957-BDFC-4C79-B44C-8FEE0EE0B7A0}"/>
    <cellStyle name="Output 2 2" xfId="16498" xr:uid="{F8CBDFF8-B2E3-4496-AA3F-1DC0E41DABE1}"/>
    <cellStyle name="Output 2 2 10" xfId="16499" xr:uid="{C2CA1D88-385E-434E-9EED-41EDC256FDF8}"/>
    <cellStyle name="Output 2 2 2" xfId="16500" xr:uid="{F0FDDCDE-35F5-455F-A6F4-E73F578DDECE}"/>
    <cellStyle name="Output 2 2 2 2" xfId="16501" xr:uid="{ECD8E5FD-0FE3-46D3-825D-354043C4303B}"/>
    <cellStyle name="Output 2 2 3" xfId="16502" xr:uid="{59A11BAE-E911-4B03-BA86-CBC41BE4C5B1}"/>
    <cellStyle name="Output 2 2 4" xfId="16503" xr:uid="{C25FF771-64B8-4A8C-B358-66D452900F27}"/>
    <cellStyle name="Output 2 2 5" xfId="16504" xr:uid="{FE545B5F-E9AA-4749-A966-4F4BB30818F4}"/>
    <cellStyle name="Output 2 2 6" xfId="16505" xr:uid="{CC46D136-E91A-4D35-87DA-19388D994B2E}"/>
    <cellStyle name="Output 2 2 7" xfId="16506" xr:uid="{0D42BD1B-27B6-4274-949C-8B8D11F0FC7B}"/>
    <cellStyle name="Output 2 2 8" xfId="16507" xr:uid="{476ECFE8-0651-41CC-BEB0-7E046156C515}"/>
    <cellStyle name="Output 2 2 9" xfId="16508" xr:uid="{59178480-A3F2-4BD3-B8D0-3E6F531A9C73}"/>
    <cellStyle name="Output 2 3" xfId="16509" xr:uid="{9D34ADC2-A21D-4097-A78F-6C5BA5A93BB3}"/>
    <cellStyle name="Output 2 3 2" xfId="16510" xr:uid="{FA39A59C-74BC-4573-93E5-9AA8B4062E10}"/>
    <cellStyle name="Output 2 4" xfId="16511" xr:uid="{3ABF92DD-E4F2-4973-9ECA-C184ED7AFDEA}"/>
    <cellStyle name="Output 2 4 2" xfId="16512" xr:uid="{43B7F3F4-6796-44B9-8039-279A4EA42448}"/>
    <cellStyle name="Output 2 5" xfId="16513" xr:uid="{64DB05AE-2D07-4CEC-BE76-11A4878BF1DD}"/>
    <cellStyle name="Output 2 6" xfId="16514" xr:uid="{B7EA1BFD-C93D-41C6-B25B-03E612066DC4}"/>
    <cellStyle name="Output 2 7" xfId="16515" xr:uid="{666C210C-4D55-44FC-8CE9-25567E4E7C4D}"/>
    <cellStyle name="Output 2 8" xfId="16516" xr:uid="{359115B8-D606-4BF9-81B5-62A8ED396D5F}"/>
    <cellStyle name="Output 2 9" xfId="16517" xr:uid="{BFCC27F7-FB1E-45E5-AE02-AB16A6AEADBC}"/>
    <cellStyle name="Output 3" xfId="16518" xr:uid="{8C31604D-91D2-428D-A9ED-3E9745452442}"/>
    <cellStyle name="Output 3 10" xfId="16519" xr:uid="{9BDC73D7-C064-4EDF-9DEF-AD70AD111EEC}"/>
    <cellStyle name="Output 3 2" xfId="16520" xr:uid="{8FFC1D80-C01F-449D-B7D7-925A47D5C354}"/>
    <cellStyle name="Output 3 3" xfId="16521" xr:uid="{A8B618B2-251C-4A6D-A88B-FDF6D19EEA0F}"/>
    <cellStyle name="Output 3 4" xfId="16522" xr:uid="{0C4BBABB-0449-42B5-91E4-1E1A9EDE2437}"/>
    <cellStyle name="Output 3 5" xfId="16523" xr:uid="{706DC494-D831-42E8-BE3D-D5467C848D20}"/>
    <cellStyle name="Output 3 6" xfId="16524" xr:uid="{E9AF6109-F3C9-4946-B897-8AF948E88042}"/>
    <cellStyle name="Output 3 7" xfId="16525" xr:uid="{90EA219A-B381-4C8B-9086-4CE8AF9E07C8}"/>
    <cellStyle name="Output 3 8" xfId="16526" xr:uid="{C4BA56B9-5A31-4A3C-9AEC-D7E92F489F71}"/>
    <cellStyle name="Output 3 9" xfId="16527" xr:uid="{EA50D7F0-4BE4-4235-A70B-343383B280F4}"/>
    <cellStyle name="Output 4" xfId="16528" xr:uid="{CC30C320-947D-42E7-83E4-B2EA0BC4701E}"/>
    <cellStyle name="Output 4 10" xfId="16529" xr:uid="{2B9A72C0-59D5-4648-9D16-1A1FD76D1F6C}"/>
    <cellStyle name="Output 4 2" xfId="16530" xr:uid="{FE47F0A3-A0AE-4B1B-AE7B-DA419DDD6CCA}"/>
    <cellStyle name="Output 4 3" xfId="16531" xr:uid="{3E18FD17-56F8-4E16-B52E-B325D8209280}"/>
    <cellStyle name="Output 4 4" xfId="16532" xr:uid="{13E40076-BAA3-491D-BCA8-88BF0857501F}"/>
    <cellStyle name="Output 4 5" xfId="16533" xr:uid="{7DFD0C90-11CE-477D-A3E8-940EFAE41DC6}"/>
    <cellStyle name="Output 4 6" xfId="16534" xr:uid="{EFAF5BDD-7205-46FF-A904-B3193E340AC6}"/>
    <cellStyle name="Output 4 7" xfId="16535" xr:uid="{F0AB93CB-C7F0-49A2-B22C-955B80F2A629}"/>
    <cellStyle name="Output 4 8" xfId="16536" xr:uid="{F3270C9B-A1DC-43B5-A906-F833DE973863}"/>
    <cellStyle name="Output 4 9" xfId="16537" xr:uid="{13F779CA-3610-4EF3-839C-39B27C6A1B9D}"/>
    <cellStyle name="Output 5" xfId="16538" xr:uid="{05D92FF0-EA4D-4817-BE77-19FFC5E31357}"/>
    <cellStyle name="Output 5 10" xfId="16539" xr:uid="{68C8B291-64D6-471E-B4C8-A563DED956BA}"/>
    <cellStyle name="Output 5 2" xfId="16540" xr:uid="{FB116E5B-2C86-468D-856D-A99F6B935820}"/>
    <cellStyle name="Output 5 3" xfId="16541" xr:uid="{AC937252-D428-4A7F-84D9-C59E10FCAE5B}"/>
    <cellStyle name="Output 5 4" xfId="16542" xr:uid="{29E81BBC-AC15-4070-94AD-42F00B419CE3}"/>
    <cellStyle name="Output 5 5" xfId="16543" xr:uid="{B11B0E07-80B2-4E13-946A-BB9B50D27ADE}"/>
    <cellStyle name="Output 5 6" xfId="16544" xr:uid="{B8948323-CF17-42B3-BE81-29EAAC241ECC}"/>
    <cellStyle name="Output 5 7" xfId="16545" xr:uid="{0148B3F0-EBA2-4E9F-A642-5086E3EC72C1}"/>
    <cellStyle name="Output 5 8" xfId="16546" xr:uid="{FA757D09-198F-4420-9135-1AC80A3738A9}"/>
    <cellStyle name="Output 5 9" xfId="16547" xr:uid="{BC9546F9-DCAE-4735-B4DB-30504B88A638}"/>
    <cellStyle name="Output 6 2" xfId="16548" xr:uid="{A5E1CA92-6958-49DB-9867-DE12F1B6C13A}"/>
    <cellStyle name="Output 7 2" xfId="16549" xr:uid="{BF5DC089-8C4F-4727-8EDA-A7D3BA763ECA}"/>
    <cellStyle name="Output 8" xfId="16550" xr:uid="{0BE076FB-4266-40A1-9294-F62EAAAEBC4A}"/>
    <cellStyle name="Output 9" xfId="16551" xr:uid="{6353D954-66A9-4A92-B18B-1A6E48FE1CB2}"/>
    <cellStyle name="Percent" xfId="4" builtinId="5"/>
    <cellStyle name="Percent 2" xfId="16552" xr:uid="{4B21FFA1-050F-4A8F-8BDD-8B42C5BABB80}"/>
    <cellStyle name="Percent 2 2" xfId="16783" xr:uid="{632F375B-51AB-4E81-B410-9EBA8E76F3B2}"/>
    <cellStyle name="Percent 2 3" xfId="16778" xr:uid="{2C680979-6583-42EE-BB89-868118443BD3}"/>
    <cellStyle name="Percent 3" xfId="16764" xr:uid="{20D40655-164D-445C-8D68-E921E2F343B3}"/>
    <cellStyle name="Percent 4" xfId="16771" xr:uid="{D991B538-4B54-4F7C-A9B4-95B6278A04A6}"/>
    <cellStyle name="Percent 5" xfId="16772" xr:uid="{A534E838-F003-4F9B-8434-EA5EBC3A72B4}"/>
    <cellStyle name="Percent 6" xfId="16785" xr:uid="{F9762377-B644-492E-9839-A9FEDA9872E9}"/>
    <cellStyle name="Percent 7" xfId="16775" xr:uid="{2C1EC4BC-3398-49D1-8CA2-C98E04B06934}"/>
    <cellStyle name="Title" xfId="6" builtinId="15" customBuiltin="1"/>
    <cellStyle name="Title 10" xfId="16553" xr:uid="{0622F37C-DFAB-4185-BC60-9D164B9CB86C}"/>
    <cellStyle name="Title 11" xfId="16554" xr:uid="{78AEC511-67F6-45E7-8957-8F8EF2010D3B}"/>
    <cellStyle name="Title 12" xfId="16555" xr:uid="{8699D505-49E7-46A0-9C33-7176FE4FE1BA}"/>
    <cellStyle name="Title 13" xfId="16556" xr:uid="{741CE951-CA65-4E9D-BA3E-406ED91F9F60}"/>
    <cellStyle name="Title 14" xfId="16557" xr:uid="{71114141-9767-4C1D-8002-69F8367BEF5A}"/>
    <cellStyle name="Title 2 10" xfId="16558" xr:uid="{E3B466FD-30AB-4EE3-9FF0-F1296642CCC4}"/>
    <cellStyle name="Title 2 11" xfId="16559" xr:uid="{23B83C4B-E77B-4549-A900-7296C33715C4}"/>
    <cellStyle name="Title 2 12" xfId="16560" xr:uid="{1ECDF963-E28D-462E-A8E6-CD1BC7FE9C9D}"/>
    <cellStyle name="Title 2 2" xfId="16561" xr:uid="{2301213E-E3B5-4342-8CCC-ADF0FE8523B1}"/>
    <cellStyle name="Title 2 2 10" xfId="16562" xr:uid="{FCEB3274-F883-4AC2-A531-0781E1785DB8}"/>
    <cellStyle name="Title 2 2 2" xfId="16563" xr:uid="{B5F97720-805C-4643-80EE-BAD0E5298F0B}"/>
    <cellStyle name="Title 2 2 2 2" xfId="16564" xr:uid="{42C03EE2-5888-4CB5-9BF9-4FC2BED819D2}"/>
    <cellStyle name="Title 2 2 3" xfId="16565" xr:uid="{84E59309-81C2-4086-9B3E-10AE9EFD7408}"/>
    <cellStyle name="Title 2 2 4" xfId="16566" xr:uid="{AD4192E1-B913-4700-BB9E-85E930A2D115}"/>
    <cellStyle name="Title 2 2 5" xfId="16567" xr:uid="{2ECE87B7-B2F4-4936-9DF2-784285F61640}"/>
    <cellStyle name="Title 2 2 6" xfId="16568" xr:uid="{F01703DB-29AF-43EF-973C-7C235FD9A82B}"/>
    <cellStyle name="Title 2 2 7" xfId="16569" xr:uid="{63D79D16-28ED-4B24-B228-B52D0A90789F}"/>
    <cellStyle name="Title 2 2 8" xfId="16570" xr:uid="{B14582AB-F30D-4E74-B719-758F6538AC8D}"/>
    <cellStyle name="Title 2 2 9" xfId="16571" xr:uid="{EE0AAB7B-117B-42F6-BF7A-D68B90924FEC}"/>
    <cellStyle name="Title 2 3" xfId="16572" xr:uid="{7767D765-ADE9-44BA-8409-5DEEFDAB13B3}"/>
    <cellStyle name="Title 2 3 2" xfId="16573" xr:uid="{C9F216B0-FC3E-45CD-92A7-D3F39B502E30}"/>
    <cellStyle name="Title 2 4" xfId="16574" xr:uid="{455FAB03-30B6-48C2-B060-F63C830A4EA1}"/>
    <cellStyle name="Title 2 4 2" xfId="16575" xr:uid="{F1B8399D-EC71-4051-A43B-D61828E18108}"/>
    <cellStyle name="Title 2 5" xfId="16576" xr:uid="{B7ECF7BC-EA38-4A5E-9835-FB4282B96417}"/>
    <cellStyle name="Title 2 6" xfId="16577" xr:uid="{1A0D5744-739A-4DB1-9379-9BDFB9D27022}"/>
    <cellStyle name="Title 2 7" xfId="16578" xr:uid="{67D30D20-E207-4145-883F-CF7888C16896}"/>
    <cellStyle name="Title 2 8" xfId="16579" xr:uid="{EBAC5420-28A8-43C2-96A1-8ACBB29E0E23}"/>
    <cellStyle name="Title 2 9" xfId="16580" xr:uid="{43E6D398-D997-4C4E-AD06-098EA7B80C99}"/>
    <cellStyle name="Title 3" xfId="16581" xr:uid="{EA716052-EE28-415E-8C4A-852A79DC3F25}"/>
    <cellStyle name="Title 3 10" xfId="16582" xr:uid="{35B7EFD6-7C1D-4FB2-BA34-34A5DC13BCE9}"/>
    <cellStyle name="Title 3 2" xfId="16583" xr:uid="{00E2F064-BC33-402C-ABEE-2C333A7C4DCB}"/>
    <cellStyle name="Title 3 3" xfId="16584" xr:uid="{28F5635A-DE3F-44BD-8375-AA1A66F1F66D}"/>
    <cellStyle name="Title 3 4" xfId="16585" xr:uid="{3A382FBD-9231-4DAE-B9CB-330C88B2F0EE}"/>
    <cellStyle name="Title 3 5" xfId="16586" xr:uid="{FC3BF07C-9D78-4C80-B1F3-1C01613EAC39}"/>
    <cellStyle name="Title 3 6" xfId="16587" xr:uid="{5ED73E44-395F-4DF8-A3E5-D0DD8CB8535F}"/>
    <cellStyle name="Title 3 7" xfId="16588" xr:uid="{9BB0A57E-C2FF-47A5-B0AD-4004EC12E3CC}"/>
    <cellStyle name="Title 3 8" xfId="16589" xr:uid="{0F686BCE-482B-4754-8BEC-67767BB62D28}"/>
    <cellStyle name="Title 3 9" xfId="16590" xr:uid="{56DEC2BB-4998-4F41-A6AC-E54EB47667D5}"/>
    <cellStyle name="Title 4" xfId="16591" xr:uid="{0225C060-3AF4-4A4E-A759-822A87C07B90}"/>
    <cellStyle name="Title 4 10" xfId="16592" xr:uid="{74C0CAE3-F49D-487A-A6FF-E1EA39BF55F4}"/>
    <cellStyle name="Title 4 2" xfId="16593" xr:uid="{82A58BC8-826D-4B43-B59D-F1E4292592C2}"/>
    <cellStyle name="Title 4 3" xfId="16594" xr:uid="{BC982B4C-155D-4744-BFFF-84A569AB4F7D}"/>
    <cellStyle name="Title 4 4" xfId="16595" xr:uid="{33635044-885E-45B0-85C2-975759C831DC}"/>
    <cellStyle name="Title 4 5" xfId="16596" xr:uid="{89400451-B939-4C04-B940-D8FB673CD78B}"/>
    <cellStyle name="Title 4 6" xfId="16597" xr:uid="{5B43FB17-1A27-451B-9076-932815885A12}"/>
    <cellStyle name="Title 4 7" xfId="16598" xr:uid="{C7206BFB-AB57-4745-8AD0-A098A4445AA2}"/>
    <cellStyle name="Title 4 8" xfId="16599" xr:uid="{46CA9E26-ADC6-4CE2-94AC-EFE5715EFA1C}"/>
    <cellStyle name="Title 4 9" xfId="16600" xr:uid="{45CD0EC7-912F-41A5-B2DD-AF851EDABF97}"/>
    <cellStyle name="Title 5" xfId="16601" xr:uid="{01D7B412-B217-4483-8FE6-5B6F8508F5AA}"/>
    <cellStyle name="Title 5 10" xfId="16602" xr:uid="{E1191165-5239-41F8-89E6-657B5C46D312}"/>
    <cellStyle name="Title 5 2" xfId="16603" xr:uid="{FCCC2ABB-BC50-4845-8191-D527F07F786D}"/>
    <cellStyle name="Title 5 3" xfId="16604" xr:uid="{A75A388F-CFDD-40F2-9B73-F2C7D0FB7A1C}"/>
    <cellStyle name="Title 5 4" xfId="16605" xr:uid="{03BF39CB-04BA-43E5-AF4D-8EF2A4D1B7FF}"/>
    <cellStyle name="Title 5 5" xfId="16606" xr:uid="{95041007-CC05-4780-9F06-66D1163B1E96}"/>
    <cellStyle name="Title 5 6" xfId="16607" xr:uid="{895BE5A7-4B01-449C-8782-8502F2579648}"/>
    <cellStyle name="Title 5 7" xfId="16608" xr:uid="{1E330CDF-5B1E-4CE1-9818-103737560BC1}"/>
    <cellStyle name="Title 5 8" xfId="16609" xr:uid="{0CF976C3-77F2-4FF1-8571-456163D87B79}"/>
    <cellStyle name="Title 5 9" xfId="16610" xr:uid="{D321380F-08AC-4824-9C5F-AF3370495CCD}"/>
    <cellStyle name="Title 6 2" xfId="16611" xr:uid="{F1EAC4C6-8CDD-4854-96BD-6816AC161802}"/>
    <cellStyle name="Title 7 2" xfId="16612" xr:uid="{822912A9-DB9A-4F46-8A25-682C3C2E01D1}"/>
    <cellStyle name="Title 8" xfId="16613" xr:uid="{67D0CDCD-A173-45CD-82A9-0C465318E0E6}"/>
    <cellStyle name="Title 9" xfId="16614" xr:uid="{4B19610D-FE6E-4C79-955C-4DEF8FC0EC46}"/>
    <cellStyle name="Total" xfId="21" builtinId="25" customBuiltin="1"/>
    <cellStyle name="Total 10" xfId="16615" xr:uid="{785E3AF0-AC10-4861-B691-D8E587568B65}"/>
    <cellStyle name="Total 11" xfId="16616" xr:uid="{CDA0B6B0-717C-43A9-82D8-D5E603DF2932}"/>
    <cellStyle name="Total 12" xfId="16617" xr:uid="{8DE469DE-0679-4948-8DC4-427CF9B98C42}"/>
    <cellStyle name="Total 13" xfId="16618" xr:uid="{437AB947-8E2D-4054-8890-CA77C5E51ACD}"/>
    <cellStyle name="Total 14" xfId="16619" xr:uid="{E38612D7-EC9C-460D-A242-AC7F9BC5D9A8}"/>
    <cellStyle name="Total 2 10" xfId="16620" xr:uid="{665142AF-C681-4879-AEA5-B8D814CC95BA}"/>
    <cellStyle name="Total 2 11" xfId="16621" xr:uid="{F9C81EE4-FB13-44A9-A436-B1BFE7BF2CF8}"/>
    <cellStyle name="Total 2 12" xfId="16622" xr:uid="{1604E4DB-5277-4D31-8656-648E1D083025}"/>
    <cellStyle name="Total 2 13" xfId="16623" xr:uid="{1C77C240-CFCF-49BF-8CDD-D1970FA1BF80}"/>
    <cellStyle name="Total 2 2" xfId="16624" xr:uid="{D8A368F7-B7EF-4B69-BF54-7DDF7F19912F}"/>
    <cellStyle name="Total 2 2 10" xfId="16625" xr:uid="{21B52997-D0EC-400B-A4F4-BCAD2C448D53}"/>
    <cellStyle name="Total 2 2 2" xfId="16626" xr:uid="{C442535A-44B6-49DB-82C2-836A3D9AC52B}"/>
    <cellStyle name="Total 2 2 2 2" xfId="16627" xr:uid="{2D0453FA-8A28-450F-9565-7D273CCF34E7}"/>
    <cellStyle name="Total 2 2 3" xfId="16628" xr:uid="{DEAAAFC4-C3CE-4829-B383-D0917F1B7DF1}"/>
    <cellStyle name="Total 2 2 4" xfId="16629" xr:uid="{2EDE381A-3BF4-494E-BFA2-73F63E385CCD}"/>
    <cellStyle name="Total 2 2 5" xfId="16630" xr:uid="{75EFA305-9581-4627-A2D4-FE9444E81236}"/>
    <cellStyle name="Total 2 2 6" xfId="16631" xr:uid="{4313B370-6441-4667-83CD-B128490A073C}"/>
    <cellStyle name="Total 2 2 7" xfId="16632" xr:uid="{2CC5255F-6482-46D6-BFB1-E8D4303EBAC6}"/>
    <cellStyle name="Total 2 2 8" xfId="16633" xr:uid="{F4C3A008-C00B-47B7-9B80-09C546FE975D}"/>
    <cellStyle name="Total 2 2 9" xfId="16634" xr:uid="{BE5006FF-8A3E-4F1F-9575-C19F71A962CB}"/>
    <cellStyle name="Total 2 3" xfId="16635" xr:uid="{B8F285E7-859B-4F7C-97DE-C4ADF8905179}"/>
    <cellStyle name="Total 2 3 2" xfId="16636" xr:uid="{3160D6D4-3F81-417A-A379-179A226C44B6}"/>
    <cellStyle name="Total 2 4" xfId="16637" xr:uid="{28784864-E750-43D3-A932-8CD8E8BA9C56}"/>
    <cellStyle name="Total 2 4 2" xfId="16638" xr:uid="{11B3FA84-117A-4FF7-9903-44ECA8DD94BC}"/>
    <cellStyle name="Total 2 5" xfId="16639" xr:uid="{8749F3B6-6B27-41DF-93D6-21150764D439}"/>
    <cellStyle name="Total 2 6" xfId="16640" xr:uid="{A8025214-F811-4F72-BADC-D4AC4C25BFB5}"/>
    <cellStyle name="Total 2 7" xfId="16641" xr:uid="{9645171F-7C92-4232-9C44-C94A3A7D308C}"/>
    <cellStyle name="Total 2 8" xfId="16642" xr:uid="{2CB96BE4-BFFC-4692-B315-FA4D16DD1ADB}"/>
    <cellStyle name="Total 2 9" xfId="16643" xr:uid="{D9C8BF11-702D-477B-9312-467FCED61208}"/>
    <cellStyle name="Total 3" xfId="16644" xr:uid="{AF88E815-0370-4501-B006-F78593E05F6C}"/>
    <cellStyle name="Total 3 10" xfId="16645" xr:uid="{D6529150-CBE1-4227-B71E-3A92A2467216}"/>
    <cellStyle name="Total 3 2" xfId="16646" xr:uid="{72507879-07A6-4F3E-B148-3E1D9DA74131}"/>
    <cellStyle name="Total 3 3" xfId="16647" xr:uid="{EF302BC1-A2AF-4913-90C6-7A6DB19CA67B}"/>
    <cellStyle name="Total 3 4" xfId="16648" xr:uid="{CD444106-D9EF-4622-82E3-08F4C1AD4078}"/>
    <cellStyle name="Total 3 5" xfId="16649" xr:uid="{078582D5-7DD3-4F61-8A60-A7547E46EC06}"/>
    <cellStyle name="Total 3 6" xfId="16650" xr:uid="{C2004A08-7F0D-4DA6-96EA-18055AFC30F0}"/>
    <cellStyle name="Total 3 7" xfId="16651" xr:uid="{10E459A0-7FC9-47D3-9CCA-3AF74303E738}"/>
    <cellStyle name="Total 3 8" xfId="16652" xr:uid="{E6DBCC96-8D43-4603-B6BD-74D3609E7CA7}"/>
    <cellStyle name="Total 3 9" xfId="16653" xr:uid="{FA3149F2-DB1D-423A-9619-8327D7E81D6E}"/>
    <cellStyle name="Total 4" xfId="16654" xr:uid="{388CE536-1D97-4135-952F-4988F7A05E14}"/>
    <cellStyle name="Total 4 10" xfId="16655" xr:uid="{A13FDDC5-C06E-4679-842F-1D4A6DBC9D26}"/>
    <cellStyle name="Total 4 2" xfId="16656" xr:uid="{AF3828F6-201A-4944-B23E-C8EFCC9DB465}"/>
    <cellStyle name="Total 4 3" xfId="16657" xr:uid="{253C3CBF-8DDA-4132-ADE0-6AE4F020A7D0}"/>
    <cellStyle name="Total 4 4" xfId="16658" xr:uid="{F9FE4AF4-BCD0-45DF-B908-2868797BDD6E}"/>
    <cellStyle name="Total 4 5" xfId="16659" xr:uid="{21B6D857-54DE-41AC-8F5F-9514A27733B0}"/>
    <cellStyle name="Total 4 6" xfId="16660" xr:uid="{66993D66-BC5B-4336-B359-515B49CC65A9}"/>
    <cellStyle name="Total 4 7" xfId="16661" xr:uid="{9216FE8E-4A52-4D67-9829-CC48B181ED03}"/>
    <cellStyle name="Total 4 8" xfId="16662" xr:uid="{5B12F1EC-0E9A-474B-8BA7-FDE160F34DDB}"/>
    <cellStyle name="Total 4 9" xfId="16663" xr:uid="{2CD4940C-E473-4EEE-8523-B9E6FD9BB63D}"/>
    <cellStyle name="Total 5" xfId="16664" xr:uid="{8A64D88C-204E-42CD-AFD4-B72DEEE584C4}"/>
    <cellStyle name="Total 5 10" xfId="16665" xr:uid="{D03454F5-9ED3-49EA-B1F3-4E4915E29F87}"/>
    <cellStyle name="Total 5 2" xfId="16666" xr:uid="{99000EEA-9454-49A5-905D-E35524203F3E}"/>
    <cellStyle name="Total 5 3" xfId="16667" xr:uid="{88C462CA-BC6E-4D0D-9C70-C2522E03FF8A}"/>
    <cellStyle name="Total 5 4" xfId="16668" xr:uid="{124E2834-C172-4425-83FD-FCDD86C99DA3}"/>
    <cellStyle name="Total 5 5" xfId="16669" xr:uid="{1D3C2AC3-1D38-4D87-BE5B-7E86CAF2AD82}"/>
    <cellStyle name="Total 5 6" xfId="16670" xr:uid="{BCB6251A-7E7E-44FD-930E-6E86D21FA1D1}"/>
    <cellStyle name="Total 5 7" xfId="16671" xr:uid="{0A7FEFCC-F439-434D-A5DD-DB0910923051}"/>
    <cellStyle name="Total 5 8" xfId="16672" xr:uid="{89519AE3-BFDA-4E3A-AAC3-0E186053A58F}"/>
    <cellStyle name="Total 5 9" xfId="16673" xr:uid="{A9A8736D-5BF8-40AA-B9E8-713BB008E857}"/>
    <cellStyle name="Total 6 2" xfId="16674" xr:uid="{7C92480D-86C2-4963-A7F3-BD557313B8F9}"/>
    <cellStyle name="Total 7 2" xfId="16675" xr:uid="{587665BA-24E0-4DA8-91BB-789100111A43}"/>
    <cellStyle name="Total 8" xfId="16676" xr:uid="{A44F27E8-89CF-4F01-847C-C4F6D2DA017C}"/>
    <cellStyle name="Total 9" xfId="16677" xr:uid="{9065E4A0-1CA8-4CC5-A4B8-E68D86202C63}"/>
    <cellStyle name="Warning Text" xfId="19" builtinId="11" customBuiltin="1"/>
    <cellStyle name="Warning Text 10" xfId="16678" xr:uid="{0C27343A-7CD7-4A73-8A3D-465FA4324F2D}"/>
    <cellStyle name="Warning Text 11" xfId="16679" xr:uid="{2962A749-1E77-460B-A50F-4E71206192AF}"/>
    <cellStyle name="Warning Text 12" xfId="16680" xr:uid="{CE7642A8-D26A-4742-AB0F-69507B560F44}"/>
    <cellStyle name="Warning Text 13" xfId="16681" xr:uid="{9075FC97-EB7C-4F1A-9601-E40B57FFEA25}"/>
    <cellStyle name="Warning Text 14" xfId="16682" xr:uid="{D69E9C4C-4BC4-426F-B5B9-DB06F1476E34}"/>
    <cellStyle name="Warning Text 2 10" xfId="16683" xr:uid="{826AA18D-6785-4DCD-9D30-31B4DF5A5C9E}"/>
    <cellStyle name="Warning Text 2 11" xfId="16684" xr:uid="{FC79758F-39AF-4ABA-BC52-EE9CF8D05AEB}"/>
    <cellStyle name="Warning Text 2 12" xfId="16685" xr:uid="{04FC55A5-5391-449E-9D5C-1F8D17C64FF8}"/>
    <cellStyle name="Warning Text 2 13" xfId="16686" xr:uid="{CB4AF327-72C7-48F5-A599-139CAF8BB874}"/>
    <cellStyle name="Warning Text 2 2" xfId="16687" xr:uid="{D115F537-AC5C-4CE9-991B-76A53106E55E}"/>
    <cellStyle name="Warning Text 2 2 10" xfId="16688" xr:uid="{94C46AE2-1407-4324-97B5-7B402AB72919}"/>
    <cellStyle name="Warning Text 2 2 2" xfId="16689" xr:uid="{457A7F81-3990-4909-B1ED-E81989171A36}"/>
    <cellStyle name="Warning Text 2 2 2 2" xfId="16690" xr:uid="{00940427-695B-497F-8830-11EF0448CAAC}"/>
    <cellStyle name="Warning Text 2 2 3" xfId="16691" xr:uid="{C783EB42-4B9F-45AB-BE57-5BB47A642934}"/>
    <cellStyle name="Warning Text 2 2 4" xfId="16692" xr:uid="{05771FBD-4075-4619-BE1D-11B861202970}"/>
    <cellStyle name="Warning Text 2 2 5" xfId="16693" xr:uid="{1F25AFF1-9830-42F8-99B5-522AE26A6C02}"/>
    <cellStyle name="Warning Text 2 2 6" xfId="16694" xr:uid="{4C8A57AA-7AF8-4FBE-956C-6F10DE23AC24}"/>
    <cellStyle name="Warning Text 2 2 7" xfId="16695" xr:uid="{D7FB071E-78A2-4B04-BA7B-C46F70B724C9}"/>
    <cellStyle name="Warning Text 2 2 8" xfId="16696" xr:uid="{40782893-DCDF-45A2-B12E-361DB5945846}"/>
    <cellStyle name="Warning Text 2 2 9" xfId="16697" xr:uid="{3AC237C4-E212-4CBC-AC54-8601794F5E70}"/>
    <cellStyle name="Warning Text 2 3" xfId="16698" xr:uid="{D8468F9B-B138-44A8-B125-94524B9C68E8}"/>
    <cellStyle name="Warning Text 2 3 2" xfId="16699" xr:uid="{0A343301-C87D-42D1-8929-14CB628FE13B}"/>
    <cellStyle name="Warning Text 2 4" xfId="16700" xr:uid="{96226FB5-06C6-45EF-BB84-124A3B9CDE1E}"/>
    <cellStyle name="Warning Text 2 4 2" xfId="16701" xr:uid="{4CEC8AF0-26CE-4696-A56D-75121CA0760B}"/>
    <cellStyle name="Warning Text 2 5" xfId="16702" xr:uid="{2B295D62-6773-428F-B747-D43701903654}"/>
    <cellStyle name="Warning Text 2 6" xfId="16703" xr:uid="{586BB2CC-A4F2-4ADD-8764-8F12FF771863}"/>
    <cellStyle name="Warning Text 2 7" xfId="16704" xr:uid="{1DD6FFC6-E127-4353-9FE8-2FCE624CDBE1}"/>
    <cellStyle name="Warning Text 2 8" xfId="16705" xr:uid="{0ADCF165-26B7-4B62-AA0D-F56A243F0A31}"/>
    <cellStyle name="Warning Text 2 9" xfId="16706" xr:uid="{90B4340E-E965-4785-9A41-31C0ECF2E3E3}"/>
    <cellStyle name="Warning Text 3" xfId="16707" xr:uid="{9E5AB7C4-4A0B-4B9A-9339-F450E03B1D09}"/>
    <cellStyle name="Warning Text 3 10" xfId="16708" xr:uid="{F00869B3-C75B-4597-9F2D-546393BE4653}"/>
    <cellStyle name="Warning Text 3 2" xfId="16709" xr:uid="{8B0934CD-447F-400B-AE5A-E8DB97038803}"/>
    <cellStyle name="Warning Text 3 3" xfId="16710" xr:uid="{BD9C7B2C-071E-415C-9BD0-9F3811137F43}"/>
    <cellStyle name="Warning Text 3 4" xfId="16711" xr:uid="{B9E045F1-68AE-4F92-8769-661B896162DA}"/>
    <cellStyle name="Warning Text 3 5" xfId="16712" xr:uid="{AFBD4A29-D228-40BF-ACBA-C671007E8755}"/>
    <cellStyle name="Warning Text 3 6" xfId="16713" xr:uid="{7252D8EE-44B5-4A1B-93D4-A3339C596371}"/>
    <cellStyle name="Warning Text 3 7" xfId="16714" xr:uid="{D04F4AE2-FBB2-45AD-9927-F76C2E5891FB}"/>
    <cellStyle name="Warning Text 3 8" xfId="16715" xr:uid="{8B63257B-1A57-4901-ABEF-21C2C47EDBC8}"/>
    <cellStyle name="Warning Text 3 9" xfId="16716" xr:uid="{2F2AAA57-4F82-4796-8FF4-5B4C7BD7EB3E}"/>
    <cellStyle name="Warning Text 4" xfId="16717" xr:uid="{BE2623BC-6004-4469-8EC3-A143E7AD6D4F}"/>
    <cellStyle name="Warning Text 4 10" xfId="16718" xr:uid="{FB5AE609-6C90-4E29-AD3A-25575427D22D}"/>
    <cellStyle name="Warning Text 4 2" xfId="16719" xr:uid="{1586D32B-1362-48C8-B7B8-40C109894005}"/>
    <cellStyle name="Warning Text 4 3" xfId="16720" xr:uid="{997482B5-5F3F-4089-BA5D-D149C57360EC}"/>
    <cellStyle name="Warning Text 4 4" xfId="16721" xr:uid="{41B8B0D9-17AF-4B99-A5EF-4ADCDF8CF6C9}"/>
    <cellStyle name="Warning Text 4 5" xfId="16722" xr:uid="{F6EB6AC5-01CE-47CE-A3DB-9554857E72D6}"/>
    <cellStyle name="Warning Text 4 6" xfId="16723" xr:uid="{B18FE749-3330-4892-A019-C09461FD2B6E}"/>
    <cellStyle name="Warning Text 4 7" xfId="16724" xr:uid="{114EB43A-3BA7-4CB3-B6B6-17C705289168}"/>
    <cellStyle name="Warning Text 4 8" xfId="16725" xr:uid="{80FDC0CF-03E6-481E-AD89-EFD7E73B94A2}"/>
    <cellStyle name="Warning Text 4 9" xfId="16726" xr:uid="{55E19218-A51E-4BD5-BC62-15D5446BF71E}"/>
    <cellStyle name="Warning Text 5" xfId="16727" xr:uid="{2FCA06CD-A236-4075-9DE6-E791CADBDE0F}"/>
    <cellStyle name="Warning Text 5 10" xfId="16728" xr:uid="{D0DF6B65-291E-4F94-A559-070FB089F727}"/>
    <cellStyle name="Warning Text 5 2" xfId="16729" xr:uid="{50100CFE-B19E-4CAA-B6D1-CDCECE6381C0}"/>
    <cellStyle name="Warning Text 5 3" xfId="16730" xr:uid="{F3E7FF6B-3344-450B-B9C0-7E9281721B7C}"/>
    <cellStyle name="Warning Text 5 4" xfId="16731" xr:uid="{445E8C64-22AC-46B4-9C6F-A36CE7132E2E}"/>
    <cellStyle name="Warning Text 5 5" xfId="16732" xr:uid="{1056507A-B9E8-42E4-89FF-5BA0DC3FB6E5}"/>
    <cellStyle name="Warning Text 5 6" xfId="16733" xr:uid="{E82D326C-2610-446C-A355-1187FB1223A8}"/>
    <cellStyle name="Warning Text 5 7" xfId="16734" xr:uid="{C69FAF08-A297-4BA9-A15B-7A6E52D7DAAB}"/>
    <cellStyle name="Warning Text 5 8" xfId="16735" xr:uid="{CDF7CE4D-7672-4D0A-BAE9-BFDDCA3A9200}"/>
    <cellStyle name="Warning Text 5 9" xfId="16736" xr:uid="{92C15491-9816-47C0-BDE7-280A08B5F8C4}"/>
    <cellStyle name="Warning Text 6 2" xfId="16737" xr:uid="{065C903C-AB93-45C5-9099-6F9A501FB8FD}"/>
    <cellStyle name="Warning Text 7 2" xfId="16738" xr:uid="{931CEBBD-DEDE-422C-8771-BEB6E29B9642}"/>
    <cellStyle name="Warning Text 8" xfId="16739" xr:uid="{3C0C3EC9-DCEF-49A3-863A-CA06957FD569}"/>
    <cellStyle name="Warning Text 9" xfId="16740" xr:uid="{82E4D101-567F-4A66-A995-222E2BFFC3FF}"/>
  </cellStyles>
  <dxfs count="0"/>
  <tableStyles count="0" defaultTableStyle="TableStyleMedium9" defaultPivotStyle="PivotStyleLight16"/>
  <colors>
    <mruColors>
      <color rgb="FF9DC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384983</xdr:colOff>
      <xdr:row>11</xdr:row>
      <xdr:rowOff>28575</xdr:rowOff>
    </xdr:to>
    <xdr:pic>
      <xdr:nvPicPr>
        <xdr:cNvPr id="2" name="Picture 1" descr="OSU Robert M. Kerr Food and Agricultural Products Center logo.">
          <a:extLst>
            <a:ext uri="{FF2B5EF4-FFF2-40B4-BE49-F238E27FC236}">
              <a16:creationId xmlns:a16="http://schemas.microsoft.com/office/drawing/2014/main" id="{F198CCCA-7D9F-728D-64AE-DD5489F0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90933" cy="180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33</xdr:row>
          <xdr:rowOff>7620</xdr:rowOff>
        </xdr:from>
        <xdr:to>
          <xdr:col>2</xdr:col>
          <xdr:colOff>563880</xdr:colOff>
          <xdr:row>43</xdr:row>
          <xdr:rowOff>106680</xdr:rowOff>
        </xdr:to>
        <xdr:sp macro="" textlink="">
          <xdr:nvSpPr>
            <xdr:cNvPr id="1025" name="Object 1" descr="Pecan Cooperative Template User Guide icon with the PDF logo above it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M35"/>
  <sheetViews>
    <sheetView showGridLines="0" tabSelected="1" zoomScaleNormal="100" workbookViewId="0">
      <selection activeCell="V21" sqref="V21"/>
    </sheetView>
  </sheetViews>
  <sheetFormatPr defaultColWidth="8.88671875" defaultRowHeight="13.2"/>
  <cols>
    <col min="1" max="1" width="21.88671875" customWidth="1"/>
    <col min="2" max="2" width="8.88671875" customWidth="1"/>
    <col min="3" max="3" width="9.44140625" customWidth="1"/>
    <col min="4" max="4" width="8.88671875" customWidth="1"/>
    <col min="5" max="5" width="21" bestFit="1" customWidth="1"/>
    <col min="6" max="10" width="8.88671875" customWidth="1"/>
    <col min="11" max="12" width="9.6640625" bestFit="1" customWidth="1"/>
  </cols>
  <sheetData>
    <row r="14" spans="1:9" ht="22.8">
      <c r="A14" s="430" t="s">
        <v>461</v>
      </c>
      <c r="B14" s="431"/>
      <c r="C14" s="431"/>
      <c r="D14" s="431"/>
      <c r="E14" s="431"/>
      <c r="F14" s="431"/>
      <c r="G14" s="431"/>
      <c r="H14" s="15"/>
      <c r="I14" s="15"/>
    </row>
    <row r="15" spans="1:9" ht="17.399999999999999">
      <c r="A15" s="19"/>
      <c r="B15" s="15"/>
      <c r="C15" s="15"/>
      <c r="D15" s="15"/>
      <c r="E15" s="15"/>
      <c r="F15" s="15"/>
      <c r="G15" s="15"/>
      <c r="H15" s="15"/>
      <c r="I15" s="15"/>
    </row>
    <row r="16" spans="1:9" ht="17.399999999999999">
      <c r="A16" s="19" t="s">
        <v>118</v>
      </c>
      <c r="B16" s="20" t="s">
        <v>462</v>
      </c>
      <c r="C16" s="15"/>
      <c r="D16" s="15"/>
      <c r="E16" s="15"/>
      <c r="F16" s="15"/>
      <c r="G16" s="15"/>
      <c r="H16" s="15"/>
      <c r="I16" s="15"/>
    </row>
    <row r="17" spans="1:13" ht="17.399999999999999">
      <c r="A17" s="19"/>
      <c r="B17" s="15"/>
      <c r="C17" s="15"/>
      <c r="D17" s="15"/>
      <c r="E17" s="15"/>
      <c r="F17" s="15"/>
      <c r="G17" s="15"/>
      <c r="H17" s="15"/>
      <c r="I17" s="15"/>
    </row>
    <row r="18" spans="1:13" ht="16.8">
      <c r="A18" s="21" t="s">
        <v>471</v>
      </c>
      <c r="B18" s="15"/>
      <c r="C18" s="15"/>
      <c r="D18" s="15"/>
      <c r="E18" s="15"/>
      <c r="F18" s="15"/>
      <c r="G18" s="15"/>
      <c r="H18" s="15"/>
      <c r="I18" s="15"/>
    </row>
    <row r="19" spans="1:13" ht="16.8">
      <c r="A19" s="21" t="s">
        <v>458</v>
      </c>
      <c r="B19" s="15"/>
      <c r="C19" s="15"/>
      <c r="D19" s="230"/>
      <c r="E19" s="15"/>
      <c r="F19" s="15"/>
      <c r="G19" s="15"/>
      <c r="H19" s="15"/>
      <c r="I19" s="15"/>
    </row>
    <row r="20" spans="1:13" ht="16.8">
      <c r="A20" s="21" t="s">
        <v>134</v>
      </c>
      <c r="B20" s="15"/>
      <c r="C20" s="15"/>
      <c r="D20" s="15"/>
      <c r="E20" s="15"/>
      <c r="F20" s="15"/>
      <c r="G20" s="15"/>
      <c r="H20" s="15"/>
      <c r="I20" s="15"/>
      <c r="M20" s="2"/>
    </row>
    <row r="21" spans="1:13" ht="16.8">
      <c r="A21" s="21" t="s">
        <v>133</v>
      </c>
      <c r="B21" s="15"/>
      <c r="C21" s="15"/>
      <c r="D21" s="15"/>
      <c r="E21" s="15"/>
      <c r="F21" s="15"/>
      <c r="G21" s="15"/>
      <c r="H21" s="15"/>
      <c r="I21" s="15"/>
    </row>
    <row r="22" spans="1:13" ht="16.8">
      <c r="A22" s="21" t="s">
        <v>117</v>
      </c>
      <c r="B22" s="15"/>
      <c r="C22" s="15"/>
      <c r="D22" s="15"/>
      <c r="E22" s="15"/>
      <c r="F22" s="15"/>
      <c r="G22" s="15"/>
      <c r="H22" s="15"/>
      <c r="I22" s="15"/>
    </row>
    <row r="23" spans="1:13">
      <c r="A23" s="15"/>
      <c r="B23" s="15"/>
      <c r="C23" s="15"/>
      <c r="D23" s="15"/>
      <c r="E23" s="15"/>
      <c r="F23" s="15"/>
      <c r="G23" s="15"/>
      <c r="H23" s="15"/>
      <c r="I23" s="15"/>
    </row>
    <row r="24" spans="1:13" ht="16.8">
      <c r="A24" s="21" t="s">
        <v>119</v>
      </c>
      <c r="B24" s="15"/>
      <c r="C24" s="15"/>
      <c r="D24" s="15"/>
      <c r="E24" s="15"/>
      <c r="F24" s="15"/>
      <c r="G24" s="15"/>
      <c r="H24" s="15"/>
      <c r="I24" s="15"/>
    </row>
    <row r="25" spans="1:13">
      <c r="A25" s="15"/>
      <c r="B25" s="15"/>
      <c r="C25" s="15"/>
      <c r="D25" s="15"/>
      <c r="E25" s="15"/>
      <c r="F25" s="15"/>
      <c r="G25" s="15"/>
      <c r="H25" s="15"/>
      <c r="I25" s="15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</row>
    <row r="28" spans="1:13">
      <c r="A28" s="22" t="s">
        <v>120</v>
      </c>
      <c r="B28" s="22"/>
      <c r="C28" s="22"/>
      <c r="D28" s="22" t="s">
        <v>463</v>
      </c>
      <c r="E28" s="15"/>
      <c r="F28" s="15"/>
      <c r="G28" s="15"/>
      <c r="H28" s="15"/>
      <c r="I28" s="15"/>
    </row>
    <row r="29" spans="1:13">
      <c r="A29" s="14"/>
      <c r="B29" s="14"/>
      <c r="C29" s="14"/>
      <c r="D29" s="16" t="s">
        <v>132</v>
      </c>
      <c r="E29" s="14"/>
      <c r="F29" s="14"/>
      <c r="G29" s="14"/>
      <c r="H29" s="14"/>
      <c r="I29" s="14"/>
    </row>
    <row r="30" spans="1:13">
      <c r="A30" s="14"/>
      <c r="B30" s="14"/>
      <c r="C30" s="14"/>
      <c r="D30" s="16" t="s">
        <v>460</v>
      </c>
      <c r="E30" s="14"/>
      <c r="F30" s="14"/>
      <c r="G30" s="14"/>
      <c r="H30" s="14"/>
      <c r="I30" s="14"/>
    </row>
    <row r="32" spans="1:13" ht="22.8">
      <c r="A32" s="26" t="s">
        <v>144</v>
      </c>
    </row>
    <row r="33" spans="5:5" ht="13.8" thickBot="1"/>
    <row r="34" spans="5:5" ht="13.8" thickBot="1">
      <c r="E34" s="27" t="s">
        <v>146</v>
      </c>
    </row>
    <row r="35" spans="5:5" ht="13.8" thickBot="1">
      <c r="E35" s="429" t="s">
        <v>145</v>
      </c>
    </row>
  </sheetData>
  <phoneticPr fontId="0" type="noConversion"/>
  <hyperlinks>
    <hyperlink ref="E35" location="'Input Value'!A1" display="FORWARD TO INPUTS" xr:uid="{00000000-0004-0000-0000-000000000000}"/>
  </hyperlinks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altText="Pecan Cooperative Template User Guide icon with the PDF logo above it." r:id="rId5">
            <anchor moveWithCells="1">
              <from>
                <xdr:col>0</xdr:col>
                <xdr:colOff>304800</xdr:colOff>
                <xdr:row>33</xdr:row>
                <xdr:rowOff>7620</xdr:rowOff>
              </from>
              <to>
                <xdr:col>2</xdr:col>
                <xdr:colOff>563880</xdr:colOff>
                <xdr:row>43</xdr:row>
                <xdr:rowOff>106680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9"/>
  <sheetViews>
    <sheetView showGridLines="0" zoomScaleNormal="100" workbookViewId="0">
      <selection activeCell="A4" sqref="A4:C4"/>
    </sheetView>
  </sheetViews>
  <sheetFormatPr defaultColWidth="8.88671875" defaultRowHeight="13.2"/>
  <cols>
    <col min="1" max="1" width="48.109375" customWidth="1"/>
    <col min="2" max="2" width="38.88671875" customWidth="1"/>
    <col min="3" max="3" width="14" bestFit="1" customWidth="1"/>
    <col min="4" max="4" width="12.109375" customWidth="1"/>
    <col min="5" max="5" width="16.109375" customWidth="1"/>
    <col min="6" max="6" width="26" customWidth="1"/>
    <col min="7" max="7" width="12.33203125" bestFit="1" customWidth="1"/>
    <col min="8" max="8" width="11.44140625" customWidth="1"/>
    <col min="12" max="12" width="9.109375" bestFit="1" customWidth="1"/>
  </cols>
  <sheetData>
    <row r="1" spans="1:16" ht="13.8" thickBot="1">
      <c r="A1" s="466" t="s">
        <v>146</v>
      </c>
      <c r="B1" s="467"/>
      <c r="C1" s="468"/>
    </row>
    <row r="2" spans="1:16" ht="13.8" thickBot="1">
      <c r="A2" s="469" t="s">
        <v>153</v>
      </c>
      <c r="B2" s="470"/>
      <c r="C2" s="471"/>
    </row>
    <row r="3" spans="1:16" ht="13.8" thickBot="1">
      <c r="A3" s="469" t="s">
        <v>151</v>
      </c>
      <c r="B3" s="470"/>
      <c r="C3" s="471"/>
    </row>
    <row r="4" spans="1:16" ht="13.8" thickBot="1">
      <c r="A4" s="469" t="s">
        <v>154</v>
      </c>
      <c r="B4" s="470"/>
      <c r="C4" s="471"/>
    </row>
    <row r="6" spans="1:16" ht="13.8" thickBot="1">
      <c r="A6" s="1" t="s">
        <v>123</v>
      </c>
    </row>
    <row r="7" spans="1:16">
      <c r="A7" s="241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3"/>
      <c r="N7" s="478"/>
      <c r="O7" s="478"/>
      <c r="P7" s="478"/>
    </row>
    <row r="8" spans="1:16">
      <c r="A8" s="246" t="s">
        <v>48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15"/>
      <c r="N8" s="33"/>
    </row>
    <row r="9" spans="1:16">
      <c r="A9" s="389" t="s">
        <v>44</v>
      </c>
      <c r="B9" s="390" t="s">
        <v>66</v>
      </c>
      <c r="C9" s="391"/>
      <c r="D9" s="391"/>
      <c r="E9" s="391"/>
      <c r="F9" s="391"/>
      <c r="G9" s="391"/>
      <c r="H9" s="391"/>
      <c r="I9" s="391"/>
      <c r="J9" s="391"/>
      <c r="K9" s="391"/>
      <c r="L9" s="392"/>
      <c r="M9" s="40"/>
      <c r="N9" s="33"/>
      <c r="O9" s="34"/>
    </row>
    <row r="10" spans="1:16">
      <c r="A10" s="232" t="s">
        <v>45</v>
      </c>
      <c r="B10" s="108" t="s">
        <v>84</v>
      </c>
      <c r="C10" s="393"/>
      <c r="D10" s="15"/>
      <c r="E10" s="15"/>
      <c r="F10" s="15"/>
      <c r="G10" s="15"/>
      <c r="H10" s="15"/>
      <c r="I10" s="15"/>
      <c r="J10" s="15"/>
      <c r="K10" s="15"/>
      <c r="L10" s="394"/>
      <c r="M10" s="40"/>
      <c r="N10" s="33"/>
      <c r="O10" s="34"/>
    </row>
    <row r="11" spans="1:16">
      <c r="A11" s="232" t="s">
        <v>46</v>
      </c>
      <c r="B11" s="108" t="s">
        <v>85</v>
      </c>
      <c r="C11" s="393"/>
      <c r="D11" s="15"/>
      <c r="E11" s="15"/>
      <c r="F11" s="15"/>
      <c r="G11" s="15"/>
      <c r="H11" s="15"/>
      <c r="I11" s="15"/>
      <c r="J11" s="15"/>
      <c r="K11" s="15"/>
      <c r="L11" s="395"/>
      <c r="M11" s="40"/>
      <c r="N11" s="33"/>
      <c r="O11" s="34"/>
    </row>
    <row r="12" spans="1:16">
      <c r="A12" s="396" t="s">
        <v>47</v>
      </c>
      <c r="B12" s="397" t="s">
        <v>86</v>
      </c>
      <c r="C12" s="398"/>
      <c r="D12" s="385"/>
      <c r="E12" s="385"/>
      <c r="F12" s="385"/>
      <c r="G12" s="385"/>
      <c r="H12" s="385"/>
      <c r="I12" s="385"/>
      <c r="J12" s="385"/>
      <c r="K12" s="385"/>
      <c r="L12" s="386"/>
      <c r="N12" s="33"/>
      <c r="O12" s="34"/>
    </row>
    <row r="13" spans="1:16">
      <c r="A13" s="249"/>
      <c r="B13" s="14"/>
      <c r="C13" s="247"/>
      <c r="D13" s="14"/>
      <c r="E13" s="14"/>
      <c r="F13" s="14"/>
      <c r="G13" s="14"/>
      <c r="H13" s="14"/>
      <c r="I13" s="14"/>
      <c r="J13" s="14"/>
      <c r="K13" s="14"/>
      <c r="L13" s="115"/>
      <c r="N13" s="33"/>
      <c r="O13" s="34"/>
    </row>
    <row r="14" spans="1:16">
      <c r="A14" s="249"/>
      <c r="B14" s="14"/>
      <c r="C14" s="247"/>
      <c r="D14" s="14"/>
      <c r="E14" s="14"/>
      <c r="F14" s="14"/>
      <c r="G14" s="14"/>
      <c r="H14" s="14"/>
      <c r="I14" s="14"/>
      <c r="J14" s="14"/>
      <c r="K14" s="14"/>
      <c r="L14" s="115"/>
      <c r="N14" s="33"/>
      <c r="P14" s="35"/>
    </row>
    <row r="15" spans="1:16" ht="13.8" thickBot="1">
      <c r="A15" s="114" t="s">
        <v>44</v>
      </c>
      <c r="B15" s="250"/>
      <c r="C15" s="14"/>
      <c r="D15" s="14"/>
      <c r="E15" s="14"/>
      <c r="F15" s="16" t="s">
        <v>45</v>
      </c>
      <c r="G15" s="14"/>
      <c r="H15" s="14"/>
      <c r="I15" s="14"/>
      <c r="J15" s="14"/>
      <c r="K15" s="14"/>
      <c r="L15" s="115"/>
      <c r="N15" s="473"/>
      <c r="O15" s="473"/>
      <c r="P15" s="473"/>
    </row>
    <row r="16" spans="1:16">
      <c r="A16" s="241"/>
      <c r="B16" s="278" t="s">
        <v>76</v>
      </c>
      <c r="C16" s="200" t="s">
        <v>77</v>
      </c>
      <c r="D16" s="113" t="s">
        <v>72</v>
      </c>
      <c r="E16" s="14"/>
      <c r="F16" s="241"/>
      <c r="G16" s="278" t="s">
        <v>76</v>
      </c>
      <c r="H16" s="283" t="s">
        <v>77</v>
      </c>
      <c r="I16" s="14"/>
      <c r="J16" s="14"/>
      <c r="K16" s="14"/>
      <c r="L16" s="115"/>
      <c r="N16" s="33"/>
      <c r="O16" s="34"/>
    </row>
    <row r="17" spans="1:16">
      <c r="A17" s="474" t="s">
        <v>402</v>
      </c>
      <c r="B17" s="475"/>
      <c r="C17" s="233">
        <v>96960</v>
      </c>
      <c r="D17" s="279">
        <v>15000</v>
      </c>
      <c r="E17" s="14"/>
      <c r="F17" s="474" t="s">
        <v>333</v>
      </c>
      <c r="G17" s="475"/>
      <c r="H17" s="284">
        <v>72334</v>
      </c>
      <c r="I17" s="14"/>
      <c r="J17" s="14"/>
      <c r="K17" s="14"/>
      <c r="L17" s="115"/>
      <c r="N17" s="33"/>
      <c r="O17" s="34"/>
    </row>
    <row r="18" spans="1:16">
      <c r="A18" s="474" t="s">
        <v>403</v>
      </c>
      <c r="B18" s="475"/>
      <c r="C18" s="233">
        <v>54000</v>
      </c>
      <c r="D18" s="279">
        <v>2000</v>
      </c>
      <c r="E18" s="14"/>
      <c r="F18" s="476"/>
      <c r="G18" s="475"/>
      <c r="H18" s="284"/>
      <c r="I18" s="14"/>
      <c r="J18" s="14"/>
      <c r="K18" s="14"/>
      <c r="L18" s="115"/>
      <c r="N18" s="33"/>
      <c r="O18" s="34"/>
    </row>
    <row r="19" spans="1:16">
      <c r="A19" s="474" t="s">
        <v>404</v>
      </c>
      <c r="B19" s="475"/>
      <c r="C19" s="233">
        <v>54000</v>
      </c>
      <c r="D19" s="279">
        <v>8000</v>
      </c>
      <c r="E19" s="14"/>
      <c r="F19" s="476"/>
      <c r="G19" s="475"/>
      <c r="H19" s="284"/>
      <c r="I19" s="14"/>
      <c r="J19" s="14"/>
      <c r="K19" s="14"/>
      <c r="L19" s="115"/>
      <c r="N19" s="33"/>
      <c r="O19" s="34"/>
    </row>
    <row r="20" spans="1:16">
      <c r="A20" s="474" t="s">
        <v>78</v>
      </c>
      <c r="B20" s="475"/>
      <c r="C20" s="233"/>
      <c r="D20" s="279"/>
      <c r="E20" s="14"/>
      <c r="F20" s="477"/>
      <c r="G20" s="475"/>
      <c r="H20" s="284"/>
      <c r="I20" s="14"/>
      <c r="J20" s="14"/>
      <c r="K20" s="14"/>
      <c r="L20" s="115"/>
      <c r="N20" s="33"/>
      <c r="O20" s="34"/>
    </row>
    <row r="21" spans="1:16">
      <c r="A21" s="474" t="s">
        <v>79</v>
      </c>
      <c r="B21" s="475"/>
      <c r="C21" s="233"/>
      <c r="D21" s="279"/>
      <c r="E21" s="14"/>
      <c r="F21" s="477"/>
      <c r="G21" s="475"/>
      <c r="H21" s="284"/>
      <c r="I21" s="14"/>
      <c r="J21" s="14"/>
      <c r="K21" s="14"/>
      <c r="L21" s="115"/>
      <c r="N21" s="33"/>
      <c r="O21" s="34"/>
    </row>
    <row r="22" spans="1:16" ht="13.8" thickBot="1">
      <c r="A22" s="222" t="s">
        <v>80</v>
      </c>
      <c r="B22" s="280"/>
      <c r="C22" s="281">
        <f>SUM(C17:C21)</f>
        <v>204960</v>
      </c>
      <c r="D22" s="282">
        <f>SUM(D17:D21)</f>
        <v>25000</v>
      </c>
      <c r="E22" s="14"/>
      <c r="F22" s="222" t="s">
        <v>82</v>
      </c>
      <c r="G22" s="280"/>
      <c r="H22" s="286">
        <f>SUM(H17:H21)</f>
        <v>72334</v>
      </c>
      <c r="I22" s="14"/>
      <c r="J22" s="14"/>
      <c r="K22" s="14"/>
      <c r="L22" s="115"/>
      <c r="N22" s="33"/>
      <c r="O22" s="34"/>
    </row>
    <row r="23" spans="1:16">
      <c r="A23" s="116"/>
      <c r="B23" s="250"/>
      <c r="C23" s="14"/>
      <c r="D23" s="14"/>
      <c r="E23" s="14"/>
      <c r="F23" s="14"/>
      <c r="G23" s="14"/>
      <c r="H23" s="210"/>
      <c r="I23" s="14"/>
      <c r="J23" s="14"/>
      <c r="K23" s="14"/>
      <c r="L23" s="115"/>
      <c r="N23" s="33"/>
      <c r="O23" s="34"/>
    </row>
    <row r="24" spans="1:16" ht="13.8" thickBot="1">
      <c r="A24" s="114" t="s">
        <v>46</v>
      </c>
      <c r="B24" s="14"/>
      <c r="C24" s="14"/>
      <c r="D24" s="14"/>
      <c r="E24" s="14"/>
      <c r="F24" s="16" t="s">
        <v>47</v>
      </c>
      <c r="G24" s="250"/>
      <c r="H24" s="210"/>
      <c r="I24" s="14"/>
      <c r="J24" s="14"/>
      <c r="K24" s="14"/>
      <c r="L24" s="115"/>
      <c r="N24" s="33"/>
      <c r="O24" s="34"/>
    </row>
    <row r="25" spans="1:16">
      <c r="A25" s="241"/>
      <c r="B25" s="278" t="s">
        <v>306</v>
      </c>
      <c r="C25" s="283" t="s">
        <v>77</v>
      </c>
      <c r="D25" s="14"/>
      <c r="E25" s="14"/>
      <c r="F25" s="241"/>
      <c r="G25" s="278" t="s">
        <v>76</v>
      </c>
      <c r="H25" s="287" t="s">
        <v>77</v>
      </c>
      <c r="I25" s="14"/>
      <c r="J25" s="14"/>
      <c r="K25" s="14"/>
      <c r="L25" s="115"/>
      <c r="N25" s="33"/>
      <c r="O25" s="34"/>
    </row>
    <row r="26" spans="1:16">
      <c r="A26" s="261" t="s">
        <v>342</v>
      </c>
      <c r="B26" s="263" t="s">
        <v>348</v>
      </c>
      <c r="C26" s="284">
        <v>7135</v>
      </c>
      <c r="D26" s="14"/>
      <c r="E26" s="14"/>
      <c r="F26" s="474" t="s">
        <v>335</v>
      </c>
      <c r="G26" s="475"/>
      <c r="H26" s="284">
        <v>100000</v>
      </c>
      <c r="I26" s="14"/>
      <c r="J26" s="14"/>
      <c r="K26" s="14"/>
      <c r="L26" s="115"/>
      <c r="N26" s="33"/>
      <c r="P26" s="35"/>
    </row>
    <row r="27" spans="1:16">
      <c r="A27" s="261" t="s">
        <v>341</v>
      </c>
      <c r="B27" s="263" t="s">
        <v>348</v>
      </c>
      <c r="C27" s="284">
        <v>4238</v>
      </c>
      <c r="D27" s="14"/>
      <c r="E27" s="14"/>
      <c r="F27" s="474" t="s">
        <v>308</v>
      </c>
      <c r="G27" s="475"/>
      <c r="H27" s="284">
        <v>25000</v>
      </c>
      <c r="I27" s="14"/>
      <c r="J27" s="14"/>
      <c r="K27" s="14"/>
      <c r="L27" s="115"/>
      <c r="N27" s="473"/>
      <c r="O27" s="473"/>
      <c r="P27" s="473"/>
    </row>
    <row r="28" spans="1:16">
      <c r="A28" s="261" t="s">
        <v>344</v>
      </c>
      <c r="B28" s="263" t="s">
        <v>347</v>
      </c>
      <c r="C28" s="284">
        <f>24335*2</f>
        <v>48670</v>
      </c>
      <c r="D28" s="14"/>
      <c r="E28" s="14"/>
      <c r="F28" s="476"/>
      <c r="G28" s="475"/>
      <c r="H28" s="284"/>
      <c r="I28" s="14"/>
      <c r="J28" s="14"/>
      <c r="K28" s="14"/>
      <c r="L28" s="115"/>
      <c r="N28" s="33"/>
      <c r="O28" s="34"/>
    </row>
    <row r="29" spans="1:16">
      <c r="A29" s="261" t="s">
        <v>410</v>
      </c>
      <c r="B29" s="263" t="s">
        <v>349</v>
      </c>
      <c r="C29" s="284">
        <f>6135*4</f>
        <v>24540</v>
      </c>
      <c r="D29" s="14"/>
      <c r="E29" s="14"/>
      <c r="F29" s="477"/>
      <c r="G29" s="475"/>
      <c r="H29" s="284"/>
      <c r="I29" s="14"/>
      <c r="J29" s="14"/>
      <c r="K29" s="14"/>
      <c r="L29" s="115"/>
      <c r="N29" s="33"/>
      <c r="P29" s="35"/>
    </row>
    <row r="30" spans="1:16" ht="15.6">
      <c r="A30" s="264" t="s">
        <v>409</v>
      </c>
      <c r="B30" s="263" t="s">
        <v>348</v>
      </c>
      <c r="C30" s="284">
        <v>18556</v>
      </c>
      <c r="D30" s="14"/>
      <c r="E30" s="14"/>
      <c r="F30" s="477"/>
      <c r="G30" s="475"/>
      <c r="H30" s="284"/>
      <c r="I30" s="14"/>
      <c r="J30" s="14"/>
      <c r="K30" s="14"/>
      <c r="L30" s="115"/>
      <c r="N30" s="473"/>
      <c r="O30" s="473"/>
      <c r="P30" s="473"/>
    </row>
    <row r="31" spans="1:16" ht="15.6">
      <c r="A31" s="264" t="s">
        <v>345</v>
      </c>
      <c r="B31" s="263" t="s">
        <v>347</v>
      </c>
      <c r="C31" s="284">
        <f>19835*2</f>
        <v>39670</v>
      </c>
      <c r="D31" s="14"/>
      <c r="E31" s="14"/>
      <c r="F31" s="285"/>
      <c r="G31" s="262"/>
      <c r="H31" s="284"/>
      <c r="I31" s="14"/>
      <c r="J31" s="14"/>
      <c r="K31" s="14"/>
      <c r="L31" s="115"/>
      <c r="N31" s="33"/>
      <c r="O31" s="33"/>
      <c r="P31" s="33"/>
    </row>
    <row r="32" spans="1:16" ht="15.6">
      <c r="A32" s="264" t="s">
        <v>346</v>
      </c>
      <c r="B32" s="263" t="s">
        <v>348</v>
      </c>
      <c r="C32" s="284">
        <v>16835</v>
      </c>
      <c r="D32" s="14"/>
      <c r="E32" s="14"/>
      <c r="F32" s="285"/>
      <c r="G32" s="262"/>
      <c r="H32" s="284"/>
      <c r="I32" s="14"/>
      <c r="J32" s="14"/>
      <c r="K32" s="14"/>
      <c r="L32" s="115"/>
      <c r="N32" s="33"/>
      <c r="O32" s="33"/>
      <c r="P32" s="33"/>
    </row>
    <row r="33" spans="1:16" ht="15.6">
      <c r="A33" s="264" t="s">
        <v>343</v>
      </c>
      <c r="B33" s="263" t="s">
        <v>348</v>
      </c>
      <c r="C33" s="284">
        <v>87994</v>
      </c>
      <c r="D33" s="14"/>
      <c r="E33" s="14"/>
      <c r="F33" s="285"/>
      <c r="G33" s="262"/>
      <c r="H33" s="284"/>
      <c r="I33" s="14"/>
      <c r="J33" s="14"/>
      <c r="K33" s="14"/>
      <c r="L33" s="115"/>
      <c r="N33" s="33"/>
      <c r="O33" s="33"/>
      <c r="P33" s="33"/>
    </row>
    <row r="34" spans="1:16" ht="15.6">
      <c r="A34" s="265" t="s">
        <v>408</v>
      </c>
      <c r="B34" s="263" t="s">
        <v>348</v>
      </c>
      <c r="C34" s="284">
        <v>58560</v>
      </c>
      <c r="D34" s="14"/>
      <c r="E34" s="14"/>
      <c r="F34" s="285"/>
      <c r="G34" s="262"/>
      <c r="H34" s="284"/>
      <c r="I34" s="14"/>
      <c r="J34" s="14"/>
      <c r="K34" s="14"/>
      <c r="L34" s="115"/>
      <c r="N34" s="33"/>
      <c r="O34" s="33"/>
      <c r="P34" s="33"/>
    </row>
    <row r="35" spans="1:16" ht="15.6">
      <c r="A35" s="265" t="s">
        <v>392</v>
      </c>
      <c r="B35" s="263" t="s">
        <v>348</v>
      </c>
      <c r="C35" s="284">
        <v>19500</v>
      </c>
      <c r="D35" s="14"/>
      <c r="E35" s="14"/>
      <c r="F35" s="285"/>
      <c r="G35" s="262"/>
      <c r="H35" s="284"/>
      <c r="I35" s="14"/>
      <c r="J35" s="14"/>
      <c r="K35" s="14"/>
      <c r="L35" s="115"/>
      <c r="N35" s="33"/>
      <c r="O35" s="33"/>
      <c r="P35" s="33"/>
    </row>
    <row r="36" spans="1:16">
      <c r="A36" s="266" t="s">
        <v>305</v>
      </c>
      <c r="B36" s="262"/>
      <c r="C36" s="284">
        <v>20000</v>
      </c>
      <c r="D36" s="14"/>
      <c r="E36" s="14"/>
      <c r="F36" s="285"/>
      <c r="G36" s="262"/>
      <c r="H36" s="284"/>
      <c r="I36" s="14"/>
      <c r="J36" s="14"/>
      <c r="K36" s="14"/>
      <c r="L36" s="115"/>
      <c r="N36" s="33"/>
      <c r="O36" s="33"/>
      <c r="P36" s="33"/>
    </row>
    <row r="37" spans="1:16">
      <c r="A37" s="116"/>
      <c r="B37" s="14"/>
      <c r="C37" s="115"/>
      <c r="D37" s="14"/>
      <c r="E37" s="14"/>
      <c r="F37" s="285"/>
      <c r="G37" s="262"/>
      <c r="H37" s="284"/>
      <c r="I37" s="14"/>
      <c r="J37" s="14"/>
      <c r="K37" s="14"/>
      <c r="L37" s="115"/>
      <c r="N37" s="33"/>
      <c r="O37" s="33"/>
      <c r="P37" s="33"/>
    </row>
    <row r="38" spans="1:16" ht="13.8" thickBot="1">
      <c r="A38" s="222" t="s">
        <v>81</v>
      </c>
      <c r="B38" s="280"/>
      <c r="C38" s="286">
        <f>SUM(C26:C36)</f>
        <v>345698</v>
      </c>
      <c r="D38" s="14"/>
      <c r="E38" s="14"/>
      <c r="F38" s="222" t="s">
        <v>83</v>
      </c>
      <c r="G38" s="280"/>
      <c r="H38" s="286">
        <f>SUM(H26:H30)</f>
        <v>125000</v>
      </c>
      <c r="I38" s="110"/>
      <c r="J38" s="110"/>
      <c r="K38" s="110"/>
      <c r="L38" s="223"/>
      <c r="M38" s="4"/>
      <c r="N38" s="33"/>
      <c r="O38" s="34"/>
    </row>
    <row r="39" spans="1:16" ht="13.8" thickBot="1">
      <c r="A39" s="116"/>
      <c r="B39" s="250"/>
      <c r="C39" s="252"/>
      <c r="D39" s="14"/>
      <c r="E39" s="14"/>
      <c r="F39" s="110"/>
      <c r="G39" s="237"/>
      <c r="H39" s="110"/>
      <c r="I39" s="110"/>
      <c r="J39" s="110"/>
      <c r="K39" s="110"/>
      <c r="L39" s="223"/>
      <c r="M39" s="4"/>
      <c r="N39" s="33"/>
      <c r="O39" s="34"/>
    </row>
    <row r="40" spans="1:16">
      <c r="A40" s="199" t="s">
        <v>90</v>
      </c>
      <c r="B40" s="288"/>
      <c r="C40" s="289">
        <f>+C22+H22+C38+H38</f>
        <v>747992</v>
      </c>
      <c r="D40" s="14"/>
      <c r="E40" s="14"/>
      <c r="F40" s="110"/>
      <c r="G40" s="110"/>
      <c r="H40" s="110"/>
      <c r="I40" s="110"/>
      <c r="J40" s="110"/>
      <c r="K40" s="110"/>
      <c r="L40" s="223"/>
      <c r="M40" s="4"/>
      <c r="N40" s="33"/>
      <c r="P40" s="35"/>
    </row>
    <row r="41" spans="1:16">
      <c r="A41" s="114" t="s">
        <v>109</v>
      </c>
      <c r="B41" s="250"/>
      <c r="C41" s="284">
        <v>175000</v>
      </c>
      <c r="D41" s="14"/>
      <c r="E41" s="14"/>
      <c r="F41" s="110"/>
      <c r="G41" s="110"/>
      <c r="H41" s="110"/>
      <c r="I41" s="110"/>
      <c r="J41" s="110"/>
      <c r="K41" s="110"/>
      <c r="L41" s="223"/>
      <c r="M41" s="4"/>
      <c r="N41" s="473"/>
      <c r="O41" s="473"/>
      <c r="P41" s="473"/>
    </row>
    <row r="42" spans="1:16" ht="13.8" thickBot="1">
      <c r="A42" s="222" t="s">
        <v>110</v>
      </c>
      <c r="B42" s="280"/>
      <c r="C42" s="286">
        <f>+C40+C41</f>
        <v>922992</v>
      </c>
      <c r="D42" s="14"/>
      <c r="E42" s="290" t="s">
        <v>334</v>
      </c>
      <c r="F42" s="110"/>
      <c r="G42" s="202">
        <f>C42/'Input Value'!G8</f>
        <v>1.4274985307309227</v>
      </c>
      <c r="H42" s="110"/>
      <c r="I42" s="110"/>
      <c r="J42" s="110"/>
      <c r="K42" s="110"/>
      <c r="L42" s="223"/>
      <c r="M42" s="4"/>
      <c r="N42" s="33"/>
      <c r="O42" s="34"/>
    </row>
    <row r="43" spans="1:16">
      <c r="A43" s="114"/>
      <c r="B43" s="250"/>
      <c r="C43" s="14"/>
      <c r="D43" s="14"/>
      <c r="E43" s="14"/>
      <c r="F43" s="110"/>
      <c r="G43" s="110"/>
      <c r="H43" s="110"/>
      <c r="I43" s="110"/>
      <c r="J43" s="110"/>
      <c r="K43" s="110"/>
      <c r="L43" s="223"/>
      <c r="M43" s="4"/>
      <c r="N43" s="33"/>
      <c r="O43" s="34"/>
    </row>
    <row r="44" spans="1:16">
      <c r="A44" s="1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223"/>
      <c r="M44" s="4"/>
      <c r="N44" s="33"/>
      <c r="O44" s="34"/>
    </row>
    <row r="45" spans="1:16">
      <c r="A45" s="114"/>
      <c r="B45" s="267"/>
      <c r="C45" s="268"/>
      <c r="D45" s="269"/>
      <c r="E45" s="268"/>
      <c r="F45" s="270"/>
      <c r="G45" s="269"/>
      <c r="H45" s="270"/>
      <c r="I45" s="270"/>
      <c r="J45" s="269"/>
      <c r="K45" s="270"/>
      <c r="L45" s="271"/>
      <c r="M45" s="4"/>
      <c r="N45" s="33"/>
      <c r="O45" s="34"/>
    </row>
    <row r="46" spans="1:16">
      <c r="A46" s="24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5"/>
      <c r="N46" s="33"/>
      <c r="P46" s="35"/>
    </row>
    <row r="47" spans="1:16">
      <c r="A47" s="11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15"/>
      <c r="N47" s="473"/>
      <c r="O47" s="473"/>
      <c r="P47" s="473"/>
    </row>
    <row r="48" spans="1:16">
      <c r="A48" s="116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15"/>
      <c r="N48" s="33"/>
      <c r="O48" s="34"/>
    </row>
    <row r="49" spans="1:15">
      <c r="A49" s="399" t="s">
        <v>337</v>
      </c>
      <c r="B49" s="400" t="s">
        <v>0</v>
      </c>
      <c r="C49" s="400" t="s">
        <v>1</v>
      </c>
      <c r="D49" s="400" t="s">
        <v>2</v>
      </c>
      <c r="E49" s="400" t="s">
        <v>3</v>
      </c>
      <c r="F49" s="400" t="s">
        <v>4</v>
      </c>
      <c r="G49" s="400" t="s">
        <v>5</v>
      </c>
      <c r="H49" s="400" t="s">
        <v>6</v>
      </c>
      <c r="I49" s="400" t="s">
        <v>7</v>
      </c>
      <c r="J49" s="400" t="s">
        <v>8</v>
      </c>
      <c r="K49" s="400" t="s">
        <v>9</v>
      </c>
      <c r="L49" s="401"/>
      <c r="N49" s="33"/>
      <c r="O49" s="34"/>
    </row>
    <row r="50" spans="1:15">
      <c r="A50" s="116" t="s">
        <v>44</v>
      </c>
      <c r="B50" s="110">
        <f>B69</f>
        <v>4614.3589743589746</v>
      </c>
      <c r="C50" s="110">
        <f>B50</f>
        <v>4614.3589743589746</v>
      </c>
      <c r="D50" s="110">
        <f t="shared" ref="D50:K50" si="0">C50</f>
        <v>4614.3589743589746</v>
      </c>
      <c r="E50" s="110">
        <f t="shared" si="0"/>
        <v>4614.3589743589746</v>
      </c>
      <c r="F50" s="110">
        <f t="shared" si="0"/>
        <v>4614.3589743589746</v>
      </c>
      <c r="G50" s="110">
        <f t="shared" si="0"/>
        <v>4614.3589743589746</v>
      </c>
      <c r="H50" s="110">
        <f t="shared" si="0"/>
        <v>4614.3589743589746</v>
      </c>
      <c r="I50" s="110">
        <f t="shared" si="0"/>
        <v>4614.3589743589746</v>
      </c>
      <c r="J50" s="110">
        <f t="shared" si="0"/>
        <v>4614.3589743589746</v>
      </c>
      <c r="K50" s="110">
        <f t="shared" si="0"/>
        <v>4614.3589743589746</v>
      </c>
      <c r="L50" s="115"/>
      <c r="N50" s="33"/>
      <c r="O50" s="34"/>
    </row>
    <row r="51" spans="1:15">
      <c r="A51" s="116" t="s">
        <v>45</v>
      </c>
      <c r="B51" s="110">
        <f>B77</f>
        <v>7233.4000000000005</v>
      </c>
      <c r="C51" s="110">
        <f>B78</f>
        <v>10126.76</v>
      </c>
      <c r="D51" s="110">
        <f>B79</f>
        <v>10126.76</v>
      </c>
      <c r="E51" s="110">
        <f>B80</f>
        <v>10126.76</v>
      </c>
      <c r="F51" s="110">
        <f>B81</f>
        <v>10126.76</v>
      </c>
      <c r="G51" s="110">
        <f>B82</f>
        <v>10126.76</v>
      </c>
      <c r="H51" s="110">
        <f>B83</f>
        <v>10126.76</v>
      </c>
      <c r="I51" s="110">
        <f>B84</f>
        <v>10126.76</v>
      </c>
      <c r="J51" s="110">
        <f>B85</f>
        <v>10126.76</v>
      </c>
      <c r="K51" s="110">
        <f>B86</f>
        <v>10126.76</v>
      </c>
      <c r="L51" s="115"/>
      <c r="N51" s="33"/>
      <c r="O51" s="34"/>
    </row>
    <row r="52" spans="1:15">
      <c r="A52" s="116" t="s">
        <v>338</v>
      </c>
      <c r="B52" s="110">
        <f>B90</f>
        <v>49400.244200000001</v>
      </c>
      <c r="C52" s="110">
        <f>B91</f>
        <v>84661.440199999997</v>
      </c>
      <c r="D52" s="110">
        <f>B92</f>
        <v>60462.580199999997</v>
      </c>
      <c r="E52" s="110">
        <f>B93</f>
        <v>43177.680200000003</v>
      </c>
      <c r="F52" s="110">
        <f>B94</f>
        <v>30870.831400000003</v>
      </c>
      <c r="G52" s="110">
        <f>B95</f>
        <v>30836.261600000002</v>
      </c>
      <c r="H52" s="110">
        <f>B96</f>
        <v>30870.831400000003</v>
      </c>
      <c r="I52" s="110">
        <f>B97</f>
        <v>15418.130800000001</v>
      </c>
      <c r="J52" s="14"/>
      <c r="K52" s="14"/>
      <c r="L52" s="115"/>
      <c r="N52" s="33"/>
      <c r="O52" s="34"/>
    </row>
    <row r="53" spans="1:15">
      <c r="A53" s="116" t="s">
        <v>339</v>
      </c>
      <c r="B53" s="110">
        <f>B101</f>
        <v>25000</v>
      </c>
      <c r="C53" s="110">
        <f>B102</f>
        <v>40000</v>
      </c>
      <c r="D53" s="110">
        <f>B103</f>
        <v>24000</v>
      </c>
      <c r="E53" s="110">
        <f>B104</f>
        <v>14400</v>
      </c>
      <c r="F53" s="110">
        <f>B105</f>
        <v>14400</v>
      </c>
      <c r="G53" s="110">
        <f>B106</f>
        <v>7200</v>
      </c>
      <c r="H53" s="14"/>
      <c r="I53" s="14"/>
      <c r="J53" s="14"/>
      <c r="K53" s="14"/>
      <c r="L53" s="115"/>
      <c r="N53" s="33"/>
      <c r="O53" s="34"/>
    </row>
    <row r="54" spans="1:15">
      <c r="A54" s="274" t="s">
        <v>340</v>
      </c>
      <c r="B54" s="273">
        <f>SUM(B50:B53)</f>
        <v>86248.003174358979</v>
      </c>
      <c r="C54" s="273">
        <f t="shared" ref="C54:K54" si="1">SUM(C50:C53)</f>
        <v>139402.55917435896</v>
      </c>
      <c r="D54" s="273">
        <f t="shared" si="1"/>
        <v>99203.699174358975</v>
      </c>
      <c r="E54" s="273">
        <f t="shared" si="1"/>
        <v>72318.799174358981</v>
      </c>
      <c r="F54" s="273">
        <f t="shared" si="1"/>
        <v>60011.950374358974</v>
      </c>
      <c r="G54" s="273">
        <f t="shared" si="1"/>
        <v>52777.380574358976</v>
      </c>
      <c r="H54" s="273">
        <f t="shared" si="1"/>
        <v>45611.950374358974</v>
      </c>
      <c r="I54" s="273">
        <f t="shared" si="1"/>
        <v>30159.249774358977</v>
      </c>
      <c r="J54" s="273">
        <f t="shared" si="1"/>
        <v>14741.118974358975</v>
      </c>
      <c r="K54" s="273">
        <f t="shared" si="1"/>
        <v>14741.118974358975</v>
      </c>
      <c r="L54" s="275"/>
      <c r="N54" s="33"/>
      <c r="O54" s="34"/>
    </row>
    <row r="55" spans="1:15">
      <c r="A55" s="116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15"/>
      <c r="N55" s="33"/>
      <c r="O55" s="34"/>
    </row>
    <row r="56" spans="1:15">
      <c r="A56" s="114"/>
      <c r="B56" s="250"/>
      <c r="C56" s="14"/>
      <c r="D56" s="14"/>
      <c r="E56" s="14"/>
      <c r="F56" s="14"/>
      <c r="G56" s="14"/>
      <c r="H56" s="14"/>
      <c r="I56" s="14"/>
      <c r="J56" s="14"/>
      <c r="K56" s="14"/>
      <c r="L56" s="115"/>
      <c r="N56" s="33"/>
      <c r="O56" s="34"/>
    </row>
    <row r="57" spans="1:15">
      <c r="A57" s="114"/>
      <c r="B57" s="110"/>
      <c r="C57" s="14"/>
      <c r="D57" s="14"/>
      <c r="E57" s="14"/>
      <c r="F57" s="14"/>
      <c r="G57" s="14"/>
      <c r="H57" s="14"/>
      <c r="I57" s="14"/>
      <c r="J57" s="14"/>
      <c r="K57" s="14"/>
      <c r="L57" s="115"/>
      <c r="N57" s="33"/>
      <c r="O57" s="34"/>
    </row>
    <row r="58" spans="1:15">
      <c r="A58" s="217" t="s">
        <v>44</v>
      </c>
      <c r="B58" s="12" t="s">
        <v>66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24"/>
      <c r="N58" s="33"/>
      <c r="O58" s="34"/>
    </row>
    <row r="59" spans="1:15">
      <c r="A59" s="114" t="s">
        <v>45</v>
      </c>
      <c r="B59" s="110" t="s">
        <v>67</v>
      </c>
      <c r="C59" s="14"/>
      <c r="D59" s="14"/>
      <c r="E59" s="14"/>
      <c r="F59" s="14"/>
      <c r="G59" s="14"/>
      <c r="H59" s="14"/>
      <c r="I59" s="14"/>
      <c r="J59" s="14"/>
      <c r="K59" s="14"/>
      <c r="L59" s="115"/>
      <c r="N59" s="33"/>
      <c r="O59" s="34"/>
    </row>
    <row r="60" spans="1:15">
      <c r="A60" s="114" t="s">
        <v>46</v>
      </c>
      <c r="B60" s="110" t="s">
        <v>68</v>
      </c>
      <c r="C60" s="14"/>
      <c r="D60" s="14"/>
      <c r="E60" s="14"/>
      <c r="F60" s="14"/>
      <c r="G60" s="14"/>
      <c r="H60" s="14"/>
      <c r="I60" s="14"/>
      <c r="J60" s="14"/>
      <c r="K60" s="14"/>
      <c r="L60" s="115"/>
      <c r="N60" s="33"/>
      <c r="O60" s="34"/>
    </row>
    <row r="61" spans="1:15">
      <c r="A61" s="260" t="s">
        <v>47</v>
      </c>
      <c r="B61" s="38" t="s">
        <v>69</v>
      </c>
      <c r="C61" s="39"/>
      <c r="D61" s="39"/>
      <c r="E61" s="39"/>
      <c r="F61" s="39"/>
      <c r="G61" s="39"/>
      <c r="H61" s="39"/>
      <c r="I61" s="39"/>
      <c r="J61" s="39"/>
      <c r="K61" s="39"/>
      <c r="L61" s="240"/>
      <c r="N61" s="33"/>
      <c r="O61" s="34"/>
    </row>
    <row r="62" spans="1:15">
      <c r="A62" s="116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15"/>
      <c r="N62" s="33"/>
      <c r="O62" s="34"/>
    </row>
    <row r="63" spans="1:15">
      <c r="A63" s="116"/>
      <c r="B63" s="250"/>
      <c r="C63" s="14"/>
      <c r="D63" s="14"/>
      <c r="E63" s="14"/>
      <c r="F63" s="14"/>
      <c r="G63" s="14"/>
      <c r="H63" s="14"/>
      <c r="I63" s="14"/>
      <c r="J63" s="14"/>
      <c r="K63" s="14"/>
      <c r="L63" s="115"/>
      <c r="N63" s="33"/>
      <c r="O63" s="34"/>
    </row>
    <row r="64" spans="1:15">
      <c r="A64" s="217" t="s">
        <v>44</v>
      </c>
      <c r="B64" s="277"/>
      <c r="C64" s="105"/>
      <c r="D64" s="105"/>
      <c r="E64" s="105"/>
      <c r="F64" s="105"/>
      <c r="G64" s="105"/>
      <c r="H64" s="105"/>
      <c r="I64" s="105"/>
      <c r="J64" s="105"/>
      <c r="K64" s="105"/>
      <c r="L64" s="124"/>
      <c r="N64" s="33"/>
      <c r="O64" s="34"/>
    </row>
    <row r="65" spans="1:16">
      <c r="A65" s="116" t="s">
        <v>70</v>
      </c>
      <c r="B65" s="254">
        <f>+C22</f>
        <v>204960</v>
      </c>
      <c r="C65" s="14"/>
      <c r="D65" s="14"/>
      <c r="E65" s="14"/>
      <c r="F65" s="14"/>
      <c r="G65" s="14"/>
      <c r="H65" s="14"/>
      <c r="I65" s="14"/>
      <c r="J65" s="14"/>
      <c r="K65" s="14"/>
      <c r="L65" s="115"/>
      <c r="N65" s="33"/>
      <c r="O65" s="34"/>
    </row>
    <row r="66" spans="1:16">
      <c r="A66" s="117" t="s">
        <v>71</v>
      </c>
      <c r="B66" s="14">
        <v>39</v>
      </c>
      <c r="C66" s="14"/>
      <c r="D66" s="14"/>
      <c r="E66" s="14"/>
      <c r="F66" s="14"/>
      <c r="G66" s="14"/>
      <c r="H66" s="14"/>
      <c r="I66" s="14"/>
      <c r="J66" s="14"/>
      <c r="K66" s="14"/>
      <c r="L66" s="115"/>
      <c r="N66" s="33"/>
      <c r="O66" s="36"/>
    </row>
    <row r="67" spans="1:16">
      <c r="A67" s="117" t="s">
        <v>72</v>
      </c>
      <c r="B67" s="108">
        <f>+D22</f>
        <v>25000</v>
      </c>
      <c r="C67" s="14"/>
      <c r="D67" s="14"/>
      <c r="E67" s="14"/>
      <c r="F67" s="14"/>
      <c r="G67" s="14"/>
      <c r="H67" s="14"/>
      <c r="I67" s="14"/>
      <c r="J67" s="14"/>
      <c r="K67" s="14"/>
      <c r="L67" s="115"/>
      <c r="N67" s="33"/>
      <c r="O67" s="34"/>
    </row>
    <row r="68" spans="1:16">
      <c r="A68" s="117" t="s">
        <v>73</v>
      </c>
      <c r="B68" s="14">
        <v>39</v>
      </c>
      <c r="C68" s="14"/>
      <c r="D68" s="14"/>
      <c r="E68" s="14"/>
      <c r="F68" s="14"/>
      <c r="G68" s="14"/>
      <c r="H68" s="14"/>
      <c r="I68" s="14"/>
      <c r="J68" s="14"/>
      <c r="K68" s="14"/>
      <c r="L68" s="115"/>
      <c r="N68" s="33"/>
      <c r="P68" s="35"/>
    </row>
    <row r="69" spans="1:16" ht="18">
      <c r="A69" s="239" t="s">
        <v>74</v>
      </c>
      <c r="B69" s="38">
        <f>(B65-B67)/B68</f>
        <v>4614.3589743589746</v>
      </c>
      <c r="C69" s="39"/>
      <c r="D69" s="39"/>
      <c r="E69" s="39"/>
      <c r="F69" s="39"/>
      <c r="G69" s="39"/>
      <c r="H69" s="39"/>
      <c r="I69" s="39"/>
      <c r="J69" s="39"/>
      <c r="K69" s="39"/>
      <c r="L69" s="240"/>
      <c r="N69" s="33"/>
      <c r="P69" s="272"/>
    </row>
    <row r="70" spans="1:16">
      <c r="A70" s="116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15"/>
    </row>
    <row r="71" spans="1:16">
      <c r="A71" s="114" t="s">
        <v>45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15"/>
    </row>
    <row r="72" spans="1:16">
      <c r="A72" s="116" t="s">
        <v>70</v>
      </c>
      <c r="B72" s="110">
        <f>$H$22</f>
        <v>72334</v>
      </c>
      <c r="C72" s="14"/>
      <c r="D72" s="14"/>
      <c r="E72" s="14"/>
      <c r="F72" s="14"/>
      <c r="G72" s="14"/>
      <c r="H72" s="14"/>
      <c r="I72" s="14"/>
      <c r="J72" s="14"/>
      <c r="K72" s="14"/>
      <c r="L72" s="115"/>
    </row>
    <row r="73" spans="1:16">
      <c r="A73" s="116" t="s">
        <v>71</v>
      </c>
      <c r="B73" s="14">
        <v>10</v>
      </c>
      <c r="C73" s="14"/>
      <c r="D73" s="14"/>
      <c r="E73" s="14"/>
      <c r="F73" s="14"/>
      <c r="G73" s="14"/>
      <c r="H73" s="14"/>
      <c r="I73" s="14"/>
      <c r="J73" s="14"/>
      <c r="K73" s="14"/>
      <c r="L73" s="115"/>
    </row>
    <row r="74" spans="1:16">
      <c r="A74" s="116"/>
      <c r="B74" s="108"/>
      <c r="C74" s="14"/>
      <c r="D74" s="14"/>
      <c r="E74" s="14"/>
      <c r="F74" s="14"/>
      <c r="G74" s="14"/>
      <c r="H74" s="14"/>
      <c r="I74" s="14"/>
      <c r="J74" s="14"/>
      <c r="K74" s="14"/>
      <c r="L74" s="115"/>
    </row>
    <row r="75" spans="1:16">
      <c r="A75" s="116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15"/>
    </row>
    <row r="76" spans="1:16">
      <c r="A76" s="249" t="s">
        <v>65</v>
      </c>
      <c r="B76" s="255" t="s">
        <v>48</v>
      </c>
      <c r="C76" s="256" t="s">
        <v>75</v>
      </c>
      <c r="D76" s="14"/>
      <c r="E76" s="14"/>
      <c r="F76" s="14"/>
      <c r="G76" s="14"/>
      <c r="H76" s="14"/>
      <c r="I76" s="14"/>
      <c r="J76" s="14"/>
      <c r="K76" s="14"/>
      <c r="L76" s="115"/>
    </row>
    <row r="77" spans="1:16">
      <c r="A77" s="116">
        <v>1</v>
      </c>
      <c r="B77" s="110">
        <f t="shared" ref="B77:B86" si="2">$B$72*C77</f>
        <v>7233.4000000000005</v>
      </c>
      <c r="C77" s="257">
        <v>0.1</v>
      </c>
      <c r="D77" s="14"/>
      <c r="E77" s="14"/>
      <c r="F77" s="14"/>
      <c r="G77" s="14"/>
      <c r="H77" s="212"/>
      <c r="I77" s="14"/>
      <c r="J77" s="14"/>
      <c r="K77" s="14"/>
      <c r="L77" s="115"/>
    </row>
    <row r="78" spans="1:16">
      <c r="A78" s="116">
        <v>2</v>
      </c>
      <c r="B78" s="110">
        <f t="shared" si="2"/>
        <v>10126.76</v>
      </c>
      <c r="C78" s="257">
        <v>0.14000000000000001</v>
      </c>
      <c r="D78" s="14"/>
      <c r="E78" s="14"/>
      <c r="F78" s="14"/>
      <c r="G78" s="14"/>
      <c r="H78" s="212"/>
      <c r="I78" s="14"/>
      <c r="J78" s="14"/>
      <c r="K78" s="14"/>
      <c r="L78" s="115"/>
    </row>
    <row r="79" spans="1:16">
      <c r="A79" s="116">
        <v>3</v>
      </c>
      <c r="B79" s="110">
        <f t="shared" si="2"/>
        <v>10126.76</v>
      </c>
      <c r="C79" s="257">
        <v>0.14000000000000001</v>
      </c>
      <c r="D79" s="14"/>
      <c r="E79" s="14"/>
      <c r="F79" s="14"/>
      <c r="G79" s="14"/>
      <c r="H79" s="212"/>
      <c r="I79" s="14"/>
      <c r="J79" s="14"/>
      <c r="K79" s="14"/>
      <c r="L79" s="115"/>
    </row>
    <row r="80" spans="1:16">
      <c r="A80" s="116">
        <v>4</v>
      </c>
      <c r="B80" s="110">
        <f t="shared" si="2"/>
        <v>10126.76</v>
      </c>
      <c r="C80" s="257">
        <v>0.14000000000000001</v>
      </c>
      <c r="D80" s="14"/>
      <c r="E80" s="14"/>
      <c r="F80" s="14"/>
      <c r="G80" s="14"/>
      <c r="H80" s="212"/>
      <c r="I80" s="14"/>
      <c r="J80" s="14"/>
      <c r="K80" s="14"/>
      <c r="L80" s="115"/>
    </row>
    <row r="81" spans="1:12">
      <c r="A81" s="116">
        <v>5</v>
      </c>
      <c r="B81" s="110">
        <f t="shared" si="2"/>
        <v>10126.76</v>
      </c>
      <c r="C81" s="257">
        <v>0.14000000000000001</v>
      </c>
      <c r="D81" s="14"/>
      <c r="E81" s="14"/>
      <c r="F81" s="14"/>
      <c r="G81" s="14"/>
      <c r="H81" s="212"/>
      <c r="I81" s="14"/>
      <c r="J81" s="14"/>
      <c r="K81" s="14"/>
      <c r="L81" s="115"/>
    </row>
    <row r="82" spans="1:12">
      <c r="A82" s="116">
        <v>6</v>
      </c>
      <c r="B82" s="110">
        <f t="shared" si="2"/>
        <v>10126.76</v>
      </c>
      <c r="C82" s="257">
        <v>0.14000000000000001</v>
      </c>
      <c r="D82" s="14"/>
      <c r="E82" s="14"/>
      <c r="F82" s="14"/>
      <c r="G82" s="14"/>
      <c r="H82" s="212"/>
      <c r="I82" s="14"/>
      <c r="J82" s="14"/>
      <c r="K82" s="14"/>
      <c r="L82" s="115"/>
    </row>
    <row r="83" spans="1:12">
      <c r="A83" s="116">
        <v>7</v>
      </c>
      <c r="B83" s="110">
        <f t="shared" si="2"/>
        <v>10126.76</v>
      </c>
      <c r="C83" s="257">
        <v>0.14000000000000001</v>
      </c>
      <c r="D83" s="14"/>
      <c r="E83" s="14"/>
      <c r="F83" s="14"/>
      <c r="G83" s="14"/>
      <c r="H83" s="212"/>
      <c r="I83" s="14"/>
      <c r="J83" s="14"/>
      <c r="K83" s="14"/>
      <c r="L83" s="115"/>
    </row>
    <row r="84" spans="1:12">
      <c r="A84" s="116">
        <v>8</v>
      </c>
      <c r="B84" s="110">
        <f t="shared" si="2"/>
        <v>10126.76</v>
      </c>
      <c r="C84" s="257">
        <v>0.14000000000000001</v>
      </c>
      <c r="D84" s="14"/>
      <c r="E84" s="14"/>
      <c r="F84" s="14"/>
      <c r="G84" s="14"/>
      <c r="H84" s="212"/>
      <c r="I84" s="14"/>
      <c r="J84" s="14"/>
      <c r="K84" s="14"/>
      <c r="L84" s="115"/>
    </row>
    <row r="85" spans="1:12">
      <c r="A85" s="116">
        <v>9</v>
      </c>
      <c r="B85" s="110">
        <f t="shared" si="2"/>
        <v>10126.76</v>
      </c>
      <c r="C85" s="257">
        <v>0.14000000000000001</v>
      </c>
      <c r="D85" s="14"/>
      <c r="E85" s="14"/>
      <c r="F85" s="14"/>
      <c r="G85" s="14"/>
      <c r="H85" s="212"/>
      <c r="I85" s="14"/>
      <c r="J85" s="14"/>
      <c r="K85" s="14"/>
      <c r="L85" s="115"/>
    </row>
    <row r="86" spans="1:12">
      <c r="A86" s="116">
        <v>10</v>
      </c>
      <c r="B86" s="110">
        <f t="shared" si="2"/>
        <v>10126.76</v>
      </c>
      <c r="C86" s="257">
        <v>0.14000000000000001</v>
      </c>
      <c r="D86" s="14"/>
      <c r="E86" s="14"/>
      <c r="F86" s="14"/>
      <c r="G86" s="14"/>
      <c r="H86" s="14"/>
      <c r="I86" s="14"/>
      <c r="J86" s="14"/>
      <c r="K86" s="14"/>
      <c r="L86" s="115"/>
    </row>
    <row r="87" spans="1:12">
      <c r="A87" s="239"/>
      <c r="B87" s="39"/>
      <c r="C87" s="39"/>
      <c r="D87" s="291"/>
      <c r="E87" s="39"/>
      <c r="F87" s="39"/>
      <c r="G87" s="39"/>
      <c r="H87" s="39"/>
      <c r="I87" s="39"/>
      <c r="J87" s="39"/>
      <c r="K87" s="39"/>
      <c r="L87" s="240"/>
    </row>
    <row r="88" spans="1:12">
      <c r="A88" s="114" t="s">
        <v>46</v>
      </c>
      <c r="B88" s="14"/>
      <c r="C88" s="14"/>
      <c r="D88" s="253"/>
      <c r="E88" s="14"/>
      <c r="F88" s="16"/>
      <c r="G88" s="16"/>
      <c r="H88" s="16"/>
      <c r="I88" s="14"/>
      <c r="J88" s="14"/>
      <c r="K88" s="14"/>
      <c r="L88" s="115"/>
    </row>
    <row r="89" spans="1:12">
      <c r="A89" s="249" t="s">
        <v>65</v>
      </c>
      <c r="B89" s="255" t="s">
        <v>48</v>
      </c>
      <c r="C89" s="256" t="s">
        <v>75</v>
      </c>
      <c r="D89" s="14"/>
      <c r="E89" s="16"/>
      <c r="F89" s="14"/>
      <c r="G89" s="14"/>
      <c r="H89" s="14"/>
      <c r="I89" s="14"/>
      <c r="J89" s="14"/>
      <c r="K89" s="14"/>
      <c r="L89" s="115"/>
    </row>
    <row r="90" spans="1:12">
      <c r="A90" s="116">
        <v>1</v>
      </c>
      <c r="B90" s="110">
        <f t="shared" ref="B90:B97" si="3">$C$38*C90</f>
        <v>49400.244200000001</v>
      </c>
      <c r="C90" s="23">
        <v>0.1429</v>
      </c>
      <c r="D90" s="14"/>
      <c r="E90" s="14"/>
      <c r="F90" s="14"/>
      <c r="G90" s="14"/>
      <c r="H90" s="14"/>
      <c r="I90" s="14"/>
      <c r="J90" s="14"/>
      <c r="K90" s="14"/>
      <c r="L90" s="115"/>
    </row>
    <row r="91" spans="1:12">
      <c r="A91" s="116">
        <v>2</v>
      </c>
      <c r="B91" s="110">
        <f t="shared" si="3"/>
        <v>84661.440199999997</v>
      </c>
      <c r="C91" s="23">
        <v>0.24490000000000001</v>
      </c>
      <c r="D91" s="14"/>
      <c r="E91" s="14"/>
      <c r="F91" s="14"/>
      <c r="G91" s="14"/>
      <c r="H91" s="14"/>
      <c r="I91" s="14"/>
      <c r="J91" s="14"/>
      <c r="K91" s="14"/>
      <c r="L91" s="115"/>
    </row>
    <row r="92" spans="1:12">
      <c r="A92" s="116">
        <v>3</v>
      </c>
      <c r="B92" s="110">
        <f t="shared" si="3"/>
        <v>60462.580199999997</v>
      </c>
      <c r="C92" s="23">
        <v>0.1749</v>
      </c>
      <c r="D92" s="14"/>
      <c r="E92" s="14"/>
      <c r="F92" s="14"/>
      <c r="G92" s="14"/>
      <c r="H92" s="14"/>
      <c r="I92" s="14"/>
      <c r="J92" s="14"/>
      <c r="K92" s="14"/>
      <c r="L92" s="115"/>
    </row>
    <row r="93" spans="1:12">
      <c r="A93" s="116">
        <v>4</v>
      </c>
      <c r="B93" s="110">
        <f t="shared" si="3"/>
        <v>43177.680200000003</v>
      </c>
      <c r="C93" s="23">
        <v>0.1249</v>
      </c>
      <c r="D93" s="14"/>
      <c r="E93" s="14"/>
      <c r="F93" s="14"/>
      <c r="G93" s="14"/>
      <c r="H93" s="14"/>
      <c r="I93" s="14"/>
      <c r="J93" s="14"/>
      <c r="K93" s="14"/>
      <c r="L93" s="115"/>
    </row>
    <row r="94" spans="1:12">
      <c r="A94" s="116">
        <v>5</v>
      </c>
      <c r="B94" s="110">
        <f t="shared" si="3"/>
        <v>30870.831400000003</v>
      </c>
      <c r="C94" s="23">
        <v>8.9300000000000004E-2</v>
      </c>
      <c r="D94" s="14"/>
      <c r="E94" s="14"/>
      <c r="F94" s="14"/>
      <c r="G94" s="14"/>
      <c r="H94" s="14"/>
      <c r="I94" s="14"/>
      <c r="J94" s="14"/>
      <c r="K94" s="14"/>
      <c r="L94" s="115"/>
    </row>
    <row r="95" spans="1:12">
      <c r="A95" s="116">
        <v>6</v>
      </c>
      <c r="B95" s="110">
        <f t="shared" si="3"/>
        <v>30836.261600000002</v>
      </c>
      <c r="C95" s="23">
        <v>8.9200000000000002E-2</v>
      </c>
      <c r="D95" s="14"/>
      <c r="E95" s="14"/>
      <c r="F95" s="14"/>
      <c r="G95" s="14"/>
      <c r="H95" s="14"/>
      <c r="I95" s="14"/>
      <c r="J95" s="14"/>
      <c r="K95" s="14"/>
      <c r="L95" s="115"/>
    </row>
    <row r="96" spans="1:12">
      <c r="A96" s="116">
        <v>7</v>
      </c>
      <c r="B96" s="110">
        <f t="shared" si="3"/>
        <v>30870.831400000003</v>
      </c>
      <c r="C96" s="23">
        <v>8.9300000000000004E-2</v>
      </c>
      <c r="D96" s="14"/>
      <c r="E96" s="14"/>
      <c r="F96" s="14"/>
      <c r="G96" s="14"/>
      <c r="H96" s="14"/>
      <c r="I96" s="14"/>
      <c r="J96" s="14"/>
      <c r="K96" s="14"/>
      <c r="L96" s="115"/>
    </row>
    <row r="97" spans="1:12">
      <c r="A97" s="116">
        <v>8</v>
      </c>
      <c r="B97" s="110">
        <f t="shared" si="3"/>
        <v>15418.130800000001</v>
      </c>
      <c r="C97" s="23">
        <v>4.4600000000000001E-2</v>
      </c>
      <c r="D97" s="14"/>
      <c r="E97" s="14"/>
      <c r="F97" s="14"/>
      <c r="G97" s="14"/>
      <c r="H97" s="14"/>
      <c r="I97" s="14"/>
      <c r="J97" s="14"/>
      <c r="K97" s="14"/>
      <c r="L97" s="115"/>
    </row>
    <row r="98" spans="1:12">
      <c r="A98" s="116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15"/>
    </row>
    <row r="99" spans="1:12">
      <c r="A99" s="217" t="s">
        <v>47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24"/>
    </row>
    <row r="100" spans="1:12">
      <c r="A100" s="249" t="s">
        <v>65</v>
      </c>
      <c r="B100" s="255" t="s">
        <v>48</v>
      </c>
      <c r="C100" s="256" t="s">
        <v>75</v>
      </c>
      <c r="D100" s="14"/>
      <c r="E100" s="14"/>
      <c r="F100" s="14"/>
      <c r="G100" s="14"/>
      <c r="H100" s="14"/>
      <c r="I100" s="14"/>
      <c r="J100" s="14"/>
      <c r="K100" s="14"/>
      <c r="L100" s="115"/>
    </row>
    <row r="101" spans="1:12">
      <c r="A101" s="116">
        <v>1</v>
      </c>
      <c r="B101" s="110">
        <f t="shared" ref="B101:B106" si="4">$H$38*C101</f>
        <v>25000</v>
      </c>
      <c r="C101" s="23">
        <v>0.2</v>
      </c>
      <c r="D101" s="14"/>
      <c r="E101" s="14"/>
      <c r="F101" s="14"/>
      <c r="G101" s="14"/>
      <c r="H101" s="14"/>
      <c r="I101" s="14"/>
      <c r="J101" s="14"/>
      <c r="K101" s="14"/>
      <c r="L101" s="115"/>
    </row>
    <row r="102" spans="1:12">
      <c r="A102" s="116">
        <v>2</v>
      </c>
      <c r="B102" s="110">
        <f t="shared" si="4"/>
        <v>40000</v>
      </c>
      <c r="C102" s="23">
        <v>0.32</v>
      </c>
      <c r="D102" s="14"/>
      <c r="E102" s="14"/>
      <c r="F102" s="14"/>
      <c r="G102" s="14"/>
      <c r="H102" s="14"/>
      <c r="I102" s="14"/>
      <c r="J102" s="14"/>
      <c r="K102" s="14"/>
      <c r="L102" s="115"/>
    </row>
    <row r="103" spans="1:12">
      <c r="A103" s="116">
        <v>3</v>
      </c>
      <c r="B103" s="110">
        <f t="shared" si="4"/>
        <v>24000</v>
      </c>
      <c r="C103" s="23">
        <v>0.192</v>
      </c>
      <c r="D103" s="14"/>
      <c r="E103" s="14"/>
      <c r="F103" s="14"/>
      <c r="G103" s="14"/>
      <c r="H103" s="14"/>
      <c r="I103" s="14"/>
      <c r="J103" s="14"/>
      <c r="K103" s="14"/>
      <c r="L103" s="115"/>
    </row>
    <row r="104" spans="1:12">
      <c r="A104" s="116">
        <v>4</v>
      </c>
      <c r="B104" s="110">
        <f t="shared" si="4"/>
        <v>14400</v>
      </c>
      <c r="C104" s="23">
        <v>0.1152</v>
      </c>
      <c r="D104" s="14"/>
      <c r="E104" s="14"/>
      <c r="F104" s="14"/>
      <c r="G104" s="14"/>
      <c r="H104" s="14"/>
      <c r="I104" s="14"/>
      <c r="J104" s="14"/>
      <c r="K104" s="14"/>
      <c r="L104" s="115"/>
    </row>
    <row r="105" spans="1:12">
      <c r="A105" s="116">
        <v>5</v>
      </c>
      <c r="B105" s="110">
        <f t="shared" si="4"/>
        <v>14400</v>
      </c>
      <c r="C105" s="23">
        <v>0.1152</v>
      </c>
      <c r="D105" s="14"/>
      <c r="E105" s="14"/>
      <c r="F105" s="14"/>
      <c r="G105" s="14"/>
      <c r="H105" s="14"/>
      <c r="I105" s="14"/>
      <c r="J105" s="14"/>
      <c r="K105" s="14"/>
      <c r="L105" s="115"/>
    </row>
    <row r="106" spans="1:12" ht="13.8" thickBot="1">
      <c r="A106" s="119">
        <v>6</v>
      </c>
      <c r="B106" s="258">
        <f t="shared" si="4"/>
        <v>7200</v>
      </c>
      <c r="C106" s="259">
        <v>5.7599999999999998E-2</v>
      </c>
      <c r="D106" s="120"/>
      <c r="E106" s="120"/>
      <c r="F106" s="120"/>
      <c r="G106" s="120"/>
      <c r="H106" s="120"/>
      <c r="I106" s="120"/>
      <c r="J106" s="120"/>
      <c r="K106" s="120"/>
      <c r="L106" s="238"/>
    </row>
    <row r="107" spans="1:12">
      <c r="D107" s="14"/>
    </row>
    <row r="108" spans="1:12" ht="13.8">
      <c r="D108" s="24"/>
    </row>
    <row r="109" spans="1:12" ht="13.8">
      <c r="D109" s="24"/>
    </row>
    <row r="110" spans="1:12" ht="13.8">
      <c r="D110" s="24"/>
    </row>
    <row r="111" spans="1:12" ht="13.8">
      <c r="D111" s="24"/>
    </row>
    <row r="112" spans="1:12" ht="13.8">
      <c r="D112" s="24"/>
    </row>
    <row r="113" spans="4:4" ht="13.8">
      <c r="D113" s="24"/>
    </row>
    <row r="114" spans="4:4" ht="13.8">
      <c r="D114" s="24"/>
    </row>
    <row r="115" spans="4:4" ht="13.8">
      <c r="D115" s="24"/>
    </row>
    <row r="116" spans="4:4">
      <c r="D116" s="14"/>
    </row>
    <row r="117" spans="4:4">
      <c r="D117" s="14"/>
    </row>
    <row r="124" spans="4:4" ht="13.8">
      <c r="D124" s="11"/>
    </row>
    <row r="125" spans="4:4" ht="13.8">
      <c r="D125" s="11"/>
    </row>
    <row r="126" spans="4:4" ht="13.8">
      <c r="D126" s="11"/>
    </row>
    <row r="127" spans="4:4" ht="13.8">
      <c r="D127" s="11"/>
    </row>
    <row r="128" spans="4:4" ht="13.8">
      <c r="D128" s="11"/>
    </row>
    <row r="129" spans="4:4" ht="13.8">
      <c r="D129" s="11"/>
    </row>
  </sheetData>
  <sheetProtection algorithmName="SHA-512" hashValue="hftXmR8dMYCHGIlQlnKlWRKXu6Bzjx+swqtVFBV3wJmMAhtX8UW9uhTpZ+Qccy61IHCM1SBcAZdYtZDhXONAhA==" saltValue="Wc8ZS8xYGx6+5K4qqRtMFA==" spinCount="100000" sheet="1" formatColumns="0"/>
  <mergeCells count="25">
    <mergeCell ref="N15:P15"/>
    <mergeCell ref="N27:P27"/>
    <mergeCell ref="N30:P30"/>
    <mergeCell ref="N41:P41"/>
    <mergeCell ref="A21:B21"/>
    <mergeCell ref="F21:G21"/>
    <mergeCell ref="F26:G26"/>
    <mergeCell ref="F27:G27"/>
    <mergeCell ref="F28:G28"/>
    <mergeCell ref="N47:P47"/>
    <mergeCell ref="A1:C1"/>
    <mergeCell ref="A2:C2"/>
    <mergeCell ref="A3:C3"/>
    <mergeCell ref="A4:C4"/>
    <mergeCell ref="A17:B17"/>
    <mergeCell ref="A18:B18"/>
    <mergeCell ref="F17:G17"/>
    <mergeCell ref="F18:G18"/>
    <mergeCell ref="F19:G19"/>
    <mergeCell ref="F20:G20"/>
    <mergeCell ref="A19:B19"/>
    <mergeCell ref="A20:B20"/>
    <mergeCell ref="F29:G29"/>
    <mergeCell ref="N7:P7"/>
    <mergeCell ref="F30:G30"/>
  </mergeCells>
  <phoneticPr fontId="0" type="noConversion"/>
  <hyperlinks>
    <hyperlink ref="A2:C2" location="'Input Value'!A1" display="BACK TO INPUTS" xr:uid="{00000000-0004-0000-0800-000000000000}"/>
    <hyperlink ref="A3:C3" location="'Return On Investment'!A1" display="FORWARD TO RETURN ON INVESTMENT" xr:uid="{00000000-0004-0000-0800-000001000000}"/>
    <hyperlink ref="A4:C4" location="'Operations Summary'!A1" display="BACK TO OPERATION SUMMARY" xr:uid="{00000000-0004-0000-0800-000002000000}"/>
  </hyperlink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9"/>
  <sheetViews>
    <sheetView zoomScaleNormal="100" workbookViewId="0">
      <selection activeCell="A2" sqref="A2:C2"/>
    </sheetView>
  </sheetViews>
  <sheetFormatPr defaultColWidth="8.88671875" defaultRowHeight="13.2"/>
  <cols>
    <col min="1" max="1" width="43.44140625" customWidth="1"/>
    <col min="2" max="4" width="14.44140625" customWidth="1"/>
    <col min="5" max="6" width="14" customWidth="1"/>
    <col min="7" max="7" width="14.6640625" customWidth="1"/>
    <col min="8" max="8" width="14.88671875" customWidth="1"/>
    <col min="9" max="9" width="14.44140625" customWidth="1"/>
    <col min="10" max="11" width="12.6640625" customWidth="1"/>
    <col min="12" max="12" width="14.88671875" customWidth="1"/>
    <col min="13" max="13" width="16.44140625" customWidth="1"/>
  </cols>
  <sheetData>
    <row r="1" spans="1:13" ht="13.8" thickBot="1">
      <c r="A1" s="466" t="s">
        <v>146</v>
      </c>
      <c r="B1" s="467"/>
      <c r="C1" s="468"/>
    </row>
    <row r="2" spans="1:13" ht="13.8" thickBot="1">
      <c r="A2" s="469" t="s">
        <v>153</v>
      </c>
      <c r="B2" s="470"/>
      <c r="C2" s="471"/>
    </row>
    <row r="3" spans="1:13" ht="13.8" thickBot="1">
      <c r="A3" s="469" t="s">
        <v>154</v>
      </c>
      <c r="B3" s="470"/>
      <c r="C3" s="471"/>
    </row>
    <row r="5" spans="1:13">
      <c r="A5" s="1" t="s">
        <v>121</v>
      </c>
      <c r="B5" s="10"/>
    </row>
    <row r="6" spans="1:13">
      <c r="A6" s="1" t="s">
        <v>116</v>
      </c>
      <c r="B6" s="10"/>
    </row>
    <row r="7" spans="1:13" ht="13.8" thickBot="1">
      <c r="A7" s="1"/>
      <c r="B7" s="10"/>
    </row>
    <row r="8" spans="1:13">
      <c r="A8" s="293" t="s">
        <v>53</v>
      </c>
      <c r="B8" s="294">
        <v>0.1</v>
      </c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6"/>
    </row>
    <row r="9" spans="1:13">
      <c r="A9" s="297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48"/>
    </row>
    <row r="10" spans="1:13">
      <c r="A10" s="402" t="s">
        <v>65</v>
      </c>
      <c r="B10" s="292"/>
      <c r="C10" s="403">
        <v>0</v>
      </c>
      <c r="D10" s="403">
        <v>1</v>
      </c>
      <c r="E10" s="403">
        <v>2</v>
      </c>
      <c r="F10" s="403">
        <v>3</v>
      </c>
      <c r="G10" s="403">
        <v>4</v>
      </c>
      <c r="H10" s="403">
        <v>5</v>
      </c>
      <c r="I10" s="403">
        <v>6</v>
      </c>
      <c r="J10" s="403">
        <v>7</v>
      </c>
      <c r="K10" s="403">
        <v>8</v>
      </c>
      <c r="L10" s="403">
        <v>9</v>
      </c>
      <c r="M10" s="404">
        <v>10</v>
      </c>
    </row>
    <row r="11" spans="1:13">
      <c r="A11" s="297" t="s">
        <v>56</v>
      </c>
      <c r="B11" s="290"/>
      <c r="C11" s="276"/>
      <c r="D11" s="276">
        <f>'Market Projection'!C79</f>
        <v>2015321.0638879999</v>
      </c>
      <c r="E11" s="276">
        <f>'Market Projection'!D79</f>
        <v>2035474.2745268801</v>
      </c>
      <c r="F11" s="276">
        <f>'Market Projection'!E79</f>
        <v>2055829.0172721487</v>
      </c>
      <c r="G11" s="276">
        <f>'Market Projection'!F79</f>
        <v>2076387.3074448702</v>
      </c>
      <c r="H11" s="276">
        <f>'Market Projection'!G79</f>
        <v>2097151.1805193191</v>
      </c>
      <c r="I11" s="276">
        <f>'Market Projection'!H79</f>
        <v>2118122.6923245122</v>
      </c>
      <c r="J11" s="276">
        <f>'Market Projection'!I79</f>
        <v>2139303.9192477576</v>
      </c>
      <c r="K11" s="276">
        <f>'Market Projection'!J79</f>
        <v>2160696.9584402349</v>
      </c>
      <c r="L11" s="276">
        <f>'Market Projection'!K79</f>
        <v>2182303.9280246375</v>
      </c>
      <c r="M11" s="298">
        <f>'Market Projection'!L79</f>
        <v>2204126.9673048835</v>
      </c>
    </row>
    <row r="12" spans="1:13">
      <c r="A12" s="297" t="s">
        <v>57</v>
      </c>
      <c r="B12" s="290"/>
      <c r="C12" s="290">
        <v>1</v>
      </c>
      <c r="D12" s="290">
        <f>1/((1+$B$8)^D10)</f>
        <v>0.90909090909090906</v>
      </c>
      <c r="E12" s="290">
        <f t="shared" ref="E12:L12" si="0">1/((1+$B$8)^E10)</f>
        <v>0.82644628099173545</v>
      </c>
      <c r="F12" s="290">
        <f t="shared" si="0"/>
        <v>0.75131480090157754</v>
      </c>
      <c r="G12" s="290">
        <f t="shared" si="0"/>
        <v>0.68301345536507052</v>
      </c>
      <c r="H12" s="290">
        <f t="shared" si="0"/>
        <v>0.62092132305915493</v>
      </c>
      <c r="I12" s="290">
        <f t="shared" si="0"/>
        <v>0.56447393005377722</v>
      </c>
      <c r="J12" s="290">
        <f t="shared" si="0"/>
        <v>0.51315811823070645</v>
      </c>
      <c r="K12" s="290">
        <f t="shared" si="0"/>
        <v>0.46650738020973315</v>
      </c>
      <c r="L12" s="290">
        <f t="shared" si="0"/>
        <v>0.42409761837248466</v>
      </c>
      <c r="M12" s="248">
        <f>1/((1+$B$8)^M10)</f>
        <v>0.38554328942953148</v>
      </c>
    </row>
    <row r="13" spans="1:13">
      <c r="A13" s="297" t="s">
        <v>58</v>
      </c>
      <c r="B13" s="276"/>
      <c r="C13" s="276">
        <f>C11*C12</f>
        <v>0</v>
      </c>
      <c r="D13" s="299">
        <f>D11*D12</f>
        <v>1832110.0580799999</v>
      </c>
      <c r="E13" s="276">
        <f t="shared" ref="E13:M13" si="1">E11*E12</f>
        <v>1682210.1442370908</v>
      </c>
      <c r="F13" s="276">
        <f t="shared" si="1"/>
        <v>1544574.7687995103</v>
      </c>
      <c r="G13" s="276">
        <f t="shared" si="1"/>
        <v>1418200.4695340958</v>
      </c>
      <c r="H13" s="276">
        <f t="shared" si="1"/>
        <v>1302165.8856631243</v>
      </c>
      <c r="I13" s="276">
        <f t="shared" si="1"/>
        <v>1195625.0404725049</v>
      </c>
      <c r="J13" s="276">
        <f t="shared" si="1"/>
        <v>1097801.1735247546</v>
      </c>
      <c r="K13" s="276">
        <f t="shared" si="1"/>
        <v>1007981.0775090926</v>
      </c>
      <c r="L13" s="276">
        <f t="shared" si="1"/>
        <v>925509.89844016696</v>
      </c>
      <c r="M13" s="298">
        <f t="shared" si="1"/>
        <v>849786.36129506212</v>
      </c>
    </row>
    <row r="14" spans="1:13">
      <c r="A14" s="297"/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48"/>
    </row>
    <row r="15" spans="1:13">
      <c r="A15" s="297" t="s">
        <v>59</v>
      </c>
      <c r="B15" s="290"/>
      <c r="C15" s="276">
        <f>'Expense Projection'!B44</f>
        <v>0</v>
      </c>
      <c r="D15" s="276">
        <f>'Expense Projection'!C44</f>
        <v>1958970.6690627153</v>
      </c>
      <c r="E15" s="276">
        <f>'Expense Projection'!C44</f>
        <v>1958970.6690627153</v>
      </c>
      <c r="F15" s="276">
        <f>'Expense Projection'!D44</f>
        <v>2019809.8228676908</v>
      </c>
      <c r="G15" s="276">
        <f>'Expense Projection'!E44</f>
        <v>2001319.9764857024</v>
      </c>
      <c r="H15" s="276">
        <f>'Expense Projection'!F44</f>
        <v>1994158.4754709548</v>
      </c>
      <c r="I15" s="276">
        <f>'Expense Projection'!G44</f>
        <v>1999389.0137011991</v>
      </c>
      <c r="J15" s="276">
        <f>'Expense Projection'!H44</f>
        <v>1999970.2073551745</v>
      </c>
      <c r="K15" s="276">
        <f>'Expense Projection'!I44</f>
        <v>2015998.1055773862</v>
      </c>
      <c r="L15" s="276">
        <f>'Expense Projection'!J44</f>
        <v>2012313.0100814116</v>
      </c>
      <c r="M15" s="298">
        <f>'Expense Projection'!K44</f>
        <v>2010371.7550795802</v>
      </c>
    </row>
    <row r="16" spans="1:13">
      <c r="A16" s="297" t="s">
        <v>155</v>
      </c>
      <c r="B16" s="290"/>
      <c r="C16" s="300"/>
      <c r="D16" s="276">
        <f>'Expense Projection'!C29+'Expense Projection'!C31-'Loan Amortization'!$B$30</f>
        <v>120860.20317435898</v>
      </c>
      <c r="E16" s="276">
        <f>'Expense Projection'!D29+'Expense Projection'!D31-'Loan Amortization'!$B$30</f>
        <v>171568.16371710051</v>
      </c>
      <c r="F16" s="276">
        <f>'Expense Projection'!E29+'Expense Projection'!E31-'Loan Amortization'!$B$30</f>
        <v>128739.21360054774</v>
      </c>
      <c r="G16" s="276">
        <f>'Expense Projection'!F29+'Expense Projection'!F31-'Loan Amortization'!$B$30</f>
        <v>99026.966725253471</v>
      </c>
      <c r="H16" s="276">
        <f>'Expense Projection'!G29+'Expense Projection'!G31-'Loan Amortization'!$B$30</f>
        <v>83680.720034312122</v>
      </c>
      <c r="I16" s="276">
        <f>'Expense Projection'!H29+'Expense Projection'!H31-'Loan Amortization'!$B$30</f>
        <v>73178.797501550172</v>
      </c>
      <c r="J16" s="276">
        <f>'Expense Projection'!I29+'Expense Projection'!I31-'Loan Amortization'!$B$30</f>
        <v>62500.96311383108</v>
      </c>
      <c r="K16" s="276">
        <f>'Expense Projection'!J29+'Expense Projection'!J31-'Loan Amortization'!$B$30</f>
        <v>43272.428012033059</v>
      </c>
      <c r="L16" s="276">
        <f>'Expense Projection'!K29+'Expense Projection'!K31-'Loan Amortization'!$B$30</f>
        <v>23795.275122600186</v>
      </c>
      <c r="M16" s="298">
        <f>'Expense Projection'!L29+'Expense Projection'!L31-'Loan Amortization'!$B$30</f>
        <v>19431.826376459838</v>
      </c>
    </row>
    <row r="17" spans="1:14">
      <c r="A17" s="297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48"/>
    </row>
    <row r="18" spans="1:14">
      <c r="A18" s="297" t="s">
        <v>60</v>
      </c>
      <c r="B18" s="290"/>
      <c r="C18" s="276">
        <f>+C15-C16+'Equip and Depreciation'!C42</f>
        <v>922992</v>
      </c>
      <c r="D18" s="276">
        <f>+D15-D16</f>
        <v>1838110.4658883563</v>
      </c>
      <c r="E18" s="276">
        <f t="shared" ref="E18:L18" si="2">+E15-E16</f>
        <v>1787402.5053456146</v>
      </c>
      <c r="F18" s="276">
        <f t="shared" si="2"/>
        <v>1891070.6092671431</v>
      </c>
      <c r="G18" s="276">
        <f t="shared" si="2"/>
        <v>1902293.0097604489</v>
      </c>
      <c r="H18" s="276">
        <f t="shared" si="2"/>
        <v>1910477.7554366426</v>
      </c>
      <c r="I18" s="276">
        <f t="shared" si="2"/>
        <v>1926210.216199649</v>
      </c>
      <c r="J18" s="276">
        <f t="shared" si="2"/>
        <v>1937469.2442413433</v>
      </c>
      <c r="K18" s="276">
        <f t="shared" si="2"/>
        <v>1972725.6775653532</v>
      </c>
      <c r="L18" s="276">
        <f t="shared" si="2"/>
        <v>1988517.7349588114</v>
      </c>
      <c r="M18" s="298">
        <f>+M15-M16</f>
        <v>1990939.9287031204</v>
      </c>
    </row>
    <row r="19" spans="1:14">
      <c r="A19" s="297" t="s">
        <v>57</v>
      </c>
      <c r="B19" s="290"/>
      <c r="C19" s="290">
        <v>1</v>
      </c>
      <c r="D19" s="290">
        <f t="shared" ref="D19:M19" si="3">D12</f>
        <v>0.90909090909090906</v>
      </c>
      <c r="E19" s="290">
        <f t="shared" si="3"/>
        <v>0.82644628099173545</v>
      </c>
      <c r="F19" s="290">
        <f t="shared" si="3"/>
        <v>0.75131480090157754</v>
      </c>
      <c r="G19" s="290">
        <f t="shared" si="3"/>
        <v>0.68301345536507052</v>
      </c>
      <c r="H19" s="290">
        <f t="shared" si="3"/>
        <v>0.62092132305915493</v>
      </c>
      <c r="I19" s="290">
        <f t="shared" si="3"/>
        <v>0.56447393005377722</v>
      </c>
      <c r="J19" s="290">
        <f t="shared" si="3"/>
        <v>0.51315811823070645</v>
      </c>
      <c r="K19" s="290">
        <f t="shared" si="3"/>
        <v>0.46650738020973315</v>
      </c>
      <c r="L19" s="290">
        <f t="shared" si="3"/>
        <v>0.42409761837248466</v>
      </c>
      <c r="M19" s="248">
        <f t="shared" si="3"/>
        <v>0.38554328942953148</v>
      </c>
    </row>
    <row r="20" spans="1:14">
      <c r="A20" s="297" t="s">
        <v>61</v>
      </c>
      <c r="B20" s="276"/>
      <c r="C20" s="276">
        <f t="shared" ref="C20:M20" si="4">C18*C19</f>
        <v>922992</v>
      </c>
      <c r="D20" s="276">
        <f t="shared" si="4"/>
        <v>1671009.5144439603</v>
      </c>
      <c r="E20" s="276">
        <f t="shared" si="4"/>
        <v>1477192.1531781938</v>
      </c>
      <c r="F20" s="276">
        <f t="shared" si="4"/>
        <v>1420789.3382923685</v>
      </c>
      <c r="G20" s="276">
        <f t="shared" si="4"/>
        <v>1299291.7217133041</v>
      </c>
      <c r="H20" s="276">
        <f t="shared" si="4"/>
        <v>1186256.3755808047</v>
      </c>
      <c r="I20" s="276">
        <f t="shared" si="4"/>
        <v>1087295.4508479517</v>
      </c>
      <c r="J20" s="276">
        <f t="shared" si="4"/>
        <v>994228.07150475669</v>
      </c>
      <c r="K20" s="276">
        <f t="shared" si="4"/>
        <v>920291.08771348372</v>
      </c>
      <c r="L20" s="276">
        <f t="shared" si="4"/>
        <v>843325.63548747962</v>
      </c>
      <c r="M20" s="301">
        <f t="shared" si="4"/>
        <v>767593.52916879789</v>
      </c>
    </row>
    <row r="21" spans="1:14">
      <c r="A21" s="297"/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48"/>
    </row>
    <row r="22" spans="1:14">
      <c r="A22" s="297" t="s">
        <v>62</v>
      </c>
      <c r="B22" s="290"/>
      <c r="C22" s="276">
        <f t="shared" ref="C22:L22" si="5">C11-C18</f>
        <v>-922992</v>
      </c>
      <c r="D22" s="276">
        <f t="shared" si="5"/>
        <v>177210.59799964353</v>
      </c>
      <c r="E22" s="276">
        <f t="shared" si="5"/>
        <v>248071.7691812655</v>
      </c>
      <c r="F22" s="276">
        <f t="shared" si="5"/>
        <v>164758.40800500568</v>
      </c>
      <c r="G22" s="276">
        <f t="shared" si="5"/>
        <v>174094.2976844213</v>
      </c>
      <c r="H22" s="276">
        <f t="shared" si="5"/>
        <v>186673.42508267658</v>
      </c>
      <c r="I22" s="276">
        <f t="shared" si="5"/>
        <v>191912.47612486314</v>
      </c>
      <c r="J22" s="276">
        <f t="shared" si="5"/>
        <v>201834.6750064143</v>
      </c>
      <c r="K22" s="276">
        <f t="shared" si="5"/>
        <v>187971.28087488166</v>
      </c>
      <c r="L22" s="276">
        <f t="shared" si="5"/>
        <v>193786.19306582608</v>
      </c>
      <c r="M22" s="298">
        <f>M11-M18</f>
        <v>213187.03860176308</v>
      </c>
    </row>
    <row r="23" spans="1:14">
      <c r="A23" s="297" t="s">
        <v>108</v>
      </c>
      <c r="B23" s="290"/>
      <c r="C23" s="276">
        <f>+C13-C20</f>
        <v>-922992</v>
      </c>
      <c r="D23" s="276">
        <f t="shared" ref="D23:M23" si="6">+D13-D20</f>
        <v>161100.5436360396</v>
      </c>
      <c r="E23" s="276">
        <f t="shared" si="6"/>
        <v>205017.99105889699</v>
      </c>
      <c r="F23" s="276">
        <f t="shared" si="6"/>
        <v>123785.43050714186</v>
      </c>
      <c r="G23" s="276">
        <f t="shared" si="6"/>
        <v>118908.74782079179</v>
      </c>
      <c r="H23" s="276">
        <f t="shared" si="6"/>
        <v>115909.51008231961</v>
      </c>
      <c r="I23" s="276">
        <f t="shared" si="6"/>
        <v>108329.58962455322</v>
      </c>
      <c r="J23" s="276">
        <f t="shared" si="6"/>
        <v>103573.1020199979</v>
      </c>
      <c r="K23" s="276">
        <f t="shared" si="6"/>
        <v>87689.989795608912</v>
      </c>
      <c r="L23" s="276">
        <f t="shared" si="6"/>
        <v>82184.262952687335</v>
      </c>
      <c r="M23" s="298">
        <f t="shared" si="6"/>
        <v>82192.832126264228</v>
      </c>
    </row>
    <row r="24" spans="1:14">
      <c r="A24" s="297"/>
      <c r="B24" s="290"/>
      <c r="C24" s="299">
        <f>C22*C19</f>
        <v>-922992</v>
      </c>
      <c r="D24" s="299">
        <f t="shared" ref="D24:M24" si="7">D22*D19</f>
        <v>161100.54363603957</v>
      </c>
      <c r="E24" s="299">
        <f t="shared" si="7"/>
        <v>205017.99105889708</v>
      </c>
      <c r="F24" s="299">
        <f t="shared" si="7"/>
        <v>123785.43050714172</v>
      </c>
      <c r="G24" s="299">
        <f t="shared" si="7"/>
        <v>118908.74782079179</v>
      </c>
      <c r="H24" s="299">
        <f t="shared" si="7"/>
        <v>115909.51008231958</v>
      </c>
      <c r="I24" s="299">
        <f t="shared" si="7"/>
        <v>108329.58962455319</v>
      </c>
      <c r="J24" s="299">
        <f t="shared" si="7"/>
        <v>103573.10201999776</v>
      </c>
      <c r="K24" s="299">
        <f t="shared" si="7"/>
        <v>87689.989795608955</v>
      </c>
      <c r="L24" s="299">
        <f t="shared" si="7"/>
        <v>82184.26295268735</v>
      </c>
      <c r="M24" s="301">
        <f t="shared" si="7"/>
        <v>82192.832126264242</v>
      </c>
    </row>
    <row r="25" spans="1:14">
      <c r="A25" s="408" t="s">
        <v>106</v>
      </c>
      <c r="B25" s="409">
        <f>SUM(C13:M13)</f>
        <v>12855964.8775554</v>
      </c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48"/>
    </row>
    <row r="26" spans="1:14">
      <c r="A26" s="410" t="s">
        <v>107</v>
      </c>
      <c r="B26" s="411">
        <f>SUM(C20:M20)</f>
        <v>12590264.877931101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98"/>
    </row>
    <row r="27" spans="1:14">
      <c r="A27" s="410" t="s">
        <v>63</v>
      </c>
      <c r="B27" s="412">
        <f>B25-B26</f>
        <v>265699.99962429889</v>
      </c>
      <c r="C27" s="292"/>
      <c r="D27" s="292"/>
      <c r="E27" s="292"/>
      <c r="F27" s="290"/>
      <c r="G27" s="290"/>
      <c r="H27" s="290"/>
      <c r="I27" s="290"/>
      <c r="J27" s="290"/>
      <c r="K27" s="290"/>
      <c r="L27" s="290"/>
      <c r="M27" s="248"/>
    </row>
    <row r="28" spans="1:14">
      <c r="A28" s="410" t="s">
        <v>64</v>
      </c>
      <c r="B28" s="413">
        <f>IRR(C22:M22)</f>
        <v>0.1633408430922334</v>
      </c>
      <c r="C28" s="292"/>
      <c r="D28" s="292"/>
      <c r="E28" s="292"/>
      <c r="F28" s="290"/>
      <c r="G28" s="290"/>
      <c r="H28" s="290"/>
      <c r="I28" s="290"/>
      <c r="J28" s="290"/>
      <c r="K28" s="290"/>
      <c r="L28" s="290"/>
      <c r="M28" s="248"/>
    </row>
    <row r="29" spans="1:14">
      <c r="A29" s="414" t="s">
        <v>122</v>
      </c>
      <c r="B29" s="415">
        <f>B25/B26</f>
        <v>1.0211036068105313</v>
      </c>
      <c r="C29" s="292"/>
      <c r="D29" s="292"/>
      <c r="E29" s="292"/>
      <c r="F29" s="290"/>
      <c r="G29" s="290"/>
      <c r="H29" s="290"/>
      <c r="I29" s="290"/>
      <c r="J29" s="290"/>
      <c r="K29" s="290"/>
      <c r="L29" s="290"/>
      <c r="M29" s="248"/>
    </row>
    <row r="30" spans="1:14">
      <c r="A30" s="302" t="s">
        <v>138</v>
      </c>
      <c r="B30" s="292"/>
      <c r="C30" s="303">
        <f>('Statement of Operations'!B31-'Statement of Operations'!B37)/'Input Value'!$B$15</f>
        <v>0</v>
      </c>
      <c r="D30" s="303">
        <f>('Statement of Operations'!C31-'Statement of Operations'!C37)/'Input Value'!$B$15</f>
        <v>6.1051877833485625E-2</v>
      </c>
      <c r="E30" s="303">
        <f>('Statement of Operations'!D31-'Statement of Operations'!D37)/'Input Value'!$B$15</f>
        <v>1.6971383998116263E-2</v>
      </c>
      <c r="F30" s="304">
        <f>('Statement of Operations'!E31-'Statement of Operations'!E37)/'Input Value'!$B$15</f>
        <v>5.9056894086239445E-2</v>
      </c>
      <c r="G30" s="304">
        <f>('Statement of Operations'!F31-'Statement of Operations'!F37)/'Input Value'!$B$15</f>
        <v>8.9089430866048092E-2</v>
      </c>
      <c r="H30" s="304">
        <f>('Statement of Operations'!G31-'Statement of Operations'!G37)/'Input Value'!$B$15</f>
        <v>0.1059187585787523</v>
      </c>
      <c r="I30" s="304">
        <f>('Statement of Operations'!H31-'Statement of Operations'!H37)/'Input Value'!$B$15</f>
        <v>0.12801030233126384</v>
      </c>
      <c r="J30" s="304">
        <f>('Statement of Operations'!I31-'Statement of Operations'!I37)/'Input Value'!$B$15</f>
        <v>0.13359358875306773</v>
      </c>
      <c r="K30" s="304">
        <f>('Statement of Operations'!J31-'Statement of Operations'!J37)/'Input Value'!$B$15</f>
        <v>0.16076406768295184</v>
      </c>
      <c r="L30" s="304">
        <f>('Statement of Operations'!K31-'Statement of Operations'!K37)/'Input Value'!$B$15</f>
        <v>0.18627699150703078</v>
      </c>
      <c r="M30" s="305">
        <f>('Statement of Operations'!L31-'Statement of Operations'!L37)/'Input Value'!$B$15</f>
        <v>0.1958025138870382</v>
      </c>
      <c r="N30" s="25"/>
    </row>
    <row r="31" spans="1:14">
      <c r="A31" s="302" t="s">
        <v>140</v>
      </c>
      <c r="B31" s="292"/>
      <c r="C31" s="292"/>
      <c r="D31" s="292"/>
      <c r="E31" s="292"/>
      <c r="F31" s="290"/>
      <c r="G31" s="290"/>
      <c r="H31" s="290"/>
      <c r="I31" s="290"/>
      <c r="J31" s="290"/>
      <c r="K31" s="290"/>
      <c r="L31" s="290"/>
      <c r="M31" s="248"/>
    </row>
    <row r="32" spans="1:14">
      <c r="A32" s="416" t="s">
        <v>226</v>
      </c>
      <c r="B32" s="417">
        <f>AVERAGE(C30:M30)</f>
        <v>0.10332143722945401</v>
      </c>
      <c r="C32" s="14"/>
      <c r="D32" s="14"/>
      <c r="E32" s="14"/>
      <c r="F32" s="290"/>
      <c r="G32" s="290"/>
      <c r="H32" s="290"/>
      <c r="I32" s="290"/>
      <c r="J32" s="290"/>
      <c r="K32" s="290"/>
      <c r="L32" s="290"/>
      <c r="M32" s="248"/>
    </row>
    <row r="33" spans="1:13">
      <c r="A33" s="414" t="s">
        <v>142</v>
      </c>
      <c r="B33" s="418">
        <f>IF(MIN(D37:M37)&gt;0,MIN(D37:M37),"")</f>
        <v>9</v>
      </c>
      <c r="C33" s="292"/>
      <c r="D33" s="292"/>
      <c r="E33" s="292"/>
      <c r="F33" s="290"/>
      <c r="G33" s="290"/>
      <c r="H33" s="290"/>
      <c r="I33" s="290"/>
      <c r="J33" s="290"/>
      <c r="K33" s="290"/>
      <c r="L33" s="290"/>
      <c r="M33" s="248"/>
    </row>
    <row r="34" spans="1:13">
      <c r="A34" s="302" t="s">
        <v>143</v>
      </c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48"/>
    </row>
    <row r="35" spans="1:13">
      <c r="A35" s="11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15"/>
    </row>
    <row r="36" spans="1:13">
      <c r="A36" s="117" t="s">
        <v>258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14"/>
      <c r="M36" s="115"/>
    </row>
    <row r="37" spans="1:13" ht="13.8" thickBot="1">
      <c r="A37" s="405"/>
      <c r="B37" s="320"/>
      <c r="C37" s="320"/>
      <c r="D37" s="406" t="str">
        <f>IF((SUM('Statement of Operations'!$C32:C32)+SUM('Statement of Operations'!$C49:C50))&gt;'Input Value'!$B$22,'Return On Investment'!D10,"")</f>
        <v/>
      </c>
      <c r="E37" s="406" t="str">
        <f>IF((SUM('Statement of Operations'!$C32:D32)+SUM('Statement of Operations'!$C49:D50))&gt;'Input Value'!$B$22,'Return On Investment'!E10,"")</f>
        <v/>
      </c>
      <c r="F37" s="406" t="str">
        <f>IF((SUM('Statement of Operations'!$C32:E32)+SUM('Statement of Operations'!$C49:E50))&gt;'Input Value'!$B$22,'Return On Investment'!F10,"")</f>
        <v/>
      </c>
      <c r="G37" s="406" t="str">
        <f>IF((SUM('Statement of Operations'!$C32:F32)+SUM('Statement of Operations'!$C49:F50))&gt;'Input Value'!$B$22,'Return On Investment'!G10,"")</f>
        <v/>
      </c>
      <c r="H37" s="406" t="str">
        <f>IF((SUM('Statement of Operations'!$C32:G32)+SUM('Statement of Operations'!$C49:G50))&gt;'Input Value'!$B$22,'Return On Investment'!H10,"")</f>
        <v/>
      </c>
      <c r="I37" s="406" t="str">
        <f>IF((SUM('Statement of Operations'!$C32:H32)+SUM('Statement of Operations'!$C49:H50))&gt;'Input Value'!$B$22,'Return On Investment'!I10,"")</f>
        <v/>
      </c>
      <c r="J37" s="406" t="str">
        <f>IF((SUM('Statement of Operations'!$C32:I32)+SUM('Statement of Operations'!$C49:I50))&gt;'Input Value'!$B$22,'Return On Investment'!J10,"")</f>
        <v/>
      </c>
      <c r="K37" s="406" t="str">
        <f>IF((SUM('Statement of Operations'!$C32:J32)+SUM('Statement of Operations'!$C49:J50))&gt;'Input Value'!$B$22,'Return On Investment'!K10,"")</f>
        <v/>
      </c>
      <c r="L37" s="406">
        <f>IF((SUM('Statement of Operations'!$C32:K32)+SUM('Statement of Operations'!$C49:K50))&gt;'Input Value'!$B$22,'Return On Investment'!L10,"")</f>
        <v>9</v>
      </c>
      <c r="M37" s="407">
        <f>IF((SUM('Statement of Operations'!$C32:L32)+SUM('Statement of Operations'!$C49:L50))&gt;'Input Value'!$B$22,'Return On Investment'!M10,"")</f>
        <v>10</v>
      </c>
    </row>
    <row r="38" spans="1:13">
      <c r="A38" s="6"/>
    </row>
    <row r="39" spans="1:13">
      <c r="B39" s="6"/>
    </row>
    <row r="49" spans="4:13">
      <c r="D49" s="4"/>
      <c r="E49" s="4"/>
      <c r="F49" s="4"/>
      <c r="G49" s="4"/>
      <c r="H49" s="4"/>
      <c r="I49" s="4"/>
      <c r="J49" s="4"/>
      <c r="K49" s="4"/>
      <c r="L49" s="4"/>
      <c r="M49" s="4"/>
    </row>
  </sheetData>
  <sheetProtection algorithmName="SHA-512" hashValue="87k2mNc8FKBkXXNGff4/Eevj/bcrFID0JLR0b3SWLEnpx+2gCo6tdwtBI3vArDhy3waDRvGR3kKWR0hvEXQIZg==" saltValue="7GGPLr+ZsQziTkrUBYbOBQ==" spinCount="100000" sheet="1" formatColumns="0"/>
  <mergeCells count="3">
    <mergeCell ref="A1:C1"/>
    <mergeCell ref="A2:C2"/>
    <mergeCell ref="A3:C3"/>
  </mergeCells>
  <phoneticPr fontId="0" type="noConversion"/>
  <hyperlinks>
    <hyperlink ref="A2:C2" location="'Input Value'!A1" display="BACK TO INPUTS" xr:uid="{00000000-0004-0000-0900-000000000000}"/>
    <hyperlink ref="A3:C3" location="'Operations Summary'!A1" display="BACK TO OPERATION SUMMARY" xr:uid="{00000000-0004-0000-0900-000001000000}"/>
  </hyperlinks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6"/>
  <sheetViews>
    <sheetView showGridLines="0" workbookViewId="0">
      <selection sqref="A1:C1"/>
    </sheetView>
  </sheetViews>
  <sheetFormatPr defaultColWidth="8.88671875" defaultRowHeight="13.2"/>
  <cols>
    <col min="1" max="1" width="26.44140625" customWidth="1"/>
    <col min="2" max="2" width="16.44140625" bestFit="1" customWidth="1"/>
    <col min="3" max="3" width="12.33203125" bestFit="1" customWidth="1"/>
    <col min="4" max="4" width="10.33203125" customWidth="1"/>
    <col min="5" max="10" width="12.33203125" bestFit="1" customWidth="1"/>
    <col min="11" max="11" width="16.6640625" customWidth="1"/>
    <col min="12" max="12" width="8.88671875" customWidth="1"/>
    <col min="13" max="13" width="11.33203125" bestFit="1" customWidth="1"/>
  </cols>
  <sheetData>
    <row r="1" spans="1:13" ht="13.8" thickBot="1">
      <c r="A1" s="466" t="s">
        <v>146</v>
      </c>
      <c r="B1" s="467"/>
      <c r="C1" s="468"/>
    </row>
    <row r="2" spans="1:13" ht="13.8" thickBot="1">
      <c r="A2" s="469" t="s">
        <v>153</v>
      </c>
      <c r="B2" s="470"/>
      <c r="C2" s="471"/>
    </row>
    <row r="3" spans="1:13" ht="13.8" thickBot="1">
      <c r="A3" s="469" t="s">
        <v>151</v>
      </c>
      <c r="B3" s="470"/>
      <c r="C3" s="471"/>
    </row>
    <row r="4" spans="1:13" ht="13.8" thickBot="1">
      <c r="A4" s="469" t="s">
        <v>154</v>
      </c>
      <c r="B4" s="470"/>
      <c r="C4" s="471"/>
    </row>
    <row r="5" spans="1:13">
      <c r="A5" s="1" t="s">
        <v>210</v>
      </c>
      <c r="B5" s="1" t="s">
        <v>233</v>
      </c>
    </row>
    <row r="6" spans="1:13" ht="13.8" thickBot="1">
      <c r="A6" s="1"/>
      <c r="B6" s="1"/>
    </row>
    <row r="7" spans="1:13">
      <c r="A7" s="241"/>
      <c r="B7" s="112"/>
      <c r="C7" s="112"/>
      <c r="D7" s="200" t="s">
        <v>215</v>
      </c>
      <c r="E7" s="112"/>
      <c r="F7" s="112"/>
      <c r="G7" s="307">
        <v>0.3</v>
      </c>
      <c r="H7" s="112"/>
      <c r="I7" s="112"/>
      <c r="J7" s="112"/>
      <c r="K7" s="112"/>
      <c r="L7" s="112"/>
      <c r="M7" s="113"/>
    </row>
    <row r="8" spans="1:13">
      <c r="A8" s="116" t="s">
        <v>211</v>
      </c>
      <c r="B8" s="110">
        <f>+'Input Value'!B22</f>
        <v>461496</v>
      </c>
      <c r="C8" s="14"/>
      <c r="D8" s="16" t="s">
        <v>223</v>
      </c>
      <c r="E8" s="14"/>
      <c r="F8" s="14"/>
      <c r="G8" s="209">
        <v>0.28000000000000003</v>
      </c>
      <c r="H8" s="14"/>
      <c r="I8" s="14"/>
      <c r="J8" s="14"/>
      <c r="K8" s="14"/>
      <c r="L8" s="14"/>
      <c r="M8" s="115"/>
    </row>
    <row r="9" spans="1:13">
      <c r="A9" s="116"/>
      <c r="B9" s="419" t="s">
        <v>0</v>
      </c>
      <c r="C9" s="419" t="s">
        <v>1</v>
      </c>
      <c r="D9" s="419" t="s">
        <v>2</v>
      </c>
      <c r="E9" s="419" t="s">
        <v>3</v>
      </c>
      <c r="F9" s="419" t="s">
        <v>4</v>
      </c>
      <c r="G9" s="420" t="s">
        <v>5</v>
      </c>
      <c r="H9" s="419" t="s">
        <v>6</v>
      </c>
      <c r="I9" s="419" t="s">
        <v>7</v>
      </c>
      <c r="J9" s="419" t="s">
        <v>8</v>
      </c>
      <c r="K9" s="419" t="s">
        <v>9</v>
      </c>
      <c r="L9" s="421"/>
      <c r="M9" s="422"/>
    </row>
    <row r="10" spans="1:13">
      <c r="A10" s="116" t="s">
        <v>171</v>
      </c>
      <c r="B10" s="235">
        <f>+'Statement of Operations'!C32</f>
        <v>33147.291073696797</v>
      </c>
      <c r="C10" s="235">
        <f>+'Statement of Operations'!D32</f>
        <v>9214.3833289348968</v>
      </c>
      <c r="D10" s="235">
        <f>+'Statement of Operations'!E32</f>
        <v>32064.141639086065</v>
      </c>
      <c r="E10" s="235">
        <f>+'Statement of Operations'!F32</f>
        <v>48369.901161126727</v>
      </c>
      <c r="F10" s="235">
        <f>+'Statement of Operations'!G32</f>
        <v>57507.156951835139</v>
      </c>
      <c r="G10" s="235">
        <f>+'Statement of Operations'!H32</f>
        <v>64236.891987905714</v>
      </c>
      <c r="H10" s="235">
        <f>+'Statement of Operations'!I32</f>
        <v>71069.370689152376</v>
      </c>
      <c r="I10" s="235">
        <f>+'Statement of Operations'!J32</f>
        <v>82192.135362511661</v>
      </c>
      <c r="J10" s="235">
        <f>+'Statement of Operations'!K32</f>
        <v>93454.293900913603</v>
      </c>
      <c r="K10" s="235">
        <f>+'Statement of Operations'!L32</f>
        <v>97174.836188605681</v>
      </c>
      <c r="L10" s="14"/>
      <c r="M10" s="115"/>
    </row>
    <row r="11" spans="1:13">
      <c r="A11" s="116" t="s">
        <v>220</v>
      </c>
      <c r="B11" s="235">
        <f>'Statement of Operations'!C29</f>
        <v>0</v>
      </c>
      <c r="C11" s="235">
        <f>'Statement of Operations'!D29</f>
        <v>0</v>
      </c>
      <c r="D11" s="235">
        <f>'Statement of Operations'!E29</f>
        <v>0</v>
      </c>
      <c r="E11" s="235">
        <f>'Statement of Operations'!F29</f>
        <v>0</v>
      </c>
      <c r="F11" s="235">
        <f>'Statement of Operations'!G29</f>
        <v>0</v>
      </c>
      <c r="G11" s="235">
        <f>'Statement of Operations'!H29</f>
        <v>0</v>
      </c>
      <c r="H11" s="235">
        <f>'Statement of Operations'!I29</f>
        <v>0</v>
      </c>
      <c r="I11" s="235">
        <f>'Statement of Operations'!J29</f>
        <v>0</v>
      </c>
      <c r="J11" s="235">
        <f>'Statement of Operations'!K29</f>
        <v>0</v>
      </c>
      <c r="K11" s="235">
        <f>'Statement of Operations'!L29</f>
        <v>0</v>
      </c>
      <c r="L11" s="14"/>
      <c r="M11" s="115"/>
    </row>
    <row r="12" spans="1:13">
      <c r="A12" s="11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14"/>
      <c r="M12" s="115"/>
    </row>
    <row r="13" spans="1:13">
      <c r="A13" s="116" t="s">
        <v>212</v>
      </c>
      <c r="B13" s="235">
        <f>+'Statement of Operations'!C33</f>
        <v>0</v>
      </c>
      <c r="C13" s="235">
        <f>+'Statement of Operations'!D33</f>
        <v>0</v>
      </c>
      <c r="D13" s="235">
        <f>+'Statement of Operations'!E33</f>
        <v>0</v>
      </c>
      <c r="E13" s="235">
        <f>+'Statement of Operations'!F33</f>
        <v>0</v>
      </c>
      <c r="F13" s="235">
        <f>+'Statement of Operations'!G33</f>
        <v>0</v>
      </c>
      <c r="G13" s="235">
        <f>+'Statement of Operations'!H33</f>
        <v>0</v>
      </c>
      <c r="H13" s="235">
        <f>+'Statement of Operations'!I33</f>
        <v>0</v>
      </c>
      <c r="I13" s="235">
        <f>+'Statement of Operations'!J33</f>
        <v>0</v>
      </c>
      <c r="J13" s="235">
        <f>+'Statement of Operations'!K33</f>
        <v>0</v>
      </c>
      <c r="K13" s="235">
        <f>+'Statement of Operations'!L33</f>
        <v>0</v>
      </c>
      <c r="L13" s="14"/>
      <c r="M13" s="115"/>
    </row>
    <row r="14" spans="1:13">
      <c r="A14" s="116" t="s">
        <v>217</v>
      </c>
      <c r="B14" s="235">
        <f>'Owners Equity'!C51</f>
        <v>0</v>
      </c>
      <c r="C14" s="235">
        <f>'Owners Equity'!D51</f>
        <v>0</v>
      </c>
      <c r="D14" s="235">
        <f>'Owners Equity'!E51</f>
        <v>0</v>
      </c>
      <c r="E14" s="235">
        <f>'Owners Equity'!F51</f>
        <v>0</v>
      </c>
      <c r="F14" s="235">
        <f>'Owners Equity'!G51</f>
        <v>0</v>
      </c>
      <c r="G14" s="235">
        <f>'Owners Equity'!H51</f>
        <v>29832.561966327125</v>
      </c>
      <c r="H14" s="235">
        <f>'Owners Equity'!I51</f>
        <v>8292.9449960414095</v>
      </c>
      <c r="I14" s="235">
        <f>'Owners Equity'!J51</f>
        <v>28857.727475177464</v>
      </c>
      <c r="J14" s="235">
        <f>'Owners Equity'!K51</f>
        <v>43532.911045014065</v>
      </c>
      <c r="K14" s="235">
        <f>'Owners Equity'!L51</f>
        <v>51756.441256651633</v>
      </c>
      <c r="L14" s="14"/>
      <c r="M14" s="115"/>
    </row>
    <row r="15" spans="1:13">
      <c r="A15" s="116" t="s">
        <v>216</v>
      </c>
      <c r="B15" s="235">
        <f>+'Statement of Operations'!C49+'Statement of Operations'!C48</f>
        <v>0</v>
      </c>
      <c r="C15" s="235">
        <f>+'Statement of Operations'!D49+'Statement of Operations'!D48</f>
        <v>0</v>
      </c>
      <c r="D15" s="235">
        <f>+'Statement of Operations'!E49+'Statement of Operations'!E48</f>
        <v>0</v>
      </c>
      <c r="E15" s="235">
        <f>+'Statement of Operations'!F49+'Statement of Operations'!F48</f>
        <v>0</v>
      </c>
      <c r="F15" s="235">
        <f>+'Statement of Operations'!G49+'Statement of Operations'!G48</f>
        <v>0</v>
      </c>
      <c r="G15" s="235">
        <f>+'Statement of Operations'!H49+'Statement of Operations'!H48</f>
        <v>0</v>
      </c>
      <c r="H15" s="235">
        <f>+'Statement of Operations'!I49+'Statement of Operations'!I48</f>
        <v>0</v>
      </c>
      <c r="I15" s="235">
        <f>+'Statement of Operations'!J49+'Statement of Operations'!J48</f>
        <v>0</v>
      </c>
      <c r="J15" s="235">
        <f>+'Statement of Operations'!K49+'Statement of Operations'!K48</f>
        <v>0</v>
      </c>
      <c r="K15" s="235">
        <f>+'Statement of Operations'!L49+'Statement of Operations'!L48</f>
        <v>0</v>
      </c>
      <c r="L15" s="14"/>
      <c r="M15" s="308">
        <f>SUM(B15:K15)</f>
        <v>0</v>
      </c>
    </row>
    <row r="16" spans="1:13">
      <c r="A16" s="116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14"/>
      <c r="M16" s="115"/>
    </row>
    <row r="17" spans="1:13">
      <c r="A17" s="116" t="s">
        <v>221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>
        <f>IF('Input Value'!B23=1,(5*'Statement of Operations'!O28),0)</f>
        <v>818233.038432681</v>
      </c>
      <c r="L17" s="14"/>
      <c r="M17" s="115"/>
    </row>
    <row r="18" spans="1:13">
      <c r="A18" s="116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14"/>
      <c r="M18" s="115"/>
    </row>
    <row r="19" spans="1:13">
      <c r="A19" s="116" t="s">
        <v>213</v>
      </c>
      <c r="B19" s="235">
        <f>+B10+B11+B13+B14</f>
        <v>33147.291073696797</v>
      </c>
      <c r="C19" s="235">
        <f>+C10+C11+C13+C14</f>
        <v>9214.3833289348968</v>
      </c>
      <c r="D19" s="235">
        <f t="shared" ref="D19:K19" si="0">+D10++D11+D13+D14</f>
        <v>32064.141639086065</v>
      </c>
      <c r="E19" s="235">
        <f t="shared" si="0"/>
        <v>48369.901161126727</v>
      </c>
      <c r="F19" s="235">
        <f t="shared" si="0"/>
        <v>57507.156951835139</v>
      </c>
      <c r="G19" s="235">
        <f t="shared" si="0"/>
        <v>94069.453954232842</v>
      </c>
      <c r="H19" s="235">
        <f t="shared" si="0"/>
        <v>79362.315685193782</v>
      </c>
      <c r="I19" s="235">
        <f t="shared" si="0"/>
        <v>111049.86283768913</v>
      </c>
      <c r="J19" s="235">
        <f t="shared" si="0"/>
        <v>136987.20494592766</v>
      </c>
      <c r="K19" s="235">
        <f t="shared" si="0"/>
        <v>148931.27744525732</v>
      </c>
      <c r="L19" s="14"/>
      <c r="M19" s="115"/>
    </row>
    <row r="20" spans="1:13">
      <c r="A20" s="116" t="s">
        <v>222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>
        <f>IF(K17&gt;0,(K17-B8),0)</f>
        <v>356737.038432681</v>
      </c>
      <c r="L20" s="14"/>
      <c r="M20" s="115"/>
    </row>
    <row r="21" spans="1:13">
      <c r="A21" s="116" t="s">
        <v>214</v>
      </c>
      <c r="B21" s="235">
        <f>+B19*$G$7</f>
        <v>9944.1873221090391</v>
      </c>
      <c r="C21" s="235">
        <f t="shared" ref="C21:J21" si="1">+C19*$G$7</f>
        <v>2764.3149986804688</v>
      </c>
      <c r="D21" s="235">
        <f t="shared" si="1"/>
        <v>9619.2424917258195</v>
      </c>
      <c r="E21" s="235">
        <f t="shared" si="1"/>
        <v>14510.970348338018</v>
      </c>
      <c r="F21" s="235">
        <f t="shared" si="1"/>
        <v>17252.147085550539</v>
      </c>
      <c r="G21" s="235">
        <f t="shared" si="1"/>
        <v>28220.836186269851</v>
      </c>
      <c r="H21" s="235">
        <f t="shared" si="1"/>
        <v>23808.694705558133</v>
      </c>
      <c r="I21" s="235">
        <f t="shared" si="1"/>
        <v>33314.958851306736</v>
      </c>
      <c r="J21" s="235">
        <f t="shared" si="1"/>
        <v>41096.161483778298</v>
      </c>
      <c r="K21" s="235">
        <f>+K19*$G$7+(K20*G8)</f>
        <v>144565.75399472789</v>
      </c>
      <c r="L21" s="14"/>
      <c r="M21" s="308">
        <f>SUM(B21:K21)</f>
        <v>325097.26746804477</v>
      </c>
    </row>
    <row r="22" spans="1:13">
      <c r="A22" s="116"/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14"/>
      <c r="M22" s="115"/>
    </row>
    <row r="23" spans="1:13">
      <c r="A23" s="116" t="s">
        <v>218</v>
      </c>
      <c r="B23" s="235">
        <f>B10+B11+B14+B15-B21</f>
        <v>23203.103751587758</v>
      </c>
      <c r="C23" s="235">
        <f t="shared" ref="C23:J23" si="2">C10+C11+C14+C15-C21</f>
        <v>6450.0683302544276</v>
      </c>
      <c r="D23" s="235">
        <f t="shared" si="2"/>
        <v>22444.899147360244</v>
      </c>
      <c r="E23" s="235">
        <f t="shared" si="2"/>
        <v>33858.930812788705</v>
      </c>
      <c r="F23" s="235">
        <f t="shared" si="2"/>
        <v>40255.009866284599</v>
      </c>
      <c r="G23" s="235">
        <f t="shared" si="2"/>
        <v>65848.617767962991</v>
      </c>
      <c r="H23" s="235">
        <f t="shared" si="2"/>
        <v>55553.620979635649</v>
      </c>
      <c r="I23" s="235">
        <f t="shared" si="2"/>
        <v>77734.903986382385</v>
      </c>
      <c r="J23" s="235">
        <f t="shared" si="2"/>
        <v>95891.043462149362</v>
      </c>
      <c r="K23" s="235">
        <f>K10+K11+K14+K15+K17-K21</f>
        <v>822598.56188321044</v>
      </c>
      <c r="L23" s="14"/>
      <c r="M23" s="308">
        <f>SUM(B23:K23)</f>
        <v>1243838.7599876164</v>
      </c>
    </row>
    <row r="24" spans="1:13">
      <c r="A24" s="1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15"/>
    </row>
    <row r="25" spans="1:13">
      <c r="A25" s="116" t="s">
        <v>219</v>
      </c>
      <c r="B25" s="309">
        <f>+B23/$B$8</f>
        <v>5.0278017039341094E-2</v>
      </c>
      <c r="C25" s="309">
        <f t="shared" ref="C25:K25" si="3">+C23/$B$8</f>
        <v>1.3976433880801626E-2</v>
      </c>
      <c r="D25" s="309">
        <f t="shared" si="3"/>
        <v>4.8635089247491298E-2</v>
      </c>
      <c r="E25" s="309">
        <f t="shared" si="3"/>
        <v>7.3367766595568984E-2</v>
      </c>
      <c r="F25" s="309">
        <f t="shared" si="3"/>
        <v>8.7227212947207769E-2</v>
      </c>
      <c r="G25" s="309">
        <f t="shared" si="3"/>
        <v>0.14268513219608187</v>
      </c>
      <c r="H25" s="309">
        <f t="shared" si="3"/>
        <v>0.12037725349653225</v>
      </c>
      <c r="I25" s="309">
        <f t="shared" si="3"/>
        <v>0.16844112188704211</v>
      </c>
      <c r="J25" s="309">
        <f t="shared" si="3"/>
        <v>0.20778304354132943</v>
      </c>
      <c r="K25" s="309">
        <f t="shared" si="3"/>
        <v>1.7824608704803735</v>
      </c>
      <c r="L25" s="14"/>
      <c r="M25" s="115"/>
    </row>
    <row r="26" spans="1:13">
      <c r="A26" s="116"/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14"/>
      <c r="M26" s="115"/>
    </row>
    <row r="27" spans="1:13">
      <c r="A27" s="114" t="s">
        <v>231</v>
      </c>
      <c r="B27" s="310">
        <f>AVERAGE(B25:K25)</f>
        <v>0.26952319413117698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14"/>
      <c r="M27" s="115"/>
    </row>
    <row r="28" spans="1:13">
      <c r="A28" s="116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15"/>
    </row>
    <row r="29" spans="1:13">
      <c r="A29" s="116" t="s">
        <v>225</v>
      </c>
      <c r="B29" s="110">
        <f>-B8</f>
        <v>-461496</v>
      </c>
      <c r="C29" s="236">
        <f>+C23</f>
        <v>6450.0683302544276</v>
      </c>
      <c r="D29" s="236">
        <f t="shared" ref="D29:K29" si="4">+D23</f>
        <v>22444.899147360244</v>
      </c>
      <c r="E29" s="236">
        <f t="shared" si="4"/>
        <v>33858.930812788705</v>
      </c>
      <c r="F29" s="236">
        <f t="shared" si="4"/>
        <v>40255.009866284599</v>
      </c>
      <c r="G29" s="236">
        <f t="shared" si="4"/>
        <v>65848.617767962991</v>
      </c>
      <c r="H29" s="236">
        <f t="shared" si="4"/>
        <v>55553.620979635649</v>
      </c>
      <c r="I29" s="236">
        <f t="shared" si="4"/>
        <v>77734.903986382385</v>
      </c>
      <c r="J29" s="236">
        <f t="shared" si="4"/>
        <v>95891.043462149362</v>
      </c>
      <c r="K29" s="236">
        <f t="shared" si="4"/>
        <v>822598.56188321044</v>
      </c>
      <c r="L29" s="14"/>
      <c r="M29" s="115"/>
    </row>
    <row r="30" spans="1:13">
      <c r="A30" s="11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15"/>
    </row>
    <row r="31" spans="1:13">
      <c r="A31" s="114" t="s">
        <v>468</v>
      </c>
      <c r="B31" s="251">
        <f>NPV('Return On Investment'!B8,B29:L29)</f>
        <v>110529.34570781054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15"/>
    </row>
    <row r="32" spans="1:13">
      <c r="A32" s="114" t="s">
        <v>469</v>
      </c>
      <c r="B32" s="311">
        <f>IRR(B29:K29)</f>
        <v>0.13499600167261172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15"/>
    </row>
    <row r="33" spans="1:13">
      <c r="A33" s="114" t="s">
        <v>227</v>
      </c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15"/>
    </row>
    <row r="34" spans="1:13">
      <c r="A34" s="116" t="s">
        <v>228</v>
      </c>
      <c r="B34" s="216">
        <f>'Statement of Operations'!C30</f>
        <v>0</v>
      </c>
      <c r="C34" s="210">
        <f>'Statement of Operations'!D30</f>
        <v>0</v>
      </c>
      <c r="D34" s="210">
        <f>'Statement of Operations'!E30</f>
        <v>0</v>
      </c>
      <c r="E34" s="210">
        <f>'Statement of Operations'!F30</f>
        <v>0</v>
      </c>
      <c r="F34" s="210">
        <f>'Statement of Operations'!G30</f>
        <v>0</v>
      </c>
      <c r="G34" s="210">
        <f>'Statement of Operations'!H30</f>
        <v>0</v>
      </c>
      <c r="H34" s="210">
        <f>'Statement of Operations'!I30</f>
        <v>0</v>
      </c>
      <c r="I34" s="210">
        <f>'Statement of Operations'!J30</f>
        <v>0</v>
      </c>
      <c r="J34" s="210">
        <f>'Statement of Operations'!K30</f>
        <v>0</v>
      </c>
      <c r="K34" s="210">
        <f>'Statement of Operations'!L30</f>
        <v>0</v>
      </c>
      <c r="L34" s="14"/>
      <c r="M34" s="115"/>
    </row>
    <row r="35" spans="1:13">
      <c r="A35" s="114" t="s">
        <v>219</v>
      </c>
      <c r="B35" s="312" t="e">
        <f>B34/'Input Value'!B26</f>
        <v>#DIV/0!</v>
      </c>
      <c r="C35" s="309" t="e">
        <f>+C34/'Owners Equity'!D14</f>
        <v>#DIV/0!</v>
      </c>
      <c r="D35" s="309" t="e">
        <f>+D34/'Owners Equity'!E14</f>
        <v>#DIV/0!</v>
      </c>
      <c r="E35" s="309" t="e">
        <f>+E34/'Owners Equity'!F14</f>
        <v>#DIV/0!</v>
      </c>
      <c r="F35" s="309" t="e">
        <f>+F34/'Owners Equity'!G14</f>
        <v>#DIV/0!</v>
      </c>
      <c r="G35" s="309" t="e">
        <f>+G34/'Owners Equity'!H14</f>
        <v>#DIV/0!</v>
      </c>
      <c r="H35" s="309" t="e">
        <f>+H34/'Owners Equity'!I14</f>
        <v>#DIV/0!</v>
      </c>
      <c r="I35" s="309" t="e">
        <f>+I34/'Owners Equity'!J14</f>
        <v>#DIV/0!</v>
      </c>
      <c r="J35" s="309" t="e">
        <f>+J34/'Owners Equity'!K14</f>
        <v>#DIV/0!</v>
      </c>
      <c r="K35" s="309" t="e">
        <f>+K34/'Owners Equity'!L14</f>
        <v>#DIV/0!</v>
      </c>
      <c r="L35" s="14"/>
      <c r="M35" s="115"/>
    </row>
    <row r="36" spans="1:13" ht="13.8" thickBot="1">
      <c r="A36" s="222" t="s">
        <v>232</v>
      </c>
      <c r="B36" s="313" t="e">
        <f>AVERAGE(C35:K35)</f>
        <v>#DIV/0!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238"/>
    </row>
  </sheetData>
  <sheetProtection algorithmName="SHA-512" hashValue="lrhRFHMBnGcKSyQDzy3CGNNnWOXLIzOP1aFf/tUIEdJ1bccXboF23aHMszGUC1kBoSiG3le8mnqxKkTDOQpbMQ==" saltValue="bF+8LKxLhCcjjK4K0xIukA==" spinCount="100000" sheet="1" formatColumns="0"/>
  <mergeCells count="4">
    <mergeCell ref="A1:C1"/>
    <mergeCell ref="A2:C2"/>
    <mergeCell ref="A3:C3"/>
    <mergeCell ref="A4:C4"/>
  </mergeCells>
  <phoneticPr fontId="0" type="noConversion"/>
  <hyperlinks>
    <hyperlink ref="A2:C2" location="'Input Value'!A1" display="BACK TO INPUTS" xr:uid="{C2D2C400-BDE1-4BD0-B3CD-EDB3F08D0F2C}"/>
    <hyperlink ref="A3:C3" location="'Return On Investment'!A1" display="FORWARD TO RETURN ON INVESTMENT" xr:uid="{D7B9C8CC-CFE1-4A6E-9424-D1EBD917721F}"/>
    <hyperlink ref="A4:C4" location="'Operations Summary'!A1" display="BACK TO OPERATION SUMMARY" xr:uid="{F7976551-7ADF-49A4-86B3-1CF12FB80DA9}"/>
  </hyperlink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1"/>
  <sheetViews>
    <sheetView showGridLines="0" workbookViewId="0">
      <selection sqref="A1:C1"/>
    </sheetView>
  </sheetViews>
  <sheetFormatPr defaultColWidth="8.88671875" defaultRowHeight="13.2"/>
  <cols>
    <col min="1" max="1" width="42.33203125" customWidth="1"/>
    <col min="2" max="2" width="12.6640625" hidden="1" customWidth="1"/>
    <col min="3" max="3" width="17.88671875" customWidth="1"/>
    <col min="4" max="12" width="12.6640625" customWidth="1"/>
  </cols>
  <sheetData>
    <row r="1" spans="1:12" ht="13.8" thickBot="1">
      <c r="A1" s="466" t="s">
        <v>146</v>
      </c>
      <c r="B1" s="467"/>
      <c r="C1" s="468"/>
    </row>
    <row r="2" spans="1:12" ht="13.8" thickBot="1">
      <c r="A2" s="469" t="s">
        <v>153</v>
      </c>
      <c r="B2" s="470"/>
      <c r="C2" s="471"/>
    </row>
    <row r="3" spans="1:12" ht="13.8" thickBot="1">
      <c r="A3" s="469" t="s">
        <v>151</v>
      </c>
      <c r="B3" s="470"/>
      <c r="C3" s="471"/>
    </row>
    <row r="4" spans="1:12" ht="13.8" thickBot="1">
      <c r="A4" s="469" t="s">
        <v>154</v>
      </c>
      <c r="B4" s="470"/>
      <c r="C4" s="471"/>
    </row>
    <row r="5" spans="1:12" ht="14.4" thickBot="1">
      <c r="A5" s="32" t="s">
        <v>277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3.8">
      <c r="A6" s="423"/>
      <c r="B6" s="424" t="str">
        <f>'Statement of Operations'!B8</f>
        <v>Year 0</v>
      </c>
      <c r="C6" s="424" t="str">
        <f>'Market Projection'!C7</f>
        <v>Year 1</v>
      </c>
      <c r="D6" s="424" t="str">
        <f>'Market Projection'!D7</f>
        <v>Year 2</v>
      </c>
      <c r="E6" s="424" t="str">
        <f>'Market Projection'!E7</f>
        <v>Year 3</v>
      </c>
      <c r="F6" s="424" t="str">
        <f>'Market Projection'!F7</f>
        <v>Year 4</v>
      </c>
      <c r="G6" s="424" t="str">
        <f>'Market Projection'!G7</f>
        <v>Year 5</v>
      </c>
      <c r="H6" s="424" t="str">
        <f>'Market Projection'!H7</f>
        <v>Year 6</v>
      </c>
      <c r="I6" s="424" t="str">
        <f>'Market Projection'!I7</f>
        <v>Year 7</v>
      </c>
      <c r="J6" s="424" t="str">
        <f>'Market Projection'!J7</f>
        <v>Year 8</v>
      </c>
      <c r="K6" s="424" t="str">
        <f>'Market Projection'!K7</f>
        <v>Year 9</v>
      </c>
      <c r="L6" s="425" t="str">
        <f>'Market Projection'!L7</f>
        <v>Year 10</v>
      </c>
    </row>
    <row r="7" spans="1:12" ht="13.8">
      <c r="A7" s="161" t="s">
        <v>259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160"/>
    </row>
    <row r="8" spans="1:12" ht="13.8">
      <c r="A8" s="135" t="s">
        <v>301</v>
      </c>
      <c r="B8" s="314">
        <f>'Loan Amortization'!$B$28</f>
        <v>201532</v>
      </c>
      <c r="C8" s="314">
        <f>'Loan Amortization'!$B$28</f>
        <v>201532</v>
      </c>
      <c r="D8" s="314">
        <f>'Loan Amortization'!$B$28</f>
        <v>201532</v>
      </c>
      <c r="E8" s="314">
        <f>'Loan Amortization'!$B$28</f>
        <v>201532</v>
      </c>
      <c r="F8" s="314">
        <f>'Loan Amortization'!$B$28</f>
        <v>201532</v>
      </c>
      <c r="G8" s="314">
        <f>'Loan Amortization'!$B$28</f>
        <v>201532</v>
      </c>
      <c r="H8" s="314">
        <f>'Loan Amortization'!$B$28</f>
        <v>201532</v>
      </c>
      <c r="I8" s="314">
        <f>'Loan Amortization'!$B$28</f>
        <v>201532</v>
      </c>
      <c r="J8" s="314">
        <f>'Loan Amortization'!$B$28</f>
        <v>201532</v>
      </c>
      <c r="K8" s="314">
        <f>'Loan Amortization'!$B$28</f>
        <v>201532</v>
      </c>
      <c r="L8" s="315">
        <f>'Loan Amortization'!$B$28</f>
        <v>201532</v>
      </c>
    </row>
    <row r="9" spans="1:12" ht="13.8">
      <c r="A9" s="135" t="s">
        <v>260</v>
      </c>
      <c r="B9" s="314"/>
      <c r="C9" s="314">
        <f>'Statement of Operations'!C52</f>
        <v>76829.834162501007</v>
      </c>
      <c r="D9" s="314">
        <f>'Statement of Operations'!D52</f>
        <v>187614.59344641023</v>
      </c>
      <c r="E9" s="314">
        <f>'Statement of Operations'!E52</f>
        <v>271565.2334308725</v>
      </c>
      <c r="F9" s="314">
        <f>'Statement of Operations'!F52</f>
        <v>337217.65820546896</v>
      </c>
      <c r="G9" s="314">
        <f>'Statement of Operations'!G52</f>
        <v>393919.91534261993</v>
      </c>
      <c r="H9" s="314">
        <f>'Statement of Operations'!H52</f>
        <v>423948.27109582938</v>
      </c>
      <c r="I9" s="314">
        <f>'Statement of Operations'!I52</f>
        <v>463159.25943139242</v>
      </c>
      <c r="J9" s="314">
        <f>'Statement of Operations'!J52</f>
        <v>476532.30020111369</v>
      </c>
      <c r="K9" s="314">
        <f>'Statement of Operations'!K52</f>
        <v>468039.07055939781</v>
      </c>
      <c r="L9" s="315">
        <f>'Statement of Operations'!L52</f>
        <v>452030.30062477977</v>
      </c>
    </row>
    <row r="10" spans="1:12" ht="13.8">
      <c r="A10" s="135" t="s">
        <v>261</v>
      </c>
      <c r="B10" s="314">
        <f>'Equip and Depreciation'!$C$42+SUM('Equip and Depreciation'!A45:$B45)</f>
        <v>922992</v>
      </c>
      <c r="C10" s="314">
        <f>'Equip and Depreciation'!$C$42+SUM('Equip and Depreciation'!$B45:B45)</f>
        <v>922992</v>
      </c>
      <c r="D10" s="314">
        <f>'Equip and Depreciation'!$C$42+SUM('Equip and Depreciation'!$B45:C45)</f>
        <v>922992</v>
      </c>
      <c r="E10" s="314">
        <f>'Equip and Depreciation'!$C$42+SUM('Equip and Depreciation'!$B45:D45)</f>
        <v>922992</v>
      </c>
      <c r="F10" s="314">
        <f>'Equip and Depreciation'!$C$42+SUM('Equip and Depreciation'!$B45:E45)</f>
        <v>922992</v>
      </c>
      <c r="G10" s="314">
        <f>'Equip and Depreciation'!$C$42+SUM('Equip and Depreciation'!$B45:F45)</f>
        <v>922992</v>
      </c>
      <c r="H10" s="314">
        <f>'Equip and Depreciation'!$C$42+SUM('Equip and Depreciation'!$B45:G45)</f>
        <v>922992</v>
      </c>
      <c r="I10" s="314">
        <f>'Equip and Depreciation'!$C$42+SUM('Equip and Depreciation'!$B45:H45)</f>
        <v>922992</v>
      </c>
      <c r="J10" s="314">
        <f>'Equip and Depreciation'!$C$42+SUM('Equip and Depreciation'!$B45:I45)</f>
        <v>922992</v>
      </c>
      <c r="K10" s="314">
        <f>'Equip and Depreciation'!$C$42+SUM('Equip and Depreciation'!$B45:J45)</f>
        <v>922992</v>
      </c>
      <c r="L10" s="315">
        <f>'Equip and Depreciation'!$C$42+SUM('Equip and Depreciation'!$B45:K45)</f>
        <v>922992</v>
      </c>
    </row>
    <row r="11" spans="1:12" ht="13.8">
      <c r="A11" s="135" t="s">
        <v>262</v>
      </c>
      <c r="B11" s="314"/>
      <c r="C11" s="316">
        <f>-SUM('Equip and Depreciation'!$B54:B54)</f>
        <v>-86248.003174358979</v>
      </c>
      <c r="D11" s="316">
        <f>-SUM('Equip and Depreciation'!$B54:C54)</f>
        <v>-225650.56234871794</v>
      </c>
      <c r="E11" s="316">
        <f>-SUM('Equip and Depreciation'!$B54:D54)</f>
        <v>-324854.26152307692</v>
      </c>
      <c r="F11" s="316">
        <f>-SUM('Equip and Depreciation'!$B54:E54)</f>
        <v>-397173.06069743587</v>
      </c>
      <c r="G11" s="316">
        <f>-SUM('Equip and Depreciation'!$B54:F54)</f>
        <v>-457185.01107179484</v>
      </c>
      <c r="H11" s="316">
        <f>-SUM('Equip and Depreciation'!$B54:G54)</f>
        <v>-509962.39164615382</v>
      </c>
      <c r="I11" s="316">
        <f>-SUM('Equip and Depreciation'!$B54:H54)</f>
        <v>-555574.34202051279</v>
      </c>
      <c r="J11" s="316">
        <f>-SUM('Equip and Depreciation'!$B54:I54)</f>
        <v>-585733.59179487173</v>
      </c>
      <c r="K11" s="316">
        <f>-SUM('Equip and Depreciation'!$B54:J54)</f>
        <v>-600474.71076923073</v>
      </c>
      <c r="L11" s="317">
        <f>-SUM('Equip and Depreciation'!$B54:K54)</f>
        <v>-615215.82974358974</v>
      </c>
    </row>
    <row r="12" spans="1:12" ht="13.8">
      <c r="A12" s="135" t="s">
        <v>269</v>
      </c>
      <c r="B12" s="314"/>
      <c r="C12" s="314">
        <f>'Owners Equity'!C13*'Input Value'!$B$34</f>
        <v>8949.7685898981363</v>
      </c>
      <c r="D12" s="314">
        <f>'Owners Equity'!D13*'Input Value'!$B$34</f>
        <v>11437.65208871056</v>
      </c>
      <c r="E12" s="314">
        <f>'Owners Equity'!E13*'Input Value'!$B$34</f>
        <v>20094.970331263798</v>
      </c>
      <c r="F12" s="314">
        <f>'Owners Equity'!F13*'Input Value'!$B$34</f>
        <v>33154.843644768021</v>
      </c>
      <c r="G12" s="314">
        <f>'Owners Equity'!G13*'Input Value'!$B$34</f>
        <v>48681.776021763508</v>
      </c>
      <c r="H12" s="314">
        <f>'Owners Equity'!H13*'Input Value'!$B$34</f>
        <v>57075.968268599907</v>
      </c>
      <c r="I12" s="314">
        <f>'Owners Equity'!I13*'Input Value'!$B$34</f>
        <v>73776.814855858625</v>
      </c>
      <c r="J12" s="314">
        <f>'Owners Equity'!J13*'Input Value'!$B$34</f>
        <v>87311.373161183554</v>
      </c>
      <c r="K12" s="314">
        <f>'Owners Equity'!K13*'Input Value'!$B$34</f>
        <v>99484.159200926006</v>
      </c>
      <c r="L12" s="315">
        <f>'Owners Equity'!L13*'Input Value'!$B$34</f>
        <v>110194.43259485405</v>
      </c>
    </row>
    <row r="13" spans="1:12" ht="13.8">
      <c r="A13" s="135" t="s">
        <v>276</v>
      </c>
      <c r="B13" s="314">
        <f>SUM(B8:B12)</f>
        <v>1124524</v>
      </c>
      <c r="C13" s="314">
        <f>SUM(C8:C12)</f>
        <v>1124055.5995780404</v>
      </c>
      <c r="D13" s="314">
        <f t="shared" ref="D13:J13" si="0">SUM(D8:D12)</f>
        <v>1097925.683186403</v>
      </c>
      <c r="E13" s="314">
        <f t="shared" si="0"/>
        <v>1091329.9422390591</v>
      </c>
      <c r="F13" s="314">
        <f t="shared" si="0"/>
        <v>1097723.441152801</v>
      </c>
      <c r="G13" s="314">
        <f t="shared" si="0"/>
        <v>1109940.6802925884</v>
      </c>
      <c r="H13" s="314">
        <f t="shared" si="0"/>
        <v>1095585.8477182754</v>
      </c>
      <c r="I13" s="314">
        <f t="shared" si="0"/>
        <v>1105885.7322667383</v>
      </c>
      <c r="J13" s="314">
        <f t="shared" si="0"/>
        <v>1102634.0815674257</v>
      </c>
      <c r="K13" s="314">
        <f>SUM(K8:K12)</f>
        <v>1091572.5189910932</v>
      </c>
      <c r="L13" s="315">
        <f>SUM(L8:L12)</f>
        <v>1071532.9034760443</v>
      </c>
    </row>
    <row r="14" spans="1:12" ht="13.8">
      <c r="A14" s="135"/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5"/>
    </row>
    <row r="15" spans="1:12" ht="13.8">
      <c r="A15" s="161" t="s">
        <v>271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5"/>
    </row>
    <row r="16" spans="1:12" ht="13.8">
      <c r="A16" s="135" t="s">
        <v>263</v>
      </c>
      <c r="B16" s="314">
        <f>'Loan Amortization'!$B$28</f>
        <v>201532</v>
      </c>
      <c r="C16" s="314">
        <f>'Loan Amortization'!$B$28</f>
        <v>201532</v>
      </c>
      <c r="D16" s="314">
        <f>'Loan Amortization'!$B$28</f>
        <v>201532</v>
      </c>
      <c r="E16" s="314">
        <f>'Loan Amortization'!$B$28</f>
        <v>201532</v>
      </c>
      <c r="F16" s="314">
        <f>'Loan Amortization'!$B$28</f>
        <v>201532</v>
      </c>
      <c r="G16" s="314">
        <f>'Loan Amortization'!$B$28</f>
        <v>201532</v>
      </c>
      <c r="H16" s="314">
        <f>'Loan Amortization'!$B$28</f>
        <v>201532</v>
      </c>
      <c r="I16" s="314">
        <f>'Loan Amortization'!$B$28</f>
        <v>201532</v>
      </c>
      <c r="J16" s="314">
        <f>'Loan Amortization'!$B$28</f>
        <v>201532</v>
      </c>
      <c r="K16" s="314">
        <f>'Loan Amortization'!$B$28</f>
        <v>201532</v>
      </c>
      <c r="L16" s="315">
        <f>'Loan Amortization'!$B$28</f>
        <v>201532</v>
      </c>
    </row>
    <row r="17" spans="1:12" ht="13.8">
      <c r="A17" s="135" t="s">
        <v>264</v>
      </c>
      <c r="B17" s="314">
        <f>'Loan Amortization'!B12</f>
        <v>461496</v>
      </c>
      <c r="C17" s="314">
        <f>'Loan Amortization'!B25</f>
        <v>428874.72723655426</v>
      </c>
      <c r="D17" s="314">
        <f>'Loan Amortization'!C25</f>
        <v>393806.85901585012</v>
      </c>
      <c r="E17" s="314">
        <f>'Loan Amortization'!D25</f>
        <v>356108.90067859314</v>
      </c>
      <c r="F17" s="314">
        <f>'Loan Amortization'!E25</f>
        <v>315583.59546604188</v>
      </c>
      <c r="G17" s="314">
        <f>'Loan Amortization'!F25</f>
        <v>272018.89236254926</v>
      </c>
      <c r="H17" s="314">
        <f>'Loan Amortization'!G25</f>
        <v>225186.8365262947</v>
      </c>
      <c r="I17" s="314">
        <f>'Loan Amortization'!H25</f>
        <v>174842.37650232107</v>
      </c>
      <c r="J17" s="314">
        <f>'Loan Amortization'!I25</f>
        <v>120722.08197654941</v>
      </c>
      <c r="K17" s="314">
        <f>'Loan Amortization'!J25</f>
        <v>62542.765361344878</v>
      </c>
      <c r="L17" s="315">
        <f>'Loan Amortization'!K25</f>
        <v>0</v>
      </c>
    </row>
    <row r="18" spans="1:12" ht="13.8">
      <c r="A18" s="135" t="s">
        <v>275</v>
      </c>
      <c r="B18" s="314">
        <f>SUM(B16:B17)</f>
        <v>663028</v>
      </c>
      <c r="C18" s="314">
        <f>SUM(C16:C17)</f>
        <v>630406.72723655426</v>
      </c>
      <c r="D18" s="314">
        <f t="shared" ref="D18:J18" si="1">SUM(D16:D17)</f>
        <v>595338.85901585012</v>
      </c>
      <c r="E18" s="314">
        <f t="shared" si="1"/>
        <v>557640.9006785932</v>
      </c>
      <c r="F18" s="314">
        <f t="shared" si="1"/>
        <v>517115.59546604188</v>
      </c>
      <c r="G18" s="314">
        <f t="shared" si="1"/>
        <v>473550.89236254926</v>
      </c>
      <c r="H18" s="314">
        <f t="shared" si="1"/>
        <v>426718.8365262947</v>
      </c>
      <c r="I18" s="314">
        <f t="shared" si="1"/>
        <v>376374.3765023211</v>
      </c>
      <c r="J18" s="314">
        <f t="shared" si="1"/>
        <v>322254.08197654941</v>
      </c>
      <c r="K18" s="314">
        <f>SUM(K16:K17)</f>
        <v>264074.76536134491</v>
      </c>
      <c r="L18" s="315">
        <f>SUM(L16:L17)</f>
        <v>201532</v>
      </c>
    </row>
    <row r="19" spans="1:12" ht="13.8">
      <c r="A19" s="135"/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5"/>
    </row>
    <row r="20" spans="1:12" ht="13.8">
      <c r="A20" s="161" t="s">
        <v>272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5"/>
    </row>
    <row r="21" spans="1:12" ht="13.8">
      <c r="A21" s="135" t="s">
        <v>265</v>
      </c>
      <c r="B21" s="314">
        <f>'Owners Equity'!B7</f>
        <v>461496</v>
      </c>
      <c r="C21" s="314">
        <f>'Owners Equity'!B7</f>
        <v>461496</v>
      </c>
      <c r="D21" s="314">
        <f>C21</f>
        <v>461496</v>
      </c>
      <c r="E21" s="314">
        <f t="shared" ref="E21:L21" si="2">D21</f>
        <v>461496</v>
      </c>
      <c r="F21" s="314">
        <f t="shared" si="2"/>
        <v>461496</v>
      </c>
      <c r="G21" s="314">
        <f t="shared" si="2"/>
        <v>461496</v>
      </c>
      <c r="H21" s="314">
        <f t="shared" si="2"/>
        <v>461496</v>
      </c>
      <c r="I21" s="314">
        <f t="shared" si="2"/>
        <v>461496</v>
      </c>
      <c r="J21" s="314">
        <f t="shared" si="2"/>
        <v>461496</v>
      </c>
      <c r="K21" s="314">
        <f t="shared" si="2"/>
        <v>461496</v>
      </c>
      <c r="L21" s="315">
        <f t="shared" si="2"/>
        <v>461496</v>
      </c>
    </row>
    <row r="22" spans="1:12" ht="13.8">
      <c r="A22" s="135" t="s">
        <v>268</v>
      </c>
      <c r="B22" s="314">
        <f>'Owners Equity'!B14</f>
        <v>0</v>
      </c>
      <c r="C22" s="314">
        <f>'Owners Equity'!C14</f>
        <v>0</v>
      </c>
      <c r="D22" s="314">
        <f>'Owners Equity'!D14</f>
        <v>0</v>
      </c>
      <c r="E22" s="314">
        <f>'Owners Equity'!E14</f>
        <v>0</v>
      </c>
      <c r="F22" s="314">
        <f>'Owners Equity'!F14</f>
        <v>0</v>
      </c>
      <c r="G22" s="314">
        <f>'Owners Equity'!G14</f>
        <v>0</v>
      </c>
      <c r="H22" s="314">
        <f>'Owners Equity'!H14</f>
        <v>0</v>
      </c>
      <c r="I22" s="314">
        <f>'Owners Equity'!I14</f>
        <v>0</v>
      </c>
      <c r="J22" s="314">
        <f>'Owners Equity'!J14</f>
        <v>0</v>
      </c>
      <c r="K22" s="314">
        <f>'Owners Equity'!K14</f>
        <v>0</v>
      </c>
      <c r="L22" s="315">
        <f>'Owners Equity'!L14</f>
        <v>0</v>
      </c>
    </row>
    <row r="23" spans="1:12" ht="13.8">
      <c r="A23" s="135" t="s">
        <v>266</v>
      </c>
      <c r="B23" s="314">
        <f>'Owners Equity'!B10</f>
        <v>0</v>
      </c>
      <c r="C23" s="314">
        <f>'Owners Equity'!C10</f>
        <v>0</v>
      </c>
      <c r="D23" s="314">
        <f>'Owners Equity'!D10</f>
        <v>0</v>
      </c>
      <c r="E23" s="314">
        <f>'Owners Equity'!E10</f>
        <v>0</v>
      </c>
      <c r="F23" s="314">
        <f>'Owners Equity'!F10</f>
        <v>0</v>
      </c>
      <c r="G23" s="314">
        <f>'Owners Equity'!G10</f>
        <v>0</v>
      </c>
      <c r="H23" s="314">
        <f>'Owners Equity'!H10</f>
        <v>0</v>
      </c>
      <c r="I23" s="314">
        <f>'Owners Equity'!I10</f>
        <v>0</v>
      </c>
      <c r="J23" s="314">
        <f>'Owners Equity'!J10</f>
        <v>0</v>
      </c>
      <c r="K23" s="314">
        <f>'Owners Equity'!K10</f>
        <v>0</v>
      </c>
      <c r="L23" s="315">
        <f>'Owners Equity'!L10</f>
        <v>0</v>
      </c>
    </row>
    <row r="24" spans="1:12" ht="13.8">
      <c r="A24" s="135" t="s">
        <v>267</v>
      </c>
      <c r="B24" s="314">
        <f>'Owners Equity'!B13</f>
        <v>0</v>
      </c>
      <c r="C24" s="314">
        <f>'Owners Equity'!C13</f>
        <v>29832.561966327125</v>
      </c>
      <c r="D24" s="314">
        <f>'Owners Equity'!D13</f>
        <v>38125.506962368534</v>
      </c>
      <c r="E24" s="314">
        <f>'Owners Equity'!E13</f>
        <v>66983.234437545994</v>
      </c>
      <c r="F24" s="314">
        <f>'Owners Equity'!F13</f>
        <v>110516.14548256007</v>
      </c>
      <c r="G24" s="314">
        <f>'Owners Equity'!G13</f>
        <v>162272.58673921169</v>
      </c>
      <c r="H24" s="314">
        <f>'Owners Equity'!H13</f>
        <v>190253.22756199969</v>
      </c>
      <c r="I24" s="314">
        <f>'Owners Equity'!I13</f>
        <v>245922.71618619544</v>
      </c>
      <c r="J24" s="314">
        <f>'Owners Equity'!J13</f>
        <v>291037.91053727851</v>
      </c>
      <c r="K24" s="314">
        <f>'Owners Equity'!K13</f>
        <v>331613.8640030867</v>
      </c>
      <c r="L24" s="315">
        <f>'Owners Equity'!L13</f>
        <v>367314.7753161802</v>
      </c>
    </row>
    <row r="25" spans="1:12" ht="13.8">
      <c r="A25" s="135" t="s">
        <v>270</v>
      </c>
      <c r="B25" s="314">
        <f>'Owners Equity'!B15</f>
        <v>0</v>
      </c>
      <c r="C25" s="314">
        <f>'Owners Equity'!C15</f>
        <v>2320.3103751587805</v>
      </c>
      <c r="D25" s="314">
        <f>'Owners Equity'!D15</f>
        <v>2965.317208184224</v>
      </c>
      <c r="E25" s="314">
        <f>'Owners Equity'!E15</f>
        <v>5209.8071229202496</v>
      </c>
      <c r="F25" s="314">
        <f>'Owners Equity'!F15</f>
        <v>8595.7002041991218</v>
      </c>
      <c r="G25" s="314">
        <f>'Owners Equity'!G15</f>
        <v>12621.201190827585</v>
      </c>
      <c r="H25" s="314">
        <f>'Owners Equity'!H15</f>
        <v>17117.78362998099</v>
      </c>
      <c r="I25" s="314">
        <f>'Owners Equity'!I15</f>
        <v>22092.639578221664</v>
      </c>
      <c r="J25" s="314">
        <f>'Owners Equity'!J15</f>
        <v>27846.089053597487</v>
      </c>
      <c r="K25" s="314">
        <f>'Owners Equity'!K15</f>
        <v>34387.889626661447</v>
      </c>
      <c r="L25" s="315">
        <f>'Owners Equity'!L15</f>
        <v>41190.128159863852</v>
      </c>
    </row>
    <row r="26" spans="1:12" ht="13.8">
      <c r="A26" s="135" t="s">
        <v>273</v>
      </c>
      <c r="B26" s="314">
        <f>SUM(B21:B25)</f>
        <v>461496</v>
      </c>
      <c r="C26" s="314">
        <f>SUM(C21:C25)</f>
        <v>493648.87234148593</v>
      </c>
      <c r="D26" s="314">
        <f t="shared" ref="D26:J26" si="3">SUM(D21:D25)</f>
        <v>502586.82417055278</v>
      </c>
      <c r="E26" s="314">
        <f t="shared" si="3"/>
        <v>533689.04156046628</v>
      </c>
      <c r="F26" s="314">
        <f t="shared" si="3"/>
        <v>580607.8456867591</v>
      </c>
      <c r="G26" s="314">
        <f t="shared" si="3"/>
        <v>636389.78793003922</v>
      </c>
      <c r="H26" s="314">
        <f t="shared" si="3"/>
        <v>668867.01119198068</v>
      </c>
      <c r="I26" s="314">
        <f t="shared" si="3"/>
        <v>729511.35576441709</v>
      </c>
      <c r="J26" s="314">
        <f t="shared" si="3"/>
        <v>780379.99959087605</v>
      </c>
      <c r="K26" s="314">
        <f>SUM(K21:K25)</f>
        <v>827497.75362974813</v>
      </c>
      <c r="L26" s="315">
        <f>SUM(L21:L25)</f>
        <v>870000.90347604407</v>
      </c>
    </row>
    <row r="27" spans="1:12" ht="13.8">
      <c r="A27" s="135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5"/>
    </row>
    <row r="28" spans="1:12" ht="14.4" thickBot="1">
      <c r="A28" s="169" t="s">
        <v>274</v>
      </c>
      <c r="B28" s="318">
        <f>B18+B26</f>
        <v>1124524</v>
      </c>
      <c r="C28" s="318">
        <f>C18+C26</f>
        <v>1124055.5995780402</v>
      </c>
      <c r="D28" s="318">
        <f t="shared" ref="D28:J28" si="4">D18+D26</f>
        <v>1097925.683186403</v>
      </c>
      <c r="E28" s="318">
        <f t="shared" si="4"/>
        <v>1091329.9422390596</v>
      </c>
      <c r="F28" s="318">
        <f t="shared" si="4"/>
        <v>1097723.441152801</v>
      </c>
      <c r="G28" s="318">
        <f t="shared" si="4"/>
        <v>1109940.6802925884</v>
      </c>
      <c r="H28" s="318">
        <f t="shared" si="4"/>
        <v>1095585.8477182754</v>
      </c>
      <c r="I28" s="318">
        <f t="shared" si="4"/>
        <v>1105885.7322667381</v>
      </c>
      <c r="J28" s="318">
        <f t="shared" si="4"/>
        <v>1102634.0815674255</v>
      </c>
      <c r="K28" s="318">
        <f>K18+K26</f>
        <v>1091572.5189910932</v>
      </c>
      <c r="L28" s="319">
        <f>L18+L26</f>
        <v>1071532.9034760441</v>
      </c>
    </row>
    <row r="30" spans="1:12">
      <c r="C30" s="4"/>
      <c r="D30" s="4"/>
      <c r="E30" s="4"/>
      <c r="F30" s="4"/>
      <c r="G30" s="4"/>
      <c r="H30" s="4"/>
      <c r="I30" s="4"/>
      <c r="J30" s="4"/>
    </row>
    <row r="36" spans="4:4">
      <c r="D36" s="7"/>
    </row>
    <row r="37" spans="4:4">
      <c r="D37" s="7"/>
    </row>
    <row r="38" spans="4:4">
      <c r="D38" s="7"/>
    </row>
    <row r="39" spans="4:4">
      <c r="D39" s="7"/>
    </row>
    <row r="40" spans="4:4">
      <c r="D40" s="7"/>
    </row>
    <row r="41" spans="4:4">
      <c r="D41" s="7"/>
    </row>
    <row r="42" spans="4:4">
      <c r="D42" s="7"/>
    </row>
    <row r="43" spans="4:4">
      <c r="D43" s="7"/>
    </row>
    <row r="44" spans="4:4">
      <c r="D44" s="7"/>
    </row>
    <row r="45" spans="4:4">
      <c r="D45" s="7"/>
    </row>
    <row r="46" spans="4:4">
      <c r="D46" s="7"/>
    </row>
    <row r="47" spans="4:4">
      <c r="D47" s="7"/>
    </row>
    <row r="48" spans="4:4">
      <c r="D48" s="7"/>
    </row>
    <row r="49" spans="4:4">
      <c r="D49" s="7"/>
    </row>
    <row r="50" spans="4:4">
      <c r="D50" s="7"/>
    </row>
    <row r="51" spans="4:4">
      <c r="D51" s="7"/>
    </row>
  </sheetData>
  <sheetProtection algorithmName="SHA-512" hashValue="6I4Karj18a+yCZ60yBj9nUoglw+fiRE8K+rVXpJImGJDR2KRERvOsYS+iPmAacptK2e3Rm7pTA02E8r4+ldm4Q==" saltValue="HdlYh0IIEA7CXV8/R8VgQw==" spinCount="100000" sheet="1" formatColumns="0"/>
  <mergeCells count="4">
    <mergeCell ref="A1:C1"/>
    <mergeCell ref="A2:C2"/>
    <mergeCell ref="A3:C3"/>
    <mergeCell ref="A4:C4"/>
  </mergeCells>
  <hyperlinks>
    <hyperlink ref="A2:C2" location="'Input Value'!A1" display="BACK TO INPUTS" xr:uid="{099CE0C1-D9A5-473B-8424-975E1E116361}"/>
    <hyperlink ref="A3:C3" location="'Return On Investment'!A1" display="FORWARD TO RETURN ON INVESTMENT" xr:uid="{B770D8BA-49D3-4789-BAB0-22AA69C56FCE}"/>
    <hyperlink ref="A4:C4" location="'Operations Summary'!A1" display="BACK TO OPERATION SUMMARY" xr:uid="{EC9CD34B-4D9F-44A4-8814-3EE5C41D193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8"/>
  <sheetViews>
    <sheetView showGridLines="0" topLeftCell="B1" zoomScaleNormal="100" workbookViewId="0">
      <selection activeCell="B1" sqref="B1:D1"/>
    </sheetView>
  </sheetViews>
  <sheetFormatPr defaultColWidth="8.88671875" defaultRowHeight="13.2"/>
  <cols>
    <col min="1" max="1" width="47.33203125" customWidth="1"/>
    <col min="2" max="2" width="21.33203125" customWidth="1"/>
    <col min="3" max="3" width="12.6640625" bestFit="1" customWidth="1"/>
    <col min="4" max="4" width="14.44140625" customWidth="1"/>
    <col min="5" max="5" width="17" customWidth="1"/>
    <col min="6" max="6" width="14.109375" customWidth="1"/>
    <col min="7" max="7" width="13.44140625" customWidth="1"/>
    <col min="8" max="8" width="15.109375" customWidth="1"/>
    <col min="9" max="9" width="13.88671875" customWidth="1"/>
    <col min="10" max="10" width="14.109375" customWidth="1"/>
    <col min="11" max="11" width="16.44140625" customWidth="1"/>
  </cols>
  <sheetData>
    <row r="1" spans="1:11" ht="13.8" thickBot="1">
      <c r="B1" s="466" t="s">
        <v>146</v>
      </c>
      <c r="C1" s="467"/>
      <c r="D1" s="468"/>
    </row>
    <row r="2" spans="1:11" ht="13.8" thickBot="1">
      <c r="B2" s="469" t="s">
        <v>153</v>
      </c>
      <c r="C2" s="470"/>
      <c r="D2" s="471"/>
    </row>
    <row r="3" spans="1:11" ht="13.8" thickBot="1">
      <c r="B3" s="469" t="s">
        <v>151</v>
      </c>
      <c r="C3" s="470"/>
      <c r="D3" s="471"/>
    </row>
    <row r="4" spans="1:11" ht="13.8" thickBot="1">
      <c r="B4" s="469" t="s">
        <v>154</v>
      </c>
      <c r="C4" s="470"/>
      <c r="D4" s="471"/>
    </row>
    <row r="5" spans="1:11">
      <c r="B5" s="428"/>
      <c r="C5" s="428"/>
      <c r="D5" s="428"/>
    </row>
    <row r="6" spans="1:11" ht="13.8" thickBot="1">
      <c r="B6" s="1" t="s">
        <v>470</v>
      </c>
    </row>
    <row r="7" spans="1:11">
      <c r="A7" s="122"/>
      <c r="B7" s="426" t="str">
        <f>'Statement of Operations'!C8</f>
        <v>Year 1</v>
      </c>
      <c r="C7" s="426" t="str">
        <f>'Statement of Operations'!D8</f>
        <v>Year 2</v>
      </c>
      <c r="D7" s="426" t="str">
        <f>'Statement of Operations'!E8</f>
        <v>Year 3</v>
      </c>
      <c r="E7" s="426" t="str">
        <f>'Statement of Operations'!F8</f>
        <v>Year 4</v>
      </c>
      <c r="F7" s="426" t="str">
        <f>'Statement of Operations'!G8</f>
        <v>Year 5</v>
      </c>
      <c r="G7" s="426" t="str">
        <f>'Statement of Operations'!H8</f>
        <v>Year 6</v>
      </c>
      <c r="H7" s="426" t="str">
        <f>'Statement of Operations'!I8</f>
        <v>Year 7</v>
      </c>
      <c r="I7" s="426" t="str">
        <f>'Statement of Operations'!J8</f>
        <v>Year 8</v>
      </c>
      <c r="J7" s="426" t="str">
        <f>'Statement of Operations'!K8</f>
        <v>Year 9</v>
      </c>
      <c r="K7" s="427" t="str">
        <f>'Statement of Operations'!L8</f>
        <v>Year 10</v>
      </c>
    </row>
    <row r="8" spans="1:11">
      <c r="A8" s="114" t="s">
        <v>280</v>
      </c>
      <c r="B8" s="106"/>
      <c r="C8" s="106"/>
      <c r="D8" s="106"/>
      <c r="E8" s="106"/>
      <c r="F8" s="106"/>
      <c r="G8" s="106"/>
      <c r="H8" s="106"/>
      <c r="I8" s="106"/>
      <c r="J8" s="106"/>
      <c r="K8" s="322"/>
    </row>
    <row r="9" spans="1:11">
      <c r="A9" s="116" t="s">
        <v>281</v>
      </c>
      <c r="B9" s="106">
        <f>'Statement of Operations'!C15</f>
        <v>2015321.0638879999</v>
      </c>
      <c r="C9" s="106">
        <f>'Statement of Operations'!D15</f>
        <v>2035474.2745268801</v>
      </c>
      <c r="D9" s="106">
        <f>'Statement of Operations'!E15</f>
        <v>2055829.0172721487</v>
      </c>
      <c r="E9" s="106">
        <f>'Statement of Operations'!F15</f>
        <v>2076387.3074448702</v>
      </c>
      <c r="F9" s="106">
        <f>'Statement of Operations'!G15</f>
        <v>2097151.1805193191</v>
      </c>
      <c r="G9" s="106">
        <f>'Statement of Operations'!H15</f>
        <v>2118122.6923245122</v>
      </c>
      <c r="H9" s="106">
        <f>'Statement of Operations'!I15</f>
        <v>2139303.9192477576</v>
      </c>
      <c r="I9" s="106">
        <f>'Statement of Operations'!J15</f>
        <v>2160696.9584402349</v>
      </c>
      <c r="J9" s="106">
        <f>'Statement of Operations'!K15</f>
        <v>2182303.9280246375</v>
      </c>
      <c r="K9" s="322">
        <f>'Statement of Operations'!L15</f>
        <v>2204126.9673048835</v>
      </c>
    </row>
    <row r="10" spans="1:11">
      <c r="A10" s="116" t="s">
        <v>300</v>
      </c>
      <c r="B10" s="106">
        <f>'Statement of Operations'!C17</f>
        <v>1215744.6543075806</v>
      </c>
      <c r="C10" s="106">
        <f>'Statement of Operations'!D17</f>
        <v>1227902.1008506564</v>
      </c>
      <c r="D10" s="106">
        <f>'Statement of Operations'!E17</f>
        <v>1240181.121859163</v>
      </c>
      <c r="E10" s="106">
        <f>'Statement of Operations'!F17</f>
        <v>1252582.9330777547</v>
      </c>
      <c r="F10" s="106">
        <f>'Statement of Operations'!G17</f>
        <v>1265108.7624085322</v>
      </c>
      <c r="G10" s="106">
        <f>'Statement of Operations'!H17</f>
        <v>1277759.8500326178</v>
      </c>
      <c r="H10" s="106">
        <f>'Statement of Operations'!I17</f>
        <v>1290537.4485329438</v>
      </c>
      <c r="I10" s="106">
        <f>'Statement of Operations'!J17</f>
        <v>1303442.8230182736</v>
      </c>
      <c r="J10" s="106">
        <f>'Statement of Operations'!K17</f>
        <v>1316477.2512484563</v>
      </c>
      <c r="K10" s="322">
        <f>'Statement of Operations'!L17</f>
        <v>1329642.0237609409</v>
      </c>
    </row>
    <row r="11" spans="1:11">
      <c r="A11" s="116" t="s">
        <v>282</v>
      </c>
      <c r="B11" s="106">
        <f>'Expense Projection'!C31</f>
        <v>46704.119999999995</v>
      </c>
      <c r="C11" s="106">
        <f>'Expense Projection'!D31</f>
        <v>44257.524542741565</v>
      </c>
      <c r="D11" s="106">
        <f>'Expense Projection'!E31</f>
        <v>41627.43442618876</v>
      </c>
      <c r="E11" s="106">
        <f>'Expense Projection'!F31</f>
        <v>38800.087550894488</v>
      </c>
      <c r="F11" s="106">
        <f>'Expense Projection'!G31</f>
        <v>35760.689659953139</v>
      </c>
      <c r="G11" s="106">
        <f>'Expense Projection'!H31</f>
        <v>32493.336927191194</v>
      </c>
      <c r="H11" s="106">
        <f>'Expense Projection'!I31</f>
        <v>28980.932739472104</v>
      </c>
      <c r="I11" s="106">
        <f>'Expense Projection'!J31</f>
        <v>25205.098237674079</v>
      </c>
      <c r="J11" s="106">
        <f>'Expense Projection'!K31</f>
        <v>21146.076148241205</v>
      </c>
      <c r="K11" s="322">
        <f>'Expense Projection'!L31</f>
        <v>16782.627402100865</v>
      </c>
    </row>
    <row r="12" spans="1:11">
      <c r="A12" s="116" t="s">
        <v>283</v>
      </c>
      <c r="B12" s="106">
        <f>'Statement of Operations'!C26-B11-'Expense Projection'!C29</f>
        <v>600329.70425866672</v>
      </c>
      <c r="C12" s="106">
        <f>'Statement of Operations'!D26-C11-'Expense Projection'!D29</f>
        <v>605483.32330125337</v>
      </c>
      <c r="D12" s="106">
        <f>'Statement of Operations'!E26-D11-'Expense Projection'!E29</f>
        <v>610688.47853426589</v>
      </c>
      <c r="E12" s="106">
        <f>'Statement of Operations'!F26-E11-'Expense Projection'!F29</f>
        <v>615945.68531960866</v>
      </c>
      <c r="F12" s="106">
        <f>'Statement of Operations'!G26-F11-'Expense Projection'!G29</f>
        <v>621255.4641728045</v>
      </c>
      <c r="G12" s="106">
        <f>'Statement of Operations'!H26-G11-'Expense Projection'!H29</f>
        <v>626618.34081453271</v>
      </c>
      <c r="H12" s="106">
        <f>'Statement of Operations'!I26-H11-'Expense Projection'!I29</f>
        <v>632034.84622267797</v>
      </c>
      <c r="I12" s="106">
        <f>'Statement of Operations'!J26-I11-'Expense Projection'!J29</f>
        <v>637505.51668490493</v>
      </c>
      <c r="J12" s="106">
        <f>'Statement of Operations'!K26-J11-'Expense Projection'!K29</f>
        <v>643030.89385175379</v>
      </c>
      <c r="K12" s="322">
        <f>'Statement of Operations'!L26-K11-'Expense Projection'!L29</f>
        <v>648611.52479027142</v>
      </c>
    </row>
    <row r="13" spans="1:11">
      <c r="A13" s="116" t="s">
        <v>284</v>
      </c>
      <c r="B13" s="106"/>
      <c r="C13" s="106"/>
      <c r="D13" s="106"/>
      <c r="E13" s="106"/>
      <c r="F13" s="106"/>
      <c r="G13" s="106"/>
      <c r="H13" s="106"/>
      <c r="I13" s="106"/>
      <c r="J13" s="106"/>
      <c r="K13" s="322"/>
    </row>
    <row r="14" spans="1:11">
      <c r="A14" s="116" t="s">
        <v>285</v>
      </c>
      <c r="B14" s="106">
        <f>'Expense Projection'!C42</f>
        <v>9944.1873221090427</v>
      </c>
      <c r="C14" s="106">
        <f>'Expense Projection'!D42</f>
        <v>2764.3149986804701</v>
      </c>
      <c r="D14" s="106">
        <f>'Expense Projection'!E42</f>
        <v>9619.2424917258213</v>
      </c>
      <c r="E14" s="106">
        <f>'Expense Projection'!F42</f>
        <v>14510.970348338022</v>
      </c>
      <c r="F14" s="106">
        <f>'Expense Projection'!G42</f>
        <v>17252.147085550547</v>
      </c>
      <c r="G14" s="106">
        <f>'Expense Projection'!H42</f>
        <v>10321.29900647358</v>
      </c>
      <c r="H14" s="106">
        <f>'Expense Projection'!I42</f>
        <v>18832.927707933301</v>
      </c>
      <c r="I14" s="106">
        <f>'Expense Projection'!J42</f>
        <v>16000.322366200266</v>
      </c>
      <c r="J14" s="106">
        <f>'Expense Projection'!K42</f>
        <v>14976.414856769868</v>
      </c>
      <c r="K14" s="322">
        <f>'Expense Projection'!L42</f>
        <v>13625.518479586222</v>
      </c>
    </row>
    <row r="15" spans="1:11">
      <c r="A15" s="116"/>
      <c r="B15" s="106"/>
      <c r="C15" s="106"/>
      <c r="D15" s="106"/>
      <c r="E15" s="106"/>
      <c r="F15" s="106"/>
      <c r="G15" s="106"/>
      <c r="H15" s="106"/>
      <c r="I15" s="106"/>
      <c r="J15" s="106"/>
      <c r="K15" s="322"/>
    </row>
    <row r="16" spans="1:11">
      <c r="A16" s="114" t="s">
        <v>286</v>
      </c>
      <c r="B16" s="106">
        <f>B9-SUM(B10:B14)</f>
        <v>142598.39799964335</v>
      </c>
      <c r="C16" s="106">
        <f t="shared" ref="C16:K16" si="0">C9-SUM(C10:C14)</f>
        <v>155067.01083354838</v>
      </c>
      <c r="D16" s="106">
        <f t="shared" si="0"/>
        <v>153712.73996080528</v>
      </c>
      <c r="E16" s="106">
        <f t="shared" si="0"/>
        <v>154547.63114827429</v>
      </c>
      <c r="F16" s="106">
        <f t="shared" si="0"/>
        <v>157774.11719247885</v>
      </c>
      <c r="G16" s="106">
        <f t="shared" si="0"/>
        <v>170929.86554369703</v>
      </c>
      <c r="H16" s="106">
        <f t="shared" si="0"/>
        <v>168917.76404473046</v>
      </c>
      <c r="I16" s="106">
        <f t="shared" si="0"/>
        <v>178543.19813318225</v>
      </c>
      <c r="J16" s="106">
        <f t="shared" si="0"/>
        <v>186673.29191941628</v>
      </c>
      <c r="K16" s="322">
        <f t="shared" si="0"/>
        <v>195465.27287198417</v>
      </c>
    </row>
    <row r="17" spans="1:11">
      <c r="A17" s="116"/>
      <c r="B17" s="106"/>
      <c r="C17" s="106"/>
      <c r="D17" s="106"/>
      <c r="E17" s="106"/>
      <c r="F17" s="106"/>
      <c r="G17" s="106"/>
      <c r="H17" s="106"/>
      <c r="I17" s="106"/>
      <c r="J17" s="106"/>
      <c r="K17" s="322"/>
    </row>
    <row r="18" spans="1:11">
      <c r="A18" s="114" t="s">
        <v>287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322"/>
    </row>
    <row r="19" spans="1:11">
      <c r="A19" s="116" t="s">
        <v>288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322"/>
    </row>
    <row r="20" spans="1:11">
      <c r="A20" s="116" t="s">
        <v>289</v>
      </c>
      <c r="B20" s="106">
        <f>'Equip and Depreciation'!B45</f>
        <v>0</v>
      </c>
      <c r="C20" s="106">
        <f>'Equip and Depreciation'!C45</f>
        <v>0</v>
      </c>
      <c r="D20" s="106">
        <f>'Equip and Depreciation'!D45</f>
        <v>0</v>
      </c>
      <c r="E20" s="106">
        <f>'Equip and Depreciation'!E45</f>
        <v>0</v>
      </c>
      <c r="F20" s="106">
        <f>'Equip and Depreciation'!F45</f>
        <v>0</v>
      </c>
      <c r="G20" s="106">
        <f>'Equip and Depreciation'!G45</f>
        <v>0</v>
      </c>
      <c r="H20" s="106">
        <f>'Equip and Depreciation'!H45</f>
        <v>0</v>
      </c>
      <c r="I20" s="106">
        <f>'Equip and Depreciation'!I45</f>
        <v>0</v>
      </c>
      <c r="J20" s="106">
        <f>'Equip and Depreciation'!J45</f>
        <v>0</v>
      </c>
      <c r="K20" s="322">
        <f>'Equip and Depreciation'!K45</f>
        <v>0</v>
      </c>
    </row>
    <row r="21" spans="1:11">
      <c r="A21" s="116" t="s">
        <v>290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322"/>
    </row>
    <row r="22" spans="1:11">
      <c r="A22" s="116"/>
      <c r="B22" s="106"/>
      <c r="C22" s="106"/>
      <c r="D22" s="106"/>
      <c r="E22" s="106"/>
      <c r="F22" s="106"/>
      <c r="G22" s="106"/>
      <c r="H22" s="106"/>
      <c r="I22" s="106"/>
      <c r="J22" s="106"/>
      <c r="K22" s="322"/>
    </row>
    <row r="23" spans="1:11">
      <c r="A23" s="114" t="s">
        <v>291</v>
      </c>
      <c r="B23" s="106">
        <f>-SUM(B19:B21)</f>
        <v>0</v>
      </c>
      <c r="C23" s="106">
        <f t="shared" ref="C23:K23" si="1">-SUM(C19:C21)</f>
        <v>0</v>
      </c>
      <c r="D23" s="106">
        <f t="shared" si="1"/>
        <v>0</v>
      </c>
      <c r="E23" s="106">
        <f t="shared" si="1"/>
        <v>0</v>
      </c>
      <c r="F23" s="106">
        <f t="shared" si="1"/>
        <v>0</v>
      </c>
      <c r="G23" s="106">
        <f t="shared" si="1"/>
        <v>0</v>
      </c>
      <c r="H23" s="106">
        <f t="shared" si="1"/>
        <v>0</v>
      </c>
      <c r="I23" s="106">
        <f t="shared" si="1"/>
        <v>0</v>
      </c>
      <c r="J23" s="106">
        <f t="shared" si="1"/>
        <v>0</v>
      </c>
      <c r="K23" s="322">
        <f t="shared" si="1"/>
        <v>0</v>
      </c>
    </row>
    <row r="24" spans="1:11">
      <c r="A24" s="116"/>
      <c r="B24" s="106"/>
      <c r="C24" s="106"/>
      <c r="D24" s="106"/>
      <c r="E24" s="106"/>
      <c r="F24" s="106"/>
      <c r="G24" s="106"/>
      <c r="H24" s="106"/>
      <c r="I24" s="106"/>
      <c r="J24" s="106"/>
      <c r="K24" s="322"/>
    </row>
    <row r="25" spans="1:11">
      <c r="A25" s="114" t="s">
        <v>292</v>
      </c>
      <c r="B25" s="106"/>
      <c r="C25" s="106"/>
      <c r="D25" s="106"/>
      <c r="E25" s="106"/>
      <c r="F25" s="106"/>
      <c r="G25" s="106"/>
      <c r="H25" s="106"/>
      <c r="I25" s="106"/>
      <c r="J25" s="106"/>
      <c r="K25" s="322"/>
    </row>
    <row r="26" spans="1:11">
      <c r="A26" s="116" t="s">
        <v>293</v>
      </c>
      <c r="B26" s="106">
        <f>'Balance Sheet'!C16-'Balance Sheet'!B16</f>
        <v>0</v>
      </c>
      <c r="C26" s="106">
        <f>'Balance Sheet'!D16-'Balance Sheet'!C16</f>
        <v>0</v>
      </c>
      <c r="D26" s="106">
        <f>'Balance Sheet'!E16-'Balance Sheet'!D16</f>
        <v>0</v>
      </c>
      <c r="E26" s="106">
        <f>'Balance Sheet'!F16-'Balance Sheet'!E16</f>
        <v>0</v>
      </c>
      <c r="F26" s="106">
        <f>'Balance Sheet'!G16-'Balance Sheet'!F16</f>
        <v>0</v>
      </c>
      <c r="G26" s="106">
        <f>'Balance Sheet'!H16-'Balance Sheet'!G16</f>
        <v>0</v>
      </c>
      <c r="H26" s="106">
        <f>'Balance Sheet'!I16-'Balance Sheet'!H16</f>
        <v>0</v>
      </c>
      <c r="I26" s="106">
        <f>'Balance Sheet'!J16-'Balance Sheet'!I16</f>
        <v>0</v>
      </c>
      <c r="J26" s="106">
        <f>'Balance Sheet'!K16-'Balance Sheet'!J16</f>
        <v>0</v>
      </c>
      <c r="K26" s="322">
        <f>'Balance Sheet'!L16-'Balance Sheet'!K16</f>
        <v>0</v>
      </c>
    </row>
    <row r="27" spans="1:11">
      <c r="A27" s="116" t="s">
        <v>294</v>
      </c>
      <c r="B27" s="106"/>
      <c r="C27" s="106"/>
      <c r="D27" s="106"/>
      <c r="E27" s="106"/>
      <c r="F27" s="106"/>
      <c r="G27" s="106"/>
      <c r="H27" s="106"/>
      <c r="I27" s="106"/>
      <c r="J27" s="106"/>
      <c r="K27" s="322"/>
    </row>
    <row r="28" spans="1:11">
      <c r="A28" s="116" t="s">
        <v>295</v>
      </c>
      <c r="B28" s="106">
        <f>-'Loan Amortization'!B23</f>
        <v>-32621.272763445741</v>
      </c>
      <c r="C28" s="106">
        <f>-'Loan Amortization'!C23</f>
        <v>-35067.868220704171</v>
      </c>
      <c r="D28" s="106">
        <f>-'Loan Amortization'!D23</f>
        <v>-37697.958337256976</v>
      </c>
      <c r="E28" s="106">
        <f>-'Loan Amortization'!E23</f>
        <v>-40525.305212551248</v>
      </c>
      <c r="F28" s="106">
        <f>-'Loan Amortization'!F23</f>
        <v>-43564.703103492597</v>
      </c>
      <c r="G28" s="106">
        <f>-'Loan Amortization'!G23</f>
        <v>-46832.055836254542</v>
      </c>
      <c r="H28" s="106">
        <f>-'Loan Amortization'!H23</f>
        <v>-50344.460023973632</v>
      </c>
      <c r="I28" s="106">
        <f>-'Loan Amortization'!I23</f>
        <v>-54120.294525771656</v>
      </c>
      <c r="J28" s="106">
        <f>-'Loan Amortization'!J23</f>
        <v>-58179.316615204531</v>
      </c>
      <c r="K28" s="322">
        <f>-'Loan Amortization'!K23</f>
        <v>-62542.765361344871</v>
      </c>
    </row>
    <row r="29" spans="1:11">
      <c r="A29" s="116" t="s">
        <v>296</v>
      </c>
      <c r="B29" s="106">
        <f>-('Statement of Operations'!C48+'Statement of Operations'!C49+'Statement of Operations'!C35)</f>
        <v>0</v>
      </c>
      <c r="C29" s="106">
        <f>-('Statement of Operations'!D48+'Statement of Operations'!D49+'Statement of Operations'!D35)</f>
        <v>0</v>
      </c>
      <c r="D29" s="106">
        <f>-('Statement of Operations'!E48+'Statement of Operations'!E49+'Statement of Operations'!E35)</f>
        <v>0</v>
      </c>
      <c r="E29" s="106">
        <f>-('Statement of Operations'!F48+'Statement of Operations'!F49+'Statement of Operations'!F35)</f>
        <v>0</v>
      </c>
      <c r="F29" s="106">
        <f>-('Statement of Operations'!G48+'Statement of Operations'!G49+'Statement of Operations'!G35)</f>
        <v>0</v>
      </c>
      <c r="G29" s="106">
        <f>-('Statement of Operations'!H48+'Statement of Operations'!H49+'Statement of Operations'!H35)</f>
        <v>-29832.561966327125</v>
      </c>
      <c r="H29" s="106">
        <f>-('Statement of Operations'!I48+'Statement of Operations'!I49+'Statement of Operations'!I35)</f>
        <v>-8292.9449960414095</v>
      </c>
      <c r="I29" s="106">
        <f>-('Statement of Operations'!J48+'Statement of Operations'!J49+'Statement of Operations'!J35)</f>
        <v>-28857.727475177464</v>
      </c>
      <c r="J29" s="106">
        <f>-('Statement of Operations'!K48+'Statement of Operations'!K49+'Statement of Operations'!K35)</f>
        <v>-43532.911045014065</v>
      </c>
      <c r="K29" s="322">
        <f>-('Statement of Operations'!L48+'Statement of Operations'!L49+'Statement of Operations'!L35)</f>
        <v>-51756.441256651633</v>
      </c>
    </row>
    <row r="30" spans="1:11">
      <c r="A30" s="116" t="s">
        <v>297</v>
      </c>
      <c r="B30" s="106">
        <f>-'Statement of Operations'!C32</f>
        <v>-33147.291073696797</v>
      </c>
      <c r="C30" s="106">
        <f>-'Statement of Operations'!D32</f>
        <v>-9214.3833289348968</v>
      </c>
      <c r="D30" s="106">
        <f>-'Statement of Operations'!E32</f>
        <v>-32064.141639086065</v>
      </c>
      <c r="E30" s="106">
        <f>-'Statement of Operations'!F32</f>
        <v>-48369.901161126727</v>
      </c>
      <c r="F30" s="106">
        <f>-'Statement of Operations'!G32</f>
        <v>-57507.156951835139</v>
      </c>
      <c r="G30" s="106">
        <f>-'Statement of Operations'!H32</f>
        <v>-64236.891987905714</v>
      </c>
      <c r="H30" s="106">
        <f>-'Statement of Operations'!I32</f>
        <v>-71069.370689152376</v>
      </c>
      <c r="I30" s="106">
        <f>-'Statement of Operations'!J32</f>
        <v>-82192.135362511661</v>
      </c>
      <c r="J30" s="106">
        <f>-'Statement of Operations'!K32</f>
        <v>-93454.293900913603</v>
      </c>
      <c r="K30" s="322">
        <f>-'Statement of Operations'!L32</f>
        <v>-97174.836188605681</v>
      </c>
    </row>
    <row r="31" spans="1:11">
      <c r="A31" s="116"/>
      <c r="B31" s="106"/>
      <c r="C31" s="106"/>
      <c r="D31" s="106"/>
      <c r="E31" s="106"/>
      <c r="F31" s="106"/>
      <c r="G31" s="106"/>
      <c r="H31" s="106"/>
      <c r="I31" s="106"/>
      <c r="J31" s="106"/>
      <c r="K31" s="322"/>
    </row>
    <row r="32" spans="1:11">
      <c r="A32" s="114" t="s">
        <v>298</v>
      </c>
      <c r="B32" s="106">
        <f>SUM(B26:B30)</f>
        <v>-65768.563837142545</v>
      </c>
      <c r="C32" s="106">
        <f t="shared" ref="C32:K32" si="2">SUM(C26:C30)</f>
        <v>-44282.25154963907</v>
      </c>
      <c r="D32" s="106">
        <f t="shared" si="2"/>
        <v>-69762.099976343045</v>
      </c>
      <c r="E32" s="106">
        <f t="shared" si="2"/>
        <v>-88895.206373677967</v>
      </c>
      <c r="F32" s="106">
        <f t="shared" si="2"/>
        <v>-101071.86005532774</v>
      </c>
      <c r="G32" s="106">
        <f t="shared" si="2"/>
        <v>-140901.50979048738</v>
      </c>
      <c r="H32" s="106">
        <f t="shared" si="2"/>
        <v>-129706.77570916741</v>
      </c>
      <c r="I32" s="106">
        <f t="shared" si="2"/>
        <v>-165170.15736346078</v>
      </c>
      <c r="J32" s="106">
        <f t="shared" si="2"/>
        <v>-195166.52156113222</v>
      </c>
      <c r="K32" s="322">
        <f t="shared" si="2"/>
        <v>-211474.0428066022</v>
      </c>
    </row>
    <row r="33" spans="1:11">
      <c r="A33" s="116"/>
      <c r="B33" s="106"/>
      <c r="C33" s="106"/>
      <c r="D33" s="106"/>
      <c r="E33" s="106"/>
      <c r="F33" s="106"/>
      <c r="G33" s="106"/>
      <c r="H33" s="106"/>
      <c r="I33" s="106"/>
      <c r="J33" s="106"/>
      <c r="K33" s="322"/>
    </row>
    <row r="34" spans="1:11">
      <c r="A34" s="114" t="s">
        <v>302</v>
      </c>
      <c r="B34" s="106">
        <f>B16+B23+B32</f>
        <v>76829.834162500803</v>
      </c>
      <c r="C34" s="106">
        <f t="shared" ref="C34:K34" si="3">C16+C23+C32</f>
        <v>110784.75928390931</v>
      </c>
      <c r="D34" s="106">
        <f t="shared" si="3"/>
        <v>83950.639984462236</v>
      </c>
      <c r="E34" s="106">
        <f t="shared" si="3"/>
        <v>65652.424774596322</v>
      </c>
      <c r="F34" s="106">
        <f t="shared" si="3"/>
        <v>56702.257137151115</v>
      </c>
      <c r="G34" s="106">
        <f t="shared" si="3"/>
        <v>30028.355753209646</v>
      </c>
      <c r="H34" s="106">
        <f t="shared" si="3"/>
        <v>39210.988335563045</v>
      </c>
      <c r="I34" s="106">
        <f t="shared" si="3"/>
        <v>13373.040769721469</v>
      </c>
      <c r="J34" s="106">
        <f t="shared" si="3"/>
        <v>-8493.2296417159378</v>
      </c>
      <c r="K34" s="322">
        <f t="shared" si="3"/>
        <v>-16008.769934618031</v>
      </c>
    </row>
    <row r="35" spans="1:11">
      <c r="A35" s="116"/>
      <c r="B35" s="106"/>
      <c r="C35" s="106"/>
      <c r="D35" s="106"/>
      <c r="E35" s="106"/>
      <c r="F35" s="106"/>
      <c r="G35" s="106"/>
      <c r="H35" s="106"/>
      <c r="I35" s="106"/>
      <c r="J35" s="106"/>
      <c r="K35" s="322"/>
    </row>
    <row r="36" spans="1:11">
      <c r="A36" s="114" t="s">
        <v>299</v>
      </c>
      <c r="B36" s="106">
        <v>0</v>
      </c>
      <c r="C36" s="106" t="e">
        <f ca="1">B38</f>
        <v>#NAME?</v>
      </c>
      <c r="D36" s="106" t="e">
        <f t="shared" ref="D36:K36" ca="1" si="4">C38</f>
        <v>#NAME?</v>
      </c>
      <c r="E36" s="106" t="e">
        <f t="shared" ca="1" si="4"/>
        <v>#NAME?</v>
      </c>
      <c r="F36" s="106" t="e">
        <f t="shared" ca="1" si="4"/>
        <v>#NAME?</v>
      </c>
      <c r="G36" s="106" t="e">
        <f t="shared" ca="1" si="4"/>
        <v>#NAME?</v>
      </c>
      <c r="H36" s="106" t="e">
        <f t="shared" ca="1" si="4"/>
        <v>#NAME?</v>
      </c>
      <c r="I36" s="106" t="e">
        <f t="shared" ca="1" si="4"/>
        <v>#NAME?</v>
      </c>
      <c r="J36" s="106" t="e">
        <f t="shared" ca="1" si="4"/>
        <v>#NAME?</v>
      </c>
      <c r="K36" s="322" t="e">
        <f t="shared" ca="1" si="4"/>
        <v>#NAME?</v>
      </c>
    </row>
    <row r="37" spans="1:11">
      <c r="A37" s="116"/>
      <c r="B37" s="106"/>
      <c r="C37" s="106"/>
      <c r="D37" s="106"/>
      <c r="E37" s="106"/>
      <c r="F37" s="106"/>
      <c r="G37" s="106"/>
      <c r="H37" s="106"/>
      <c r="I37" s="106"/>
      <c r="J37" s="106"/>
      <c r="K37" s="322"/>
    </row>
    <row r="38" spans="1:11" ht="13.8" thickBot="1">
      <c r="A38" s="222" t="s">
        <v>303</v>
      </c>
      <c r="B38" s="323" t="e">
        <f ca="1">_xll.RiskOutput("End Cash Y1")+B36+B34</f>
        <v>#NAME?</v>
      </c>
      <c r="C38" s="323" t="e">
        <f ca="1">_xll.RiskOutput("End Cash Y2")+C36+C34</f>
        <v>#NAME?</v>
      </c>
      <c r="D38" s="323" t="e">
        <f ca="1">_xll.RiskOutput("End Cash Y3")+D36+D34</f>
        <v>#NAME?</v>
      </c>
      <c r="E38" s="323" t="e">
        <f ca="1">_xll.RiskOutput("End Cash Y4")+E36+E34</f>
        <v>#NAME?</v>
      </c>
      <c r="F38" s="323" t="e">
        <f ca="1">_xll.RiskOutput("End Cash Y5")+F36+F34</f>
        <v>#NAME?</v>
      </c>
      <c r="G38" s="323" t="e">
        <f ca="1">_xll.RiskOutput("End Cash Y6")+G36+G34</f>
        <v>#NAME?</v>
      </c>
      <c r="H38" s="323" t="e">
        <f ca="1">_xll.RiskOutput("End Cash Y7")+H36+H34</f>
        <v>#NAME?</v>
      </c>
      <c r="I38" s="323" t="e">
        <f ca="1">_xll.RiskOutput("End Cash Y8")+I36+I34</f>
        <v>#NAME?</v>
      </c>
      <c r="J38" s="323" t="e">
        <f ca="1">_xll.RiskOutput("End Cash Y9")+J36+J34</f>
        <v>#NAME?</v>
      </c>
      <c r="K38" s="324" t="e">
        <f ca="1">_xll.RiskOutput("End Cash Y10")+K36+K34</f>
        <v>#NAME?</v>
      </c>
    </row>
  </sheetData>
  <sheetProtection algorithmName="SHA-512" hashValue="dLBq0YueR8kWMAXz7m6q0UNrJ7miZYycfQ36Jn6IpldFKm8A1dlP5j+uYIhhv83Pj4NZmjg3iIiOyLdMq4ztVw==" saltValue="6NfyWwfUjaSC6nEgcaJGkw==" spinCount="100000" sheet="1" objects="1" scenarios="1"/>
  <mergeCells count="4">
    <mergeCell ref="B1:D1"/>
    <mergeCell ref="B2:D2"/>
    <mergeCell ref="B3:D3"/>
    <mergeCell ref="B4:D4"/>
  </mergeCells>
  <hyperlinks>
    <hyperlink ref="B2:D2" location="'Input Value'!A1" display="BACK TO INPUTS" xr:uid="{D2FF218B-206E-477D-A008-86E45ADEE6EF}"/>
    <hyperlink ref="B3:D3" location="'Return On Investment'!A1" display="FORWARD TO RETURN ON INVESTMENT" xr:uid="{E63DFF47-988E-4C23-BD83-811BC25084A3}"/>
    <hyperlink ref="B4:D4" location="'Operations Summary'!A1" display="BACK TO OPERATION SUMMARY" xr:uid="{27290C0D-CDEC-449E-9B2E-32468C12311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8A4D-ECE7-4F4E-B8D5-DA1205FF6F68}">
  <dimension ref="A1:X8"/>
  <sheetViews>
    <sheetView workbookViewId="0"/>
  </sheetViews>
  <sheetFormatPr defaultColWidth="25.6640625" defaultRowHeight="13.2"/>
  <sheetData>
    <row r="1" spans="1:24">
      <c r="A1" t="s">
        <v>360</v>
      </c>
      <c r="B1" t="s">
        <v>413</v>
      </c>
    </row>
    <row r="2" spans="1:24">
      <c r="A2" t="s">
        <v>361</v>
      </c>
      <c r="B2">
        <v>4</v>
      </c>
    </row>
    <row r="3" spans="1:24">
      <c r="A3" t="s">
        <v>362</v>
      </c>
      <c r="B3">
        <v>0</v>
      </c>
    </row>
    <row r="5" spans="1:24">
      <c r="A5" t="s">
        <v>363</v>
      </c>
      <c r="B5" t="s">
        <v>364</v>
      </c>
      <c r="C5" t="s">
        <v>365</v>
      </c>
      <c r="D5" t="s">
        <v>366</v>
      </c>
      <c r="E5" t="s">
        <v>367</v>
      </c>
      <c r="F5" t="s">
        <v>368</v>
      </c>
      <c r="J5" t="s">
        <v>369</v>
      </c>
      <c r="K5" t="s">
        <v>370</v>
      </c>
      <c r="L5" t="s">
        <v>371</v>
      </c>
      <c r="N5" t="s">
        <v>372</v>
      </c>
      <c r="O5" t="s">
        <v>373</v>
      </c>
      <c r="P5" t="s">
        <v>374</v>
      </c>
      <c r="R5" t="s">
        <v>375</v>
      </c>
      <c r="S5" t="s">
        <v>376</v>
      </c>
      <c r="T5" t="s">
        <v>377</v>
      </c>
      <c r="V5" t="s">
        <v>378</v>
      </c>
      <c r="W5" t="s">
        <v>379</v>
      </c>
      <c r="X5" t="s">
        <v>380</v>
      </c>
    </row>
    <row r="6" spans="1:24">
      <c r="A6" t="e">
        <f ca="1">ModelRef('Statement of Operations'!$L$54,1,0,0)</f>
        <v>#NAME?</v>
      </c>
      <c r="B6">
        <v>0</v>
      </c>
      <c r="C6">
        <v>3</v>
      </c>
      <c r="F6">
        <v>0</v>
      </c>
      <c r="J6" t="b">
        <v>1</v>
      </c>
      <c r="K6" t="s">
        <v>414</v>
      </c>
      <c r="L6" t="e">
        <f ca="1">ModelRef('Statement of Operations'!$L$54,1,0,0)</f>
        <v>#NAME?</v>
      </c>
    </row>
    <row r="7" spans="1:24">
      <c r="A7" t="e">
        <f ca="1">ModelRef('Cash Flow '!$B$38,1,0,0)</f>
        <v>#NAME?</v>
      </c>
      <c r="B7">
        <v>0</v>
      </c>
      <c r="C7">
        <v>3</v>
      </c>
      <c r="F7">
        <v>0</v>
      </c>
      <c r="J7" t="b">
        <v>1</v>
      </c>
      <c r="K7" t="s">
        <v>412</v>
      </c>
      <c r="L7" t="e">
        <f ca="1">ModelRef('Cash Flow '!$B$38,1,0,0)</f>
        <v>#NAME?</v>
      </c>
    </row>
    <row r="8" spans="1:24">
      <c r="A8" t="e">
        <f ca="1">ModelRef('Cash Flow '!$K$38,1,0,0)</f>
        <v>#NAME?</v>
      </c>
      <c r="B8">
        <v>0</v>
      </c>
      <c r="C8">
        <v>3</v>
      </c>
      <c r="F8">
        <v>0</v>
      </c>
      <c r="J8" t="b">
        <v>1</v>
      </c>
      <c r="K8" t="s">
        <v>411</v>
      </c>
      <c r="L8" t="e">
        <f ca="1">ModelRef('Cash Flow '!$K$38,1,0,0)</f>
        <v>#NAME?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27"/>
  <sheetViews>
    <sheetView showGridLines="0" zoomScaleNormal="100" workbookViewId="0"/>
  </sheetViews>
  <sheetFormatPr defaultColWidth="8.88671875" defaultRowHeight="13.8"/>
  <cols>
    <col min="1" max="1" width="38" style="42" customWidth="1"/>
    <col min="2" max="2" width="15.44140625" style="42" customWidth="1"/>
    <col min="3" max="3" width="13.44140625" style="42" bestFit="1" customWidth="1"/>
    <col min="4" max="4" width="11.44140625" style="42" customWidth="1"/>
    <col min="5" max="5" width="52.44140625" style="42" customWidth="1"/>
    <col min="6" max="6" width="14.88671875" style="42" customWidth="1"/>
    <col min="7" max="7" width="24.33203125" style="42" customWidth="1"/>
    <col min="8" max="8" width="12.88671875" style="42" customWidth="1"/>
    <col min="9" max="9" width="14.6640625" style="42" customWidth="1"/>
    <col min="10" max="10" width="12.44140625" style="42" customWidth="1"/>
    <col min="11" max="11" width="13" style="42" customWidth="1"/>
    <col min="12" max="12" width="13.109375" style="42" customWidth="1"/>
    <col min="13" max="13" width="12.44140625" style="42" customWidth="1"/>
    <col min="14" max="14" width="12.109375" style="42" customWidth="1"/>
    <col min="15" max="15" width="12.44140625" style="42" customWidth="1"/>
    <col min="16" max="16" width="12.88671875" style="42" customWidth="1"/>
    <col min="17" max="17" width="14" style="42" customWidth="1"/>
    <col min="18" max="18" width="14.6640625" style="42" customWidth="1"/>
    <col min="19" max="19" width="13.44140625" style="42" customWidth="1"/>
    <col min="20" max="20" width="12.109375" style="42" customWidth="1"/>
    <col min="21" max="21" width="14" style="42" customWidth="1"/>
    <col min="22" max="22" width="15" style="42" customWidth="1"/>
    <col min="23" max="23" width="17.88671875" style="42" customWidth="1"/>
    <col min="24" max="24" width="11.6640625" style="42" bestFit="1" customWidth="1"/>
    <col min="25" max="25" width="9.109375" style="42" customWidth="1"/>
    <col min="26" max="26" width="8.88671875" style="42" customWidth="1"/>
    <col min="27" max="27" width="15.88671875" style="42" customWidth="1"/>
    <col min="28" max="28" width="16.109375" style="42" customWidth="1"/>
    <col min="29" max="29" width="8.88671875" style="42" customWidth="1"/>
    <col min="30" max="30" width="9.109375" style="42" customWidth="1"/>
    <col min="31" max="31" width="8.88671875" style="42" customWidth="1"/>
    <col min="32" max="32" width="20.88671875" style="42" bestFit="1" customWidth="1"/>
    <col min="33" max="40" width="8.88671875" style="42"/>
    <col min="41" max="41" width="25.33203125" style="42" customWidth="1"/>
    <col min="42" max="16384" width="8.88671875" style="42"/>
  </cols>
  <sheetData>
    <row r="1" spans="1:42">
      <c r="A1" s="46" t="s">
        <v>146</v>
      </c>
      <c r="B1" s="76"/>
      <c r="C1" s="76"/>
    </row>
    <row r="2" spans="1:42" ht="14.4" thickBot="1">
      <c r="A2" s="449" t="s">
        <v>147</v>
      </c>
      <c r="B2" s="449"/>
      <c r="C2" s="449"/>
      <c r="D2" s="43"/>
      <c r="G2" s="44"/>
      <c r="H2" s="45"/>
      <c r="I2" s="45"/>
      <c r="J2" s="45"/>
      <c r="K2" s="45"/>
      <c r="L2" s="45"/>
      <c r="M2" s="45"/>
      <c r="N2" s="45"/>
      <c r="O2" s="45"/>
      <c r="P2" s="45"/>
    </row>
    <row r="3" spans="1:42">
      <c r="A3" s="449" t="s">
        <v>148</v>
      </c>
      <c r="B3" s="449"/>
      <c r="C3" s="449"/>
      <c r="D3" s="46"/>
      <c r="E3" s="125" t="s">
        <v>433</v>
      </c>
      <c r="F3" s="197"/>
      <c r="G3" s="432"/>
      <c r="H3" s="47"/>
      <c r="I3" s="47"/>
      <c r="J3" s="47"/>
      <c r="K3" s="47"/>
      <c r="L3" s="47"/>
      <c r="M3" s="47"/>
      <c r="N3" s="47"/>
      <c r="O3" s="47"/>
      <c r="P3" s="47"/>
    </row>
    <row r="4" spans="1:42">
      <c r="A4" s="449" t="s">
        <v>149</v>
      </c>
      <c r="B4" s="449"/>
      <c r="C4" s="449"/>
      <c r="D4" s="48"/>
      <c r="E4" s="187" t="s">
        <v>424</v>
      </c>
      <c r="F4" s="188" t="s">
        <v>450</v>
      </c>
      <c r="G4" s="189" t="s">
        <v>418</v>
      </c>
      <c r="H4" s="50"/>
      <c r="I4" s="47"/>
      <c r="J4" s="47"/>
      <c r="K4" s="47"/>
      <c r="L4" s="47"/>
      <c r="M4" s="47"/>
      <c r="N4" s="47"/>
      <c r="O4" s="47"/>
      <c r="P4" s="47"/>
      <c r="AF4" s="51"/>
      <c r="AJ4" s="52" t="s">
        <v>48</v>
      </c>
      <c r="AO4" s="52" t="s">
        <v>54</v>
      </c>
    </row>
    <row r="5" spans="1:42">
      <c r="A5" s="449" t="s">
        <v>150</v>
      </c>
      <c r="B5" s="449"/>
      <c r="C5" s="449"/>
      <c r="D5" s="46"/>
      <c r="E5" s="131" t="s">
        <v>427</v>
      </c>
      <c r="G5" s="173">
        <v>646580</v>
      </c>
      <c r="H5" s="53"/>
      <c r="I5" s="53"/>
      <c r="J5" s="53"/>
      <c r="K5" s="53"/>
      <c r="L5" s="53"/>
      <c r="M5" s="53"/>
      <c r="N5" s="53"/>
      <c r="O5" s="53"/>
      <c r="P5" s="53"/>
    </row>
    <row r="6" spans="1:42">
      <c r="A6" s="450" t="s">
        <v>151</v>
      </c>
      <c r="B6" s="449"/>
      <c r="C6" s="449"/>
      <c r="D6" s="46"/>
      <c r="E6" s="131" t="s">
        <v>415</v>
      </c>
      <c r="F6" s="77">
        <f>1-F7</f>
        <v>0.81</v>
      </c>
      <c r="G6" s="174">
        <f>F6*G5</f>
        <v>523729.80000000005</v>
      </c>
      <c r="H6" s="54"/>
      <c r="I6" s="54"/>
      <c r="J6" s="54"/>
      <c r="K6" s="54"/>
      <c r="L6" s="54"/>
      <c r="M6" s="54"/>
      <c r="N6" s="54"/>
      <c r="O6" s="54"/>
      <c r="P6" s="54"/>
      <c r="AF6" s="55"/>
      <c r="AO6" s="46" t="s">
        <v>55</v>
      </c>
      <c r="AP6" s="56">
        <v>0</v>
      </c>
    </row>
    <row r="7" spans="1:42">
      <c r="A7" s="449" t="s">
        <v>152</v>
      </c>
      <c r="B7" s="449"/>
      <c r="C7" s="449"/>
      <c r="D7" s="57"/>
      <c r="E7" s="135" t="s">
        <v>416</v>
      </c>
      <c r="F7" s="437">
        <v>0.19</v>
      </c>
      <c r="G7" s="175">
        <f>F7*G5</f>
        <v>122850.2</v>
      </c>
      <c r="H7" s="58"/>
      <c r="I7" s="58"/>
      <c r="J7" s="58"/>
      <c r="K7" s="58"/>
      <c r="L7" s="58"/>
      <c r="M7" s="58"/>
      <c r="N7" s="58"/>
      <c r="O7" s="58"/>
      <c r="P7" s="58"/>
      <c r="AF7" s="46"/>
      <c r="AG7" s="59"/>
      <c r="AO7" s="46" t="s">
        <v>53</v>
      </c>
      <c r="AP7" s="59">
        <v>0</v>
      </c>
    </row>
    <row r="8" spans="1:42">
      <c r="D8" s="57"/>
      <c r="E8" s="131" t="s">
        <v>417</v>
      </c>
      <c r="F8" s="75">
        <f>F6+F7</f>
        <v>1</v>
      </c>
      <c r="G8" s="176">
        <f t="shared" ref="G8" si="0">G7+G6</f>
        <v>646580</v>
      </c>
      <c r="H8" s="53"/>
      <c r="I8" s="53"/>
      <c r="J8" s="53"/>
      <c r="K8" s="53"/>
      <c r="L8" s="53"/>
      <c r="M8" s="53"/>
      <c r="N8" s="53"/>
      <c r="O8" s="53"/>
      <c r="P8" s="53"/>
      <c r="AF8" s="46"/>
      <c r="AG8" s="59"/>
    </row>
    <row r="9" spans="1:42" ht="14.4" thickBot="1">
      <c r="D9" s="57"/>
      <c r="E9" s="135"/>
      <c r="G9" s="160"/>
      <c r="H9" s="47"/>
      <c r="I9" s="47"/>
      <c r="J9" s="47"/>
      <c r="K9" s="61"/>
      <c r="L9" s="62"/>
      <c r="M9" s="47"/>
      <c r="N9" s="47"/>
      <c r="O9" s="47"/>
      <c r="P9" s="47"/>
      <c r="AF9" s="46"/>
      <c r="AG9" s="59"/>
    </row>
    <row r="10" spans="1:42">
      <c r="A10" s="125" t="s">
        <v>127</v>
      </c>
      <c r="B10" s="197"/>
      <c r="C10" s="432"/>
      <c r="D10" s="57"/>
      <c r="E10" s="135"/>
      <c r="F10" s="49"/>
      <c r="G10" s="172" t="s">
        <v>418</v>
      </c>
      <c r="H10" s="47"/>
      <c r="I10" s="47"/>
      <c r="J10" s="47"/>
      <c r="K10" s="61"/>
      <c r="L10" s="62"/>
      <c r="M10" s="47"/>
      <c r="N10" s="47"/>
      <c r="O10" s="47"/>
      <c r="P10" s="47"/>
    </row>
    <row r="11" spans="1:42">
      <c r="A11" s="159" t="s">
        <v>128</v>
      </c>
      <c r="C11" s="160"/>
      <c r="D11" s="57"/>
      <c r="E11" s="135" t="s">
        <v>472</v>
      </c>
      <c r="F11" s="437">
        <v>0.44</v>
      </c>
      <c r="G11" s="177">
        <f>F11*G6</f>
        <v>230441.11200000002</v>
      </c>
      <c r="H11" s="58"/>
      <c r="I11" s="58"/>
      <c r="J11" s="58"/>
      <c r="K11" s="58"/>
      <c r="L11" s="58"/>
      <c r="M11" s="58"/>
      <c r="N11" s="58"/>
      <c r="O11" s="58"/>
      <c r="P11" s="58"/>
    </row>
    <row r="12" spans="1:42">
      <c r="A12" s="135" t="s">
        <v>241</v>
      </c>
      <c r="B12" s="97">
        <v>0.5</v>
      </c>
      <c r="C12" s="160"/>
      <c r="D12" s="57"/>
      <c r="E12" s="135" t="s">
        <v>473</v>
      </c>
      <c r="F12" s="437">
        <v>0.56000000000000005</v>
      </c>
      <c r="G12" s="177">
        <f>F12*G7</f>
        <v>68796.112000000008</v>
      </c>
      <c r="H12" s="58"/>
      <c r="I12" s="58"/>
      <c r="J12" s="58"/>
      <c r="K12" s="58"/>
      <c r="L12" s="58"/>
      <c r="M12" s="58"/>
      <c r="N12" s="58"/>
      <c r="O12" s="58"/>
      <c r="P12" s="58"/>
    </row>
    <row r="13" spans="1:42">
      <c r="A13" s="135" t="s">
        <v>16</v>
      </c>
      <c r="B13" s="97">
        <v>7.4999999999999997E-2</v>
      </c>
      <c r="C13" s="160"/>
      <c r="D13" s="57"/>
      <c r="E13" s="135" t="s">
        <v>52</v>
      </c>
      <c r="G13" s="177">
        <f t="shared" ref="G13" si="1">G11+G12</f>
        <v>299237.22400000005</v>
      </c>
      <c r="H13" s="58"/>
      <c r="I13" s="58"/>
      <c r="J13" s="58"/>
      <c r="K13" s="58"/>
      <c r="L13" s="58"/>
      <c r="M13" s="58"/>
      <c r="N13" s="58"/>
      <c r="O13" s="58"/>
      <c r="P13" s="58"/>
    </row>
    <row r="14" spans="1:42">
      <c r="A14" s="135" t="s">
        <v>15</v>
      </c>
      <c r="B14" s="98">
        <v>10</v>
      </c>
      <c r="C14" s="160"/>
      <c r="D14" s="57"/>
      <c r="E14" s="135"/>
      <c r="G14" s="160"/>
      <c r="H14" s="47"/>
      <c r="I14" s="47"/>
      <c r="J14" s="47"/>
      <c r="K14" s="47"/>
      <c r="L14" s="47"/>
      <c r="M14" s="47"/>
      <c r="N14" s="47"/>
      <c r="O14" s="47"/>
      <c r="P14" s="47"/>
    </row>
    <row r="15" spans="1:42">
      <c r="A15" s="135" t="s">
        <v>91</v>
      </c>
      <c r="B15" s="60">
        <f>'Equip and Depreciation'!C42</f>
        <v>922992</v>
      </c>
      <c r="C15" s="160"/>
      <c r="D15" s="57"/>
      <c r="E15" s="131" t="s">
        <v>428</v>
      </c>
      <c r="F15" s="65"/>
      <c r="G15" s="167">
        <v>0.15</v>
      </c>
      <c r="H15" s="47"/>
      <c r="I15" s="47"/>
      <c r="J15" s="47"/>
      <c r="K15" s="47"/>
      <c r="L15" s="47"/>
      <c r="M15" s="47"/>
      <c r="N15" s="47"/>
      <c r="O15" s="47"/>
      <c r="P15" s="47"/>
    </row>
    <row r="16" spans="1:42">
      <c r="A16" s="135" t="s">
        <v>14</v>
      </c>
      <c r="B16" s="60">
        <f>B15*B12</f>
        <v>461496</v>
      </c>
      <c r="C16" s="160"/>
      <c r="D16" s="47"/>
      <c r="E16" s="131"/>
      <c r="F16" s="66"/>
      <c r="G16" s="179"/>
      <c r="H16" s="47"/>
      <c r="I16" s="47"/>
      <c r="J16" s="47"/>
      <c r="K16" s="47"/>
      <c r="L16" s="47"/>
      <c r="M16" s="47"/>
      <c r="N16" s="47"/>
      <c r="O16" s="47"/>
      <c r="P16" s="47"/>
    </row>
    <row r="17" spans="1:24">
      <c r="A17" s="135" t="s">
        <v>18</v>
      </c>
      <c r="B17" s="321">
        <v>201532</v>
      </c>
      <c r="C17" s="160"/>
      <c r="D17" s="57"/>
      <c r="E17" s="131" t="s">
        <v>430</v>
      </c>
      <c r="G17" s="177">
        <f>G15*G12</f>
        <v>10319.416800000001</v>
      </c>
      <c r="H17" s="58"/>
      <c r="I17" s="58"/>
      <c r="J17" s="58"/>
      <c r="K17" s="58"/>
      <c r="L17" s="58"/>
      <c r="M17" s="58"/>
      <c r="N17" s="58"/>
      <c r="O17" s="58"/>
      <c r="P17" s="58"/>
    </row>
    <row r="18" spans="1:24">
      <c r="A18" s="135" t="s">
        <v>25</v>
      </c>
      <c r="B18" s="97">
        <v>0.06</v>
      </c>
      <c r="C18" s="160"/>
      <c r="D18" s="57"/>
      <c r="E18" s="131" t="s">
        <v>419</v>
      </c>
      <c r="F18" s="47"/>
      <c r="G18" s="176">
        <f>G12*(1-G15)</f>
        <v>58476.695200000002</v>
      </c>
      <c r="H18" s="53"/>
      <c r="I18" s="53"/>
      <c r="J18" s="53"/>
      <c r="K18" s="53"/>
      <c r="L18" s="53"/>
      <c r="M18" s="53"/>
      <c r="N18" s="53"/>
      <c r="O18" s="53"/>
      <c r="P18" s="53"/>
    </row>
    <row r="19" spans="1:24">
      <c r="A19" s="131" t="s">
        <v>255</v>
      </c>
      <c r="B19" s="63">
        <f>'Loan Amortization'!M36</f>
        <v>0.39350988075579452</v>
      </c>
      <c r="C19" s="160"/>
      <c r="D19" s="57"/>
      <c r="E19" s="131" t="s">
        <v>474</v>
      </c>
      <c r="F19" s="437">
        <v>0.8</v>
      </c>
      <c r="G19" s="176">
        <f>F19*G18</f>
        <v>46781.356160000003</v>
      </c>
      <c r="H19" s="53"/>
      <c r="I19" s="53"/>
      <c r="J19" s="53"/>
      <c r="K19" s="53"/>
      <c r="L19" s="53"/>
      <c r="M19" s="53"/>
      <c r="N19" s="53"/>
      <c r="O19" s="53"/>
      <c r="P19" s="53"/>
    </row>
    <row r="20" spans="1:24">
      <c r="A20" s="135"/>
      <c r="C20" s="160"/>
      <c r="D20" s="57"/>
      <c r="E20" s="131" t="s">
        <v>475</v>
      </c>
      <c r="F20" s="77">
        <f>1-F19</f>
        <v>0.19999999999999996</v>
      </c>
      <c r="G20" s="176">
        <f>G18-G19</f>
        <v>11695.339039999999</v>
      </c>
      <c r="H20" s="53"/>
      <c r="I20" s="53"/>
      <c r="J20" s="53"/>
      <c r="K20" s="53"/>
      <c r="L20" s="53"/>
      <c r="M20" s="53"/>
      <c r="N20" s="53"/>
      <c r="O20" s="53"/>
      <c r="P20" s="53"/>
    </row>
    <row r="21" spans="1:24">
      <c r="A21" s="161" t="s">
        <v>158</v>
      </c>
      <c r="C21" s="160"/>
      <c r="D21" s="67"/>
      <c r="E21" s="131" t="s">
        <v>423</v>
      </c>
      <c r="F21" s="47"/>
      <c r="G21" s="179">
        <f>G7*(1-F12)</f>
        <v>54054.087999999989</v>
      </c>
      <c r="H21" s="68"/>
      <c r="I21" s="68"/>
      <c r="J21" s="68"/>
      <c r="K21" s="68"/>
      <c r="L21" s="68"/>
      <c r="M21" s="68"/>
      <c r="N21" s="68"/>
      <c r="O21" s="68"/>
      <c r="P21" s="68"/>
    </row>
    <row r="22" spans="1:24">
      <c r="A22" s="135" t="s">
        <v>242</v>
      </c>
      <c r="B22" s="64">
        <f>+(+B15-B16-B26)</f>
        <v>461496</v>
      </c>
      <c r="C22" s="160"/>
      <c r="D22" s="57"/>
      <c r="E22" s="135"/>
      <c r="G22" s="160"/>
      <c r="H22" s="47"/>
      <c r="I22" s="47"/>
      <c r="J22" s="47"/>
      <c r="K22" s="47"/>
      <c r="L22" s="47"/>
      <c r="M22" s="47"/>
      <c r="N22" s="47"/>
      <c r="O22" s="47"/>
      <c r="P22" s="47"/>
    </row>
    <row r="23" spans="1:24">
      <c r="A23" s="135" t="s">
        <v>304</v>
      </c>
      <c r="B23" s="98">
        <v>1</v>
      </c>
      <c r="C23" s="162" t="str">
        <f>IF(OR(B23=0,B23=1),"","enter 0 or 1")</f>
        <v/>
      </c>
      <c r="D23" s="57"/>
      <c r="E23" s="131" t="s">
        <v>429</v>
      </c>
      <c r="F23" s="65"/>
      <c r="G23" s="167">
        <v>0.15</v>
      </c>
      <c r="H23" s="47"/>
      <c r="I23" s="47"/>
      <c r="J23" s="47"/>
      <c r="K23" s="47"/>
      <c r="L23" s="47"/>
      <c r="M23" s="47"/>
      <c r="N23" s="47"/>
      <c r="O23" s="47"/>
      <c r="P23" s="47"/>
    </row>
    <row r="24" spans="1:24">
      <c r="A24" s="135" t="s">
        <v>160</v>
      </c>
      <c r="B24" s="98">
        <v>5</v>
      </c>
      <c r="C24" s="160"/>
      <c r="D24" s="57"/>
      <c r="E24" s="131"/>
      <c r="F24" s="47"/>
      <c r="G24" s="179"/>
      <c r="H24" s="47"/>
      <c r="I24" s="47"/>
      <c r="J24" s="47"/>
      <c r="K24" s="47"/>
      <c r="L24" s="47"/>
      <c r="M24" s="47"/>
      <c r="N24" s="47"/>
      <c r="O24" s="47"/>
      <c r="P24" s="47"/>
      <c r="X24" s="42" t="s">
        <v>381</v>
      </c>
    </row>
    <row r="25" spans="1:24">
      <c r="A25" s="135" t="s">
        <v>159</v>
      </c>
      <c r="B25" s="100">
        <v>0</v>
      </c>
      <c r="C25" s="160"/>
      <c r="D25" s="57"/>
      <c r="E25" s="131" t="s">
        <v>431</v>
      </c>
      <c r="G25" s="177">
        <f>G23*G11</f>
        <v>34566.166799999999</v>
      </c>
      <c r="H25" s="58"/>
      <c r="I25" s="58"/>
      <c r="J25" s="58"/>
      <c r="K25" s="58"/>
      <c r="L25" s="58"/>
      <c r="M25" s="58"/>
      <c r="N25" s="58"/>
      <c r="O25" s="58"/>
      <c r="P25" s="58"/>
    </row>
    <row r="26" spans="1:24">
      <c r="A26" s="135" t="s">
        <v>161</v>
      </c>
      <c r="B26" s="101">
        <v>0</v>
      </c>
      <c r="C26" s="160"/>
      <c r="D26" s="57"/>
      <c r="E26" s="131" t="s">
        <v>432</v>
      </c>
      <c r="F26" s="47"/>
      <c r="G26" s="176">
        <f>G11*(1-G23)</f>
        <v>195874.94520000002</v>
      </c>
      <c r="H26" s="53"/>
      <c r="I26" s="53"/>
      <c r="J26" s="53"/>
      <c r="K26" s="53"/>
      <c r="L26" s="53"/>
      <c r="M26" s="53"/>
      <c r="N26" s="53"/>
      <c r="O26" s="53"/>
      <c r="P26" s="53"/>
    </row>
    <row r="27" spans="1:24">
      <c r="A27" s="135" t="s">
        <v>162</v>
      </c>
      <c r="B27" s="100">
        <v>0.12</v>
      </c>
      <c r="C27" s="160"/>
      <c r="D27" s="57"/>
      <c r="E27" s="131" t="s">
        <v>420</v>
      </c>
      <c r="F27" s="448">
        <f>F19</f>
        <v>0.8</v>
      </c>
      <c r="G27" s="176">
        <f>F27*G26</f>
        <v>156699.95616000003</v>
      </c>
      <c r="H27" s="53"/>
      <c r="I27" s="53"/>
      <c r="J27" s="53"/>
      <c r="K27" s="53"/>
      <c r="L27" s="53"/>
      <c r="M27" s="53"/>
      <c r="N27" s="53"/>
      <c r="O27" s="53"/>
      <c r="P27" s="53"/>
    </row>
    <row r="28" spans="1:24">
      <c r="A28" s="135"/>
      <c r="C28" s="160"/>
      <c r="D28" s="57"/>
      <c r="E28" s="131" t="s">
        <v>421</v>
      </c>
      <c r="F28" s="448">
        <f>F20</f>
        <v>0.19999999999999996</v>
      </c>
      <c r="G28" s="176">
        <f>G26-G27</f>
        <v>39174.989039999986</v>
      </c>
      <c r="H28" s="53"/>
      <c r="I28" s="53"/>
      <c r="J28" s="53"/>
      <c r="K28" s="53"/>
      <c r="L28" s="53"/>
      <c r="M28" s="53"/>
      <c r="N28" s="53"/>
      <c r="O28" s="53"/>
      <c r="P28" s="53"/>
    </row>
    <row r="29" spans="1:24">
      <c r="A29" s="135"/>
      <c r="C29" s="160"/>
      <c r="D29" s="57"/>
      <c r="E29" s="131" t="s">
        <v>422</v>
      </c>
      <c r="F29" s="47"/>
      <c r="G29" s="179">
        <f>G6*(1-F11)</f>
        <v>293288.68800000008</v>
      </c>
      <c r="H29" s="68"/>
      <c r="I29" s="68"/>
      <c r="J29" s="68"/>
      <c r="K29" s="68"/>
      <c r="L29" s="68"/>
      <c r="M29" s="68"/>
      <c r="N29" s="68"/>
      <c r="O29" s="68"/>
      <c r="P29" s="68"/>
    </row>
    <row r="30" spans="1:24">
      <c r="A30" s="135"/>
      <c r="C30" s="160"/>
      <c r="D30" s="57"/>
      <c r="E30" s="135"/>
      <c r="G30" s="160"/>
      <c r="H30" s="47"/>
      <c r="I30" s="62"/>
      <c r="J30" s="47"/>
      <c r="K30" s="47"/>
      <c r="L30" s="47"/>
      <c r="M30" s="47"/>
      <c r="N30" s="47"/>
      <c r="O30" s="47"/>
      <c r="P30" s="47"/>
    </row>
    <row r="31" spans="1:24">
      <c r="A31" s="135"/>
      <c r="C31" s="160"/>
      <c r="D31" s="46"/>
      <c r="E31" s="135"/>
      <c r="G31" s="160"/>
      <c r="H31" s="47"/>
      <c r="I31" s="47"/>
      <c r="J31" s="47"/>
      <c r="K31" s="47"/>
      <c r="L31" s="47"/>
      <c r="M31" s="47"/>
      <c r="N31" s="47"/>
      <c r="O31" s="47"/>
      <c r="P31" s="47"/>
    </row>
    <row r="32" spans="1:24">
      <c r="A32" s="161" t="s">
        <v>92</v>
      </c>
      <c r="B32" s="69"/>
      <c r="C32" s="160"/>
      <c r="D32" s="46"/>
      <c r="E32" s="135"/>
      <c r="G32" s="160"/>
      <c r="H32" s="47"/>
      <c r="I32" s="47"/>
      <c r="J32" s="47"/>
      <c r="K32" s="47"/>
      <c r="L32" s="47"/>
      <c r="M32" s="47"/>
      <c r="N32" s="47"/>
      <c r="O32" s="47"/>
      <c r="P32" s="47"/>
    </row>
    <row r="33" spans="1:24">
      <c r="A33" s="135" t="s">
        <v>88</v>
      </c>
      <c r="B33" s="97">
        <v>5.0000000000000001E-3</v>
      </c>
      <c r="C33" s="160"/>
      <c r="D33" s="46"/>
      <c r="E33" s="433" t="s">
        <v>425</v>
      </c>
      <c r="F33" s="434"/>
      <c r="G33" s="435"/>
      <c r="H33" s="47"/>
      <c r="I33" s="47"/>
      <c r="J33" s="47"/>
      <c r="K33" s="47"/>
      <c r="L33" s="47"/>
      <c r="M33" s="47"/>
      <c r="N33" s="47"/>
      <c r="O33" s="47"/>
      <c r="P33" s="47"/>
    </row>
    <row r="34" spans="1:24">
      <c r="A34" s="135" t="s">
        <v>94</v>
      </c>
      <c r="B34" s="97">
        <v>0.3</v>
      </c>
      <c r="C34" s="160"/>
      <c r="D34" s="46"/>
      <c r="E34" s="135"/>
      <c r="G34" s="163"/>
      <c r="H34" s="45"/>
      <c r="I34" s="45"/>
      <c r="J34" s="45"/>
      <c r="K34" s="45"/>
      <c r="L34" s="45"/>
      <c r="M34" s="45"/>
      <c r="N34" s="45"/>
      <c r="O34" s="45"/>
      <c r="P34" s="45"/>
    </row>
    <row r="35" spans="1:24">
      <c r="A35" s="135"/>
      <c r="B35" s="69"/>
      <c r="C35" s="160"/>
      <c r="E35" s="135" t="s">
        <v>426</v>
      </c>
      <c r="G35" s="160"/>
      <c r="H35" s="47"/>
      <c r="I35" s="47"/>
      <c r="J35" s="47"/>
      <c r="K35" s="47"/>
      <c r="L35" s="47"/>
      <c r="M35" s="47"/>
      <c r="N35" s="47"/>
      <c r="O35" s="47"/>
      <c r="P35" s="47"/>
    </row>
    <row r="36" spans="1:24">
      <c r="A36" s="135"/>
      <c r="C36" s="160"/>
      <c r="E36" s="135" t="s">
        <v>97</v>
      </c>
      <c r="G36" s="190" t="s">
        <v>405</v>
      </c>
      <c r="H36" s="47"/>
      <c r="I36" s="47"/>
      <c r="J36" s="47"/>
      <c r="K36" s="47"/>
      <c r="L36" s="47"/>
      <c r="M36" s="47"/>
      <c r="N36" s="47"/>
      <c r="O36" s="47"/>
      <c r="P36" s="47"/>
    </row>
    <row r="37" spans="1:24">
      <c r="A37" s="135"/>
      <c r="C37" s="160"/>
      <c r="E37" s="135" t="s">
        <v>10</v>
      </c>
      <c r="G37" s="180" t="s">
        <v>356</v>
      </c>
      <c r="H37" s="47"/>
      <c r="I37" s="47"/>
      <c r="J37" s="47"/>
      <c r="K37" s="47"/>
      <c r="L37" s="47"/>
      <c r="M37" s="47"/>
      <c r="N37" s="47"/>
      <c r="O37" s="47"/>
      <c r="P37" s="47"/>
    </row>
    <row r="38" spans="1:24">
      <c r="A38" s="135"/>
      <c r="B38" s="69"/>
      <c r="C38" s="160"/>
      <c r="E38" s="135" t="s">
        <v>306</v>
      </c>
      <c r="G38" s="181">
        <f>G19/1</f>
        <v>46781.356160000003</v>
      </c>
      <c r="H38" s="71"/>
      <c r="I38" s="71"/>
      <c r="J38" s="71"/>
      <c r="K38" s="71"/>
      <c r="L38" s="71"/>
      <c r="M38" s="71"/>
      <c r="N38" s="71"/>
      <c r="O38" s="71"/>
      <c r="P38" s="71"/>
    </row>
    <row r="39" spans="1:24">
      <c r="A39" s="161" t="s">
        <v>93</v>
      </c>
      <c r="B39" s="50"/>
      <c r="C39" s="160"/>
      <c r="E39" s="135" t="s">
        <v>102</v>
      </c>
      <c r="G39" s="439">
        <v>4.09</v>
      </c>
      <c r="H39" s="72"/>
      <c r="I39" s="72"/>
      <c r="J39" s="72"/>
      <c r="K39" s="72"/>
      <c r="L39" s="72"/>
      <c r="M39" s="72"/>
      <c r="N39" s="72"/>
      <c r="O39" s="72"/>
      <c r="P39" s="72"/>
    </row>
    <row r="40" spans="1:24">
      <c r="A40" s="135" t="s">
        <v>34</v>
      </c>
      <c r="B40" s="97">
        <v>0.05</v>
      </c>
      <c r="C40" s="160"/>
      <c r="E40" s="135"/>
      <c r="G40" s="183"/>
      <c r="H40" s="72"/>
      <c r="I40" s="72"/>
      <c r="J40" s="72"/>
      <c r="K40" s="72"/>
      <c r="L40" s="72"/>
      <c r="M40" s="72"/>
      <c r="N40" s="72"/>
      <c r="O40" s="72"/>
      <c r="P40" s="72"/>
    </row>
    <row r="41" spans="1:24">
      <c r="A41" s="135" t="s">
        <v>35</v>
      </c>
      <c r="B41" s="97">
        <v>0.15</v>
      </c>
      <c r="C41" s="160"/>
      <c r="E41" s="135" t="s">
        <v>97</v>
      </c>
      <c r="G41" s="190" t="s">
        <v>406</v>
      </c>
      <c r="H41" s="47"/>
      <c r="I41" s="47"/>
      <c r="J41" s="47"/>
      <c r="K41" s="47"/>
      <c r="L41" s="47"/>
      <c r="M41" s="47"/>
      <c r="N41" s="47"/>
      <c r="O41" s="47"/>
      <c r="P41" s="47"/>
    </row>
    <row r="42" spans="1:24">
      <c r="A42" s="135" t="s">
        <v>125</v>
      </c>
      <c r="B42" s="97">
        <v>0.1</v>
      </c>
      <c r="C42" s="160"/>
      <c r="E42" s="135" t="s">
        <v>10</v>
      </c>
      <c r="G42" s="180" t="s">
        <v>356</v>
      </c>
      <c r="H42" s="47"/>
      <c r="I42" s="47"/>
      <c r="J42" s="47"/>
      <c r="K42" s="47"/>
      <c r="L42" s="47"/>
      <c r="M42" s="47"/>
      <c r="N42" s="47"/>
      <c r="O42" s="47"/>
      <c r="P42" s="47"/>
    </row>
    <row r="43" spans="1:24">
      <c r="A43" s="135" t="s">
        <v>33</v>
      </c>
      <c r="B43" s="70">
        <f>SUM(B40:B42)</f>
        <v>0.30000000000000004</v>
      </c>
      <c r="C43" s="160"/>
      <c r="E43" s="135" t="s">
        <v>306</v>
      </c>
      <c r="G43" s="181">
        <f>G20/1</f>
        <v>11695.339039999999</v>
      </c>
      <c r="H43" s="71"/>
      <c r="I43" s="71"/>
      <c r="J43" s="71"/>
      <c r="K43" s="71"/>
      <c r="L43" s="71"/>
      <c r="M43" s="71"/>
      <c r="N43" s="71"/>
      <c r="O43" s="71"/>
      <c r="P43" s="71"/>
    </row>
    <row r="44" spans="1:24">
      <c r="A44" s="135" t="s">
        <v>87</v>
      </c>
      <c r="B44" s="97">
        <v>0.01</v>
      </c>
      <c r="C44" s="129"/>
      <c r="E44" s="135" t="s">
        <v>102</v>
      </c>
      <c r="G44" s="439">
        <v>13.47</v>
      </c>
      <c r="H44" s="72"/>
      <c r="I44" s="72"/>
      <c r="J44" s="72"/>
      <c r="K44" s="72"/>
      <c r="L44" s="72"/>
      <c r="M44" s="72"/>
      <c r="N44" s="72"/>
      <c r="O44" s="72"/>
      <c r="P44" s="72"/>
    </row>
    <row r="45" spans="1:24">
      <c r="A45" s="135"/>
      <c r="B45" s="50"/>
      <c r="C45" s="163"/>
      <c r="E45" s="135"/>
      <c r="G45" s="160"/>
      <c r="H45" s="47"/>
      <c r="I45" s="47"/>
      <c r="J45" s="58"/>
      <c r="K45" s="47"/>
      <c r="L45" s="47"/>
      <c r="M45" s="47"/>
      <c r="N45" s="47"/>
      <c r="O45" s="47"/>
      <c r="P45" s="47"/>
    </row>
    <row r="46" spans="1:24">
      <c r="A46" s="134" t="s">
        <v>395</v>
      </c>
      <c r="B46" s="50" t="s">
        <v>400</v>
      </c>
      <c r="C46" s="129" t="s">
        <v>401</v>
      </c>
      <c r="E46" s="135" t="s">
        <v>97</v>
      </c>
      <c r="G46" s="190" t="s">
        <v>321</v>
      </c>
      <c r="H46" s="47"/>
      <c r="I46" s="47"/>
      <c r="J46" s="47"/>
      <c r="K46" s="47"/>
      <c r="L46" s="47"/>
      <c r="M46" s="47"/>
      <c r="N46" s="47"/>
      <c r="O46" s="47"/>
      <c r="P46" s="47"/>
    </row>
    <row r="47" spans="1:24">
      <c r="A47" s="131" t="s">
        <v>396</v>
      </c>
      <c r="B47" s="102">
        <v>96.7</v>
      </c>
      <c r="C47" s="152">
        <f>B47*12</f>
        <v>1160.4000000000001</v>
      </c>
      <c r="E47" s="135" t="s">
        <v>10</v>
      </c>
      <c r="G47" s="180" t="s">
        <v>322</v>
      </c>
      <c r="H47" s="47"/>
      <c r="I47" s="47"/>
      <c r="J47" s="47"/>
      <c r="K47" s="47"/>
      <c r="L47" s="47"/>
      <c r="M47" s="47"/>
      <c r="N47" s="47"/>
      <c r="O47" s="47"/>
      <c r="P47" s="57"/>
      <c r="X47" s="59"/>
    </row>
    <row r="48" spans="1:24">
      <c r="A48" s="131" t="s">
        <v>397</v>
      </c>
      <c r="B48" s="102">
        <v>51.75</v>
      </c>
      <c r="C48" s="152">
        <f>B48*12</f>
        <v>621</v>
      </c>
      <c r="E48" s="135" t="s">
        <v>306</v>
      </c>
      <c r="G48" s="181">
        <f t="shared" ref="G48" si="2">G21/50</f>
        <v>1081.0817599999998</v>
      </c>
      <c r="H48" s="71"/>
      <c r="I48" s="71"/>
      <c r="J48" s="71"/>
      <c r="K48" s="71"/>
      <c r="L48" s="71"/>
      <c r="M48" s="71"/>
      <c r="N48" s="71"/>
      <c r="O48" s="71"/>
      <c r="P48" s="71"/>
      <c r="X48" s="59"/>
    </row>
    <row r="49" spans="1:28">
      <c r="A49" s="131" t="s">
        <v>398</v>
      </c>
      <c r="B49" s="102">
        <v>168</v>
      </c>
      <c r="C49" s="152">
        <f>B49*12</f>
        <v>2016</v>
      </c>
      <c r="E49" s="135" t="s">
        <v>102</v>
      </c>
      <c r="G49" s="439">
        <v>3.21</v>
      </c>
      <c r="H49" s="72"/>
      <c r="I49" s="72"/>
      <c r="J49" s="72"/>
      <c r="K49" s="72"/>
      <c r="L49" s="72"/>
      <c r="M49" s="72"/>
      <c r="N49" s="72"/>
      <c r="O49" s="72"/>
      <c r="P49" s="72"/>
      <c r="X49" s="59"/>
      <c r="AB49" s="64"/>
    </row>
    <row r="50" spans="1:28">
      <c r="A50" s="131" t="s">
        <v>399</v>
      </c>
      <c r="B50" s="102">
        <v>25</v>
      </c>
      <c r="C50" s="152">
        <f>B50*12</f>
        <v>300</v>
      </c>
      <c r="E50" s="135"/>
      <c r="G50" s="160"/>
      <c r="H50" s="47"/>
      <c r="I50" s="47"/>
      <c r="J50" s="47"/>
      <c r="K50" s="47"/>
      <c r="L50" s="47"/>
      <c r="M50" s="47"/>
      <c r="N50" s="47"/>
      <c r="O50" s="47"/>
      <c r="P50" s="57"/>
      <c r="X50" s="59"/>
      <c r="AB50" s="64"/>
    </row>
    <row r="51" spans="1:28">
      <c r="A51" s="134" t="s">
        <v>103</v>
      </c>
      <c r="B51" s="72">
        <f>SUM(B47:B50)</f>
        <v>341.45</v>
      </c>
      <c r="C51" s="152">
        <f>SUM(C47:C50)</f>
        <v>4097.3999999999996</v>
      </c>
      <c r="E51" s="135"/>
      <c r="G51" s="160"/>
      <c r="H51" s="47"/>
      <c r="I51" s="47"/>
      <c r="J51" s="47"/>
      <c r="K51" s="47"/>
      <c r="L51" s="47"/>
      <c r="M51" s="47"/>
      <c r="N51" s="47"/>
      <c r="O51" s="47"/>
      <c r="P51" s="57"/>
      <c r="X51" s="59"/>
      <c r="AB51" s="56"/>
    </row>
    <row r="52" spans="1:28">
      <c r="A52" s="135"/>
      <c r="C52" s="160"/>
      <c r="E52" s="135" t="s">
        <v>97</v>
      </c>
      <c r="G52" s="129" t="s">
        <v>393</v>
      </c>
      <c r="H52" s="47"/>
      <c r="I52" s="47"/>
      <c r="J52" s="47"/>
      <c r="K52" s="47"/>
      <c r="L52" s="47"/>
      <c r="M52" s="47"/>
      <c r="N52" s="47"/>
      <c r="O52" s="47"/>
      <c r="P52" s="57"/>
      <c r="X52" s="59"/>
      <c r="AB52" s="64"/>
    </row>
    <row r="53" spans="1:28">
      <c r="A53" s="135"/>
      <c r="C53" s="160"/>
      <c r="E53" s="135" t="s">
        <v>10</v>
      </c>
      <c r="G53" s="184" t="s">
        <v>356</v>
      </c>
      <c r="H53" s="47"/>
      <c r="I53" s="47"/>
      <c r="J53" s="47"/>
      <c r="K53" s="47"/>
      <c r="L53" s="47"/>
      <c r="M53" s="47"/>
      <c r="N53" s="47"/>
      <c r="O53" s="47"/>
      <c r="P53" s="45"/>
      <c r="AB53" s="56"/>
    </row>
    <row r="54" spans="1:28">
      <c r="A54" s="135"/>
      <c r="C54" s="160"/>
      <c r="E54" s="135" t="s">
        <v>306</v>
      </c>
      <c r="G54" s="180">
        <f t="shared" ref="G54" si="3">G17/1</f>
        <v>10319.416800000001</v>
      </c>
      <c r="H54" s="73"/>
      <c r="I54" s="73"/>
      <c r="J54" s="73"/>
      <c r="K54" s="73"/>
      <c r="L54" s="73"/>
      <c r="M54" s="73"/>
      <c r="N54" s="73"/>
      <c r="O54" s="73"/>
      <c r="P54" s="73"/>
    </row>
    <row r="55" spans="1:28">
      <c r="A55" s="135"/>
      <c r="C55" s="160"/>
      <c r="E55" s="135" t="s">
        <v>102</v>
      </c>
      <c r="G55" s="440">
        <v>13.51</v>
      </c>
      <c r="H55" s="72"/>
      <c r="I55" s="72"/>
      <c r="J55" s="72"/>
      <c r="K55" s="72"/>
      <c r="L55" s="72"/>
      <c r="M55" s="72"/>
      <c r="N55" s="72"/>
      <c r="O55" s="72"/>
      <c r="P55" s="72"/>
    </row>
    <row r="56" spans="1:28">
      <c r="A56" s="135"/>
      <c r="B56" s="50"/>
      <c r="C56" s="160"/>
      <c r="E56" s="135"/>
      <c r="F56" s="47"/>
      <c r="G56" s="160"/>
      <c r="H56" s="61"/>
      <c r="I56" s="47"/>
      <c r="J56" s="47"/>
      <c r="K56" s="61"/>
      <c r="L56" s="47"/>
      <c r="M56" s="47"/>
      <c r="N56" s="47"/>
      <c r="O56" s="47"/>
      <c r="P56" s="47"/>
    </row>
    <row r="57" spans="1:28">
      <c r="A57" s="161" t="s">
        <v>49</v>
      </c>
      <c r="B57" s="50"/>
      <c r="C57" s="164"/>
      <c r="E57" s="135"/>
      <c r="G57" s="160"/>
      <c r="H57" s="61"/>
      <c r="I57" s="55"/>
      <c r="J57" s="55"/>
      <c r="K57" s="61"/>
      <c r="L57" s="47"/>
      <c r="M57" s="47"/>
      <c r="N57" s="47"/>
      <c r="O57" s="47"/>
      <c r="P57" s="47"/>
    </row>
    <row r="58" spans="1:28">
      <c r="A58" s="135" t="s">
        <v>89</v>
      </c>
      <c r="B58" s="97">
        <v>0.01</v>
      </c>
      <c r="C58" s="160"/>
      <c r="E58" s="135" t="s">
        <v>353</v>
      </c>
      <c r="G58" s="160"/>
      <c r="H58" s="61"/>
      <c r="I58" s="60"/>
      <c r="J58" s="60"/>
      <c r="K58" s="61"/>
      <c r="L58" s="47"/>
      <c r="M58" s="47"/>
      <c r="N58" s="47"/>
      <c r="O58" s="47"/>
      <c r="P58" s="47"/>
    </row>
    <row r="59" spans="1:28">
      <c r="A59" s="135" t="s">
        <v>126</v>
      </c>
      <c r="B59" s="103">
        <v>0.03</v>
      </c>
      <c r="C59" s="164"/>
      <c r="E59" s="135" t="s">
        <v>97</v>
      </c>
      <c r="G59" s="190" t="s">
        <v>405</v>
      </c>
      <c r="H59" s="61"/>
      <c r="I59" s="47"/>
      <c r="J59" s="47"/>
      <c r="K59" s="61"/>
      <c r="L59" s="47"/>
      <c r="M59" s="47"/>
      <c r="N59" s="47"/>
      <c r="O59" s="47"/>
      <c r="P59" s="47"/>
    </row>
    <row r="60" spans="1:28">
      <c r="A60" s="135" t="s">
        <v>104</v>
      </c>
      <c r="B60" s="97">
        <v>0.02</v>
      </c>
      <c r="C60" s="160"/>
      <c r="E60" s="135" t="s">
        <v>10</v>
      </c>
      <c r="G60" s="180" t="s">
        <v>356</v>
      </c>
      <c r="H60" s="61"/>
      <c r="I60" s="60"/>
      <c r="J60" s="60"/>
      <c r="K60" s="47"/>
      <c r="L60" s="47"/>
      <c r="M60" s="47"/>
      <c r="N60" s="47"/>
      <c r="O60" s="47"/>
      <c r="P60" s="47"/>
    </row>
    <row r="61" spans="1:28">
      <c r="A61" s="91" t="s">
        <v>105</v>
      </c>
      <c r="B61" s="104">
        <v>0.1</v>
      </c>
      <c r="C61" s="160"/>
      <c r="E61" s="135" t="s">
        <v>306</v>
      </c>
      <c r="G61" s="181">
        <f>G27/1</f>
        <v>156699.95616000003</v>
      </c>
      <c r="H61" s="71"/>
      <c r="I61" s="71"/>
      <c r="J61" s="71"/>
      <c r="K61" s="71"/>
      <c r="L61" s="71"/>
      <c r="M61" s="71"/>
      <c r="N61" s="71"/>
      <c r="O61" s="71"/>
      <c r="P61" s="71"/>
    </row>
    <row r="62" spans="1:28">
      <c r="A62" s="165"/>
      <c r="B62" s="74"/>
      <c r="C62" s="164"/>
      <c r="E62" s="135" t="s">
        <v>102</v>
      </c>
      <c r="G62" s="439">
        <v>3.3</v>
      </c>
      <c r="H62" s="72"/>
      <c r="I62" s="72"/>
      <c r="J62" s="72"/>
      <c r="K62" s="72"/>
      <c r="L62" s="72"/>
      <c r="M62" s="72"/>
      <c r="N62" s="72"/>
      <c r="O62" s="72"/>
      <c r="P62" s="72"/>
    </row>
    <row r="63" spans="1:28">
      <c r="A63" s="166" t="s">
        <v>163</v>
      </c>
      <c r="B63" s="74"/>
      <c r="C63" s="164"/>
      <c r="E63" s="135"/>
      <c r="G63" s="160"/>
      <c r="H63" s="61"/>
      <c r="I63" s="47"/>
      <c r="J63" s="47"/>
      <c r="K63" s="47"/>
      <c r="L63" s="47"/>
      <c r="M63" s="47"/>
      <c r="N63" s="47"/>
      <c r="O63" s="47"/>
      <c r="P63" s="47"/>
    </row>
    <row r="64" spans="1:28">
      <c r="A64" s="135" t="s">
        <v>164</v>
      </c>
      <c r="C64" s="160"/>
      <c r="E64" s="135" t="s">
        <v>97</v>
      </c>
      <c r="G64" s="190" t="s">
        <v>407</v>
      </c>
      <c r="H64" s="61"/>
      <c r="I64" s="47"/>
      <c r="J64" s="47"/>
      <c r="K64" s="61"/>
      <c r="L64" s="47"/>
      <c r="M64" s="47"/>
      <c r="N64" s="47"/>
      <c r="O64" s="47"/>
      <c r="P64" s="47"/>
    </row>
    <row r="65" spans="1:16">
      <c r="A65" s="135" t="s">
        <v>165</v>
      </c>
      <c r="C65" s="167">
        <v>0.05</v>
      </c>
      <c r="E65" s="135" t="s">
        <v>10</v>
      </c>
      <c r="G65" s="180" t="s">
        <v>356</v>
      </c>
      <c r="H65" s="61"/>
      <c r="I65" s="60"/>
      <c r="J65" s="60"/>
      <c r="K65" s="47"/>
      <c r="L65" s="47"/>
      <c r="M65" s="47"/>
      <c r="N65" s="47"/>
      <c r="O65" s="47"/>
      <c r="P65" s="47"/>
    </row>
    <row r="66" spans="1:16">
      <c r="A66" s="135" t="s">
        <v>166</v>
      </c>
      <c r="C66" s="168">
        <f>+(1-C65-C67-C68)</f>
        <v>0.49999999999999994</v>
      </c>
      <c r="E66" s="135" t="s">
        <v>306</v>
      </c>
      <c r="G66" s="181">
        <f>G28/1</f>
        <v>39174.989039999986</v>
      </c>
      <c r="H66" s="71"/>
      <c r="I66" s="71"/>
      <c r="J66" s="71"/>
      <c r="K66" s="71"/>
      <c r="L66" s="71"/>
      <c r="M66" s="71"/>
      <c r="N66" s="71"/>
      <c r="O66" s="71"/>
      <c r="P66" s="71"/>
    </row>
    <row r="67" spans="1:16">
      <c r="A67" s="91" t="s">
        <v>167</v>
      </c>
      <c r="B67" s="74"/>
      <c r="C67" s="167">
        <v>0</v>
      </c>
      <c r="E67" s="135" t="s">
        <v>102</v>
      </c>
      <c r="G67" s="439">
        <v>13.29</v>
      </c>
      <c r="H67" s="72"/>
      <c r="I67" s="72"/>
      <c r="J67" s="72"/>
      <c r="K67" s="72"/>
      <c r="L67" s="72"/>
      <c r="M67" s="72"/>
      <c r="N67" s="72"/>
      <c r="O67" s="72"/>
      <c r="P67" s="72"/>
    </row>
    <row r="68" spans="1:16">
      <c r="A68" s="91" t="s">
        <v>168</v>
      </c>
      <c r="B68" s="74"/>
      <c r="C68" s="167">
        <v>0.45</v>
      </c>
      <c r="E68" s="135"/>
      <c r="G68" s="160"/>
      <c r="H68" s="61"/>
      <c r="I68" s="60"/>
      <c r="J68" s="60"/>
      <c r="K68" s="47"/>
      <c r="L68" s="47"/>
      <c r="M68" s="47"/>
      <c r="N68" s="47"/>
      <c r="O68" s="47"/>
      <c r="P68" s="47"/>
    </row>
    <row r="69" spans="1:16">
      <c r="A69" s="135"/>
      <c r="C69" s="160"/>
      <c r="E69" s="135" t="s">
        <v>97</v>
      </c>
      <c r="G69" s="190" t="s">
        <v>321</v>
      </c>
      <c r="H69" s="61"/>
      <c r="I69" s="47"/>
      <c r="J69" s="47"/>
      <c r="K69" s="47"/>
      <c r="L69" s="47"/>
      <c r="M69" s="47"/>
      <c r="N69" s="47"/>
      <c r="O69" s="47"/>
      <c r="P69" s="47"/>
    </row>
    <row r="70" spans="1:16">
      <c r="A70" s="135" t="s">
        <v>229</v>
      </c>
      <c r="C70" s="167">
        <v>1</v>
      </c>
      <c r="E70" s="135" t="s">
        <v>10</v>
      </c>
      <c r="G70" s="180" t="s">
        <v>322</v>
      </c>
      <c r="H70" s="61"/>
      <c r="I70" s="47"/>
      <c r="J70" s="47"/>
      <c r="K70" s="47"/>
      <c r="L70" s="47"/>
      <c r="M70" s="47"/>
      <c r="N70" s="47"/>
      <c r="O70" s="47"/>
      <c r="P70" s="47"/>
    </row>
    <row r="71" spans="1:16">
      <c r="A71" s="135"/>
      <c r="C71" s="160"/>
      <c r="E71" s="135" t="s">
        <v>306</v>
      </c>
      <c r="G71" s="181">
        <f t="shared" ref="G71" si="4">G29/50</f>
        <v>5865.7737600000019</v>
      </c>
      <c r="H71" s="71"/>
      <c r="I71" s="71"/>
      <c r="J71" s="71"/>
      <c r="K71" s="71"/>
      <c r="L71" s="71"/>
      <c r="M71" s="71"/>
      <c r="N71" s="71"/>
      <c r="O71" s="71"/>
      <c r="P71" s="71"/>
    </row>
    <row r="72" spans="1:16">
      <c r="A72" s="135"/>
      <c r="C72" s="160"/>
      <c r="E72" s="135" t="s">
        <v>102</v>
      </c>
      <c r="G72" s="182">
        <v>3.21</v>
      </c>
      <c r="H72" s="72"/>
      <c r="I72" s="72"/>
      <c r="J72" s="72"/>
      <c r="K72" s="72"/>
      <c r="L72" s="72"/>
      <c r="M72" s="72"/>
      <c r="N72" s="72"/>
      <c r="O72" s="72"/>
      <c r="P72" s="72"/>
    </row>
    <row r="73" spans="1:16">
      <c r="A73" s="135"/>
      <c r="C73" s="160"/>
      <c r="E73" s="135"/>
      <c r="G73" s="160"/>
      <c r="H73" s="47"/>
      <c r="I73" s="47"/>
      <c r="J73" s="47"/>
      <c r="K73" s="47"/>
      <c r="L73" s="47"/>
      <c r="M73" s="47"/>
      <c r="N73" s="47"/>
      <c r="O73" s="47"/>
      <c r="P73" s="47"/>
    </row>
    <row r="74" spans="1:16">
      <c r="A74" s="135"/>
      <c r="C74" s="160"/>
      <c r="D74" s="45"/>
      <c r="E74" s="135"/>
      <c r="G74" s="160"/>
      <c r="H74" s="47"/>
      <c r="I74" s="47"/>
      <c r="J74" s="47"/>
      <c r="K74" s="47"/>
      <c r="L74" s="47"/>
      <c r="M74" s="47"/>
      <c r="N74" s="47"/>
      <c r="O74" s="47"/>
      <c r="P74" s="47"/>
    </row>
    <row r="75" spans="1:16">
      <c r="A75" s="135"/>
      <c r="C75" s="160"/>
      <c r="D75" s="67"/>
      <c r="E75" s="135" t="s">
        <v>97</v>
      </c>
      <c r="G75" s="129" t="s">
        <v>393</v>
      </c>
      <c r="H75" s="47"/>
      <c r="I75" s="47"/>
      <c r="J75" s="47"/>
      <c r="K75" s="47"/>
      <c r="L75" s="47"/>
      <c r="M75" s="47"/>
      <c r="N75" s="47"/>
      <c r="O75" s="47"/>
      <c r="P75" s="47"/>
    </row>
    <row r="76" spans="1:16">
      <c r="A76" s="161" t="s">
        <v>382</v>
      </c>
      <c r="C76" s="160"/>
      <c r="D76" s="44"/>
      <c r="E76" s="135" t="s">
        <v>10</v>
      </c>
      <c r="G76" s="184" t="s">
        <v>356</v>
      </c>
      <c r="H76" s="47"/>
      <c r="I76" s="47"/>
      <c r="J76" s="47"/>
      <c r="K76" s="47"/>
      <c r="L76" s="47"/>
      <c r="M76" s="47"/>
      <c r="N76" s="47"/>
      <c r="O76" s="47"/>
      <c r="P76" s="47"/>
    </row>
    <row r="77" spans="1:16" ht="14.4" thickBot="1">
      <c r="A77" s="169" t="s">
        <v>383</v>
      </c>
      <c r="B77" s="170"/>
      <c r="C77" s="171"/>
      <c r="E77" s="135" t="s">
        <v>306</v>
      </c>
      <c r="G77" s="132">
        <f t="shared" ref="G77" si="5">G25/1</f>
        <v>34566.166799999999</v>
      </c>
      <c r="H77" s="73"/>
      <c r="I77" s="73"/>
      <c r="J77" s="73"/>
      <c r="K77" s="73"/>
      <c r="L77" s="73"/>
      <c r="M77" s="73"/>
      <c r="N77" s="73"/>
      <c r="O77" s="73"/>
      <c r="P77" s="73"/>
    </row>
    <row r="78" spans="1:16">
      <c r="D78" s="56"/>
      <c r="E78" s="193" t="s">
        <v>102</v>
      </c>
      <c r="F78" s="188"/>
      <c r="G78" s="441">
        <v>13.51</v>
      </c>
      <c r="H78" s="72"/>
      <c r="I78" s="72"/>
      <c r="J78" s="72"/>
      <c r="K78" s="72"/>
      <c r="L78" s="72"/>
      <c r="M78" s="72"/>
      <c r="N78" s="72"/>
      <c r="O78" s="72"/>
      <c r="P78" s="72"/>
    </row>
    <row r="79" spans="1:16">
      <c r="D79" s="56"/>
      <c r="E79" s="194"/>
      <c r="F79" s="195"/>
      <c r="G79" s="196"/>
      <c r="H79" s="47"/>
      <c r="I79" s="47"/>
      <c r="J79" s="47"/>
      <c r="K79" s="47"/>
      <c r="L79" s="47"/>
      <c r="M79" s="47"/>
      <c r="N79" s="47"/>
      <c r="O79" s="47"/>
      <c r="P79" s="47"/>
    </row>
    <row r="80" spans="1:16">
      <c r="E80" s="436" t="s">
        <v>439</v>
      </c>
      <c r="F80" s="188"/>
      <c r="G80" s="438">
        <v>0.01</v>
      </c>
      <c r="H80" s="47"/>
      <c r="I80" s="47"/>
      <c r="J80" s="47"/>
      <c r="K80" s="47"/>
      <c r="L80" s="47"/>
      <c r="M80" s="47"/>
      <c r="N80" s="47"/>
      <c r="O80" s="47"/>
      <c r="P80" s="47"/>
    </row>
    <row r="81" spans="4:28">
      <c r="E81" s="135"/>
      <c r="G81" s="160"/>
      <c r="H81" s="47"/>
      <c r="I81" s="47"/>
      <c r="J81" s="47"/>
      <c r="K81" s="47"/>
      <c r="L81" s="47"/>
      <c r="M81" s="47"/>
      <c r="N81" s="47"/>
      <c r="O81" s="47"/>
      <c r="P81" s="47"/>
    </row>
    <row r="82" spans="4:28">
      <c r="E82" s="135"/>
      <c r="G82" s="191"/>
      <c r="H82" s="45"/>
      <c r="I82" s="45"/>
      <c r="J82" s="45"/>
      <c r="K82" s="45"/>
      <c r="L82" s="45"/>
      <c r="M82" s="45"/>
      <c r="N82" s="45"/>
      <c r="O82" s="45"/>
      <c r="P82" s="45"/>
    </row>
    <row r="83" spans="4:28">
      <c r="D83" s="56"/>
      <c r="E83" s="134" t="s">
        <v>464</v>
      </c>
      <c r="F83" s="77"/>
      <c r="G83" s="160"/>
      <c r="H83" s="47"/>
      <c r="I83" s="47"/>
      <c r="J83" s="47"/>
      <c r="K83" s="47"/>
      <c r="L83" s="47"/>
      <c r="M83" s="47"/>
      <c r="N83" s="47"/>
      <c r="O83" s="47"/>
      <c r="P83" s="47"/>
    </row>
    <row r="84" spans="4:28">
      <c r="D84" s="56"/>
      <c r="E84" s="131" t="s">
        <v>323</v>
      </c>
      <c r="F84" s="50"/>
      <c r="G84" s="173">
        <v>1500</v>
      </c>
      <c r="H84" s="50"/>
      <c r="I84" s="50"/>
      <c r="J84" s="50"/>
      <c r="K84" s="50"/>
      <c r="L84" s="50"/>
      <c r="M84" s="50"/>
      <c r="N84" s="50"/>
      <c r="O84" s="50"/>
      <c r="P84" s="50"/>
    </row>
    <row r="85" spans="4:28">
      <c r="E85" s="131" t="s">
        <v>309</v>
      </c>
      <c r="F85" s="50"/>
      <c r="G85" s="178">
        <v>12</v>
      </c>
      <c r="H85" s="50"/>
      <c r="I85" s="50"/>
      <c r="J85" s="50"/>
      <c r="K85" s="50"/>
      <c r="L85" s="50"/>
      <c r="M85" s="50"/>
      <c r="N85" s="50"/>
      <c r="O85" s="50"/>
      <c r="P85" s="50"/>
    </row>
    <row r="86" spans="4:28">
      <c r="E86" s="131" t="s">
        <v>312</v>
      </c>
      <c r="F86" s="50"/>
      <c r="G86" s="178">
        <v>75</v>
      </c>
      <c r="H86" s="50"/>
      <c r="I86" s="50"/>
      <c r="J86" s="50"/>
      <c r="K86" s="50"/>
      <c r="L86" s="50"/>
      <c r="M86" s="50"/>
      <c r="N86" s="50"/>
      <c r="O86" s="50"/>
      <c r="P86" s="50"/>
    </row>
    <row r="87" spans="4:28">
      <c r="E87" s="131" t="s">
        <v>311</v>
      </c>
      <c r="F87" s="78"/>
      <c r="G87" s="167">
        <v>0.1</v>
      </c>
      <c r="H87" s="78"/>
      <c r="I87" s="78"/>
      <c r="J87" s="78"/>
      <c r="K87" s="78"/>
      <c r="L87" s="78"/>
      <c r="M87" s="78"/>
      <c r="N87" s="78"/>
      <c r="O87" s="78"/>
      <c r="P87" s="78"/>
      <c r="X87" s="59"/>
      <c r="AB87" s="64"/>
    </row>
    <row r="88" spans="4:28">
      <c r="D88" s="56"/>
      <c r="E88" s="131" t="s">
        <v>310</v>
      </c>
      <c r="G88" s="342">
        <f>(G84*G85*G86)*(1-G87)</f>
        <v>1215000</v>
      </c>
      <c r="H88" s="47"/>
      <c r="I88" s="47"/>
      <c r="J88" s="47"/>
      <c r="K88" s="47"/>
      <c r="L88" s="47"/>
      <c r="M88" s="47"/>
      <c r="N88" s="47"/>
      <c r="O88" s="47"/>
      <c r="P88" s="47"/>
      <c r="X88" s="59"/>
      <c r="AB88" s="70"/>
    </row>
    <row r="89" spans="4:28">
      <c r="D89" s="56"/>
      <c r="E89" s="135"/>
      <c r="F89" s="58"/>
      <c r="G89" s="162" t="str">
        <f>IF(G88&lt;G5,"insufficient capacity","")</f>
        <v/>
      </c>
      <c r="H89" s="79"/>
      <c r="I89" s="79"/>
      <c r="J89" s="79"/>
      <c r="K89" s="79"/>
      <c r="L89" s="79"/>
      <c r="M89" s="79"/>
      <c r="N89" s="79"/>
      <c r="O89" s="79"/>
      <c r="P89" s="79"/>
      <c r="X89" s="59"/>
      <c r="AB89" s="56"/>
    </row>
    <row r="90" spans="4:28">
      <c r="E90" s="134" t="s">
        <v>465</v>
      </c>
      <c r="F90" s="47"/>
      <c r="G90" s="129"/>
      <c r="H90" s="47"/>
      <c r="I90" s="47"/>
      <c r="J90" s="47"/>
      <c r="K90" s="47"/>
      <c r="L90" s="47"/>
      <c r="M90" s="47"/>
      <c r="N90" s="47"/>
      <c r="O90" s="47"/>
      <c r="P90" s="57"/>
      <c r="X90" s="59"/>
      <c r="AB90" s="60"/>
    </row>
    <row r="91" spans="4:28">
      <c r="D91" s="64"/>
      <c r="E91" s="131" t="s">
        <v>324</v>
      </c>
      <c r="F91" s="47" t="s">
        <v>313</v>
      </c>
      <c r="G91" s="178">
        <v>1</v>
      </c>
      <c r="H91" s="50"/>
      <c r="I91" s="50"/>
      <c r="J91" s="50"/>
      <c r="K91" s="50"/>
      <c r="L91" s="50"/>
      <c r="M91" s="50"/>
      <c r="N91" s="50"/>
      <c r="O91" s="50"/>
      <c r="P91" s="50"/>
      <c r="X91" s="59"/>
      <c r="AB91" s="80"/>
    </row>
    <row r="92" spans="4:28">
      <c r="D92" s="75"/>
      <c r="E92" s="131" t="s">
        <v>316</v>
      </c>
      <c r="G92" s="160">
        <f>G91*G84</f>
        <v>1500</v>
      </c>
      <c r="H92" s="47"/>
      <c r="I92" s="47"/>
      <c r="J92" s="47"/>
      <c r="K92" s="47"/>
      <c r="L92" s="47"/>
      <c r="M92" s="47"/>
      <c r="N92" s="47"/>
      <c r="O92" s="47"/>
      <c r="P92" s="47"/>
      <c r="AB92" s="60"/>
    </row>
    <row r="93" spans="4:28">
      <c r="D93" s="81"/>
      <c r="E93" s="131" t="s">
        <v>314</v>
      </c>
      <c r="F93" s="47" t="s">
        <v>307</v>
      </c>
      <c r="G93" s="178">
        <v>0.8</v>
      </c>
      <c r="H93" s="50"/>
      <c r="I93" s="50"/>
      <c r="J93" s="50"/>
      <c r="K93" s="50"/>
      <c r="L93" s="50"/>
      <c r="M93" s="50"/>
      <c r="N93" s="50"/>
      <c r="O93" s="50"/>
      <c r="P93" s="50"/>
      <c r="AB93" s="60"/>
    </row>
    <row r="94" spans="4:28">
      <c r="D94" s="82" t="str">
        <f>IF((C65+C67+C68)&gt;1,"ERROR Uhallocated +qualified+non-qualified percentages must total 100% or lower)","")</f>
        <v/>
      </c>
      <c r="E94" s="131" t="s">
        <v>315</v>
      </c>
      <c r="F94" s="83"/>
      <c r="G94" s="129">
        <f>G85*G86*(1-G87)</f>
        <v>810</v>
      </c>
      <c r="H94" s="47"/>
      <c r="I94" s="47"/>
      <c r="J94" s="47"/>
      <c r="K94" s="47"/>
      <c r="L94" s="47"/>
      <c r="M94" s="47"/>
      <c r="N94" s="47"/>
      <c r="O94" s="47"/>
      <c r="P94" s="47"/>
      <c r="X94" s="84"/>
      <c r="AB94" s="60"/>
    </row>
    <row r="95" spans="4:28">
      <c r="D95" s="81"/>
      <c r="E95" s="131" t="s">
        <v>394</v>
      </c>
      <c r="F95" s="53"/>
      <c r="G95" s="439">
        <v>8.3199999999999996E-2</v>
      </c>
      <c r="H95" s="47"/>
      <c r="I95" s="47"/>
      <c r="J95" s="47"/>
      <c r="K95" s="47"/>
      <c r="L95" s="47"/>
      <c r="M95" s="47"/>
      <c r="N95" s="47"/>
      <c r="O95" s="47"/>
      <c r="P95" s="47"/>
      <c r="X95" s="84"/>
      <c r="AB95" s="60"/>
    </row>
    <row r="96" spans="4:28">
      <c r="D96" s="75"/>
      <c r="E96" s="131" t="s">
        <v>317</v>
      </c>
      <c r="G96" s="442">
        <f>G92*G93*G95</f>
        <v>99.839999999999989</v>
      </c>
      <c r="H96" s="47"/>
      <c r="I96" s="47"/>
      <c r="J96" s="47"/>
      <c r="K96" s="47"/>
      <c r="L96" s="47"/>
      <c r="M96" s="47"/>
      <c r="N96" s="47"/>
      <c r="O96" s="47"/>
      <c r="P96" s="47"/>
      <c r="X96" s="84"/>
      <c r="AB96" s="56"/>
    </row>
    <row r="97" spans="1:28">
      <c r="C97" s="56"/>
      <c r="D97" s="78"/>
      <c r="E97" s="131" t="s">
        <v>318</v>
      </c>
      <c r="G97" s="443">
        <f>G96*G94</f>
        <v>80870.399999999994</v>
      </c>
      <c r="H97" s="85"/>
      <c r="I97" s="85"/>
      <c r="J97" s="85"/>
      <c r="K97" s="85"/>
      <c r="L97" s="85"/>
      <c r="M97" s="85"/>
      <c r="N97" s="85"/>
      <c r="O97" s="85"/>
      <c r="P97" s="85"/>
      <c r="X97" s="84"/>
    </row>
    <row r="98" spans="1:28">
      <c r="A98" s="48"/>
      <c r="E98" s="131" t="s">
        <v>325</v>
      </c>
      <c r="G98" s="442">
        <f t="shared" ref="G98" si="6">G97/G13</f>
        <v>0.27025514713370014</v>
      </c>
      <c r="H98" s="62"/>
      <c r="I98" s="62"/>
      <c r="J98" s="62"/>
      <c r="K98" s="62"/>
      <c r="L98" s="62"/>
      <c r="M98" s="62"/>
      <c r="N98" s="62"/>
      <c r="O98" s="62"/>
      <c r="P98" s="62"/>
    </row>
    <row r="99" spans="1:28">
      <c r="E99" s="135"/>
      <c r="G99" s="160"/>
      <c r="H99" s="47"/>
      <c r="I99" s="47"/>
      <c r="J99" s="47"/>
      <c r="K99" s="47"/>
      <c r="L99" s="47"/>
      <c r="M99" s="47"/>
      <c r="N99" s="47"/>
      <c r="O99" s="47"/>
      <c r="P99" s="45"/>
      <c r="AB99" s="64"/>
    </row>
    <row r="100" spans="1:28">
      <c r="E100" s="135"/>
      <c r="G100" s="160"/>
      <c r="H100" s="47"/>
      <c r="I100" s="47"/>
      <c r="J100" s="47"/>
      <c r="K100" s="47"/>
      <c r="L100" s="47"/>
      <c r="M100" s="47"/>
      <c r="N100" s="47"/>
      <c r="O100" s="47"/>
      <c r="P100" s="47"/>
      <c r="X100" s="84"/>
      <c r="AB100" s="64"/>
    </row>
    <row r="101" spans="1:28">
      <c r="E101" s="134" t="s">
        <v>466</v>
      </c>
      <c r="F101" s="47"/>
      <c r="G101" s="192"/>
      <c r="H101" s="45"/>
      <c r="I101" s="45"/>
      <c r="J101" s="45"/>
      <c r="K101" s="45"/>
      <c r="L101" s="45"/>
      <c r="M101" s="45"/>
      <c r="N101" s="45"/>
      <c r="O101" s="45"/>
      <c r="P101" s="45"/>
      <c r="X101" s="59"/>
      <c r="AB101" s="64"/>
    </row>
    <row r="102" spans="1:28">
      <c r="E102" s="131" t="s">
        <v>434</v>
      </c>
      <c r="F102" s="47"/>
      <c r="G102" s="129"/>
      <c r="H102" s="47"/>
      <c r="I102" s="47"/>
      <c r="J102" s="47"/>
      <c r="K102" s="47"/>
      <c r="L102" s="47"/>
      <c r="M102" s="47"/>
      <c r="N102" s="47"/>
      <c r="O102" s="47"/>
      <c r="P102" s="57"/>
      <c r="X102" s="84"/>
      <c r="AB102" s="64"/>
    </row>
    <row r="103" spans="1:28">
      <c r="E103" s="131" t="s">
        <v>388</v>
      </c>
      <c r="F103" s="47"/>
      <c r="G103" s="444">
        <v>2.29</v>
      </c>
      <c r="H103" s="86"/>
      <c r="I103" s="86"/>
      <c r="J103" s="86"/>
      <c r="K103" s="86"/>
      <c r="L103" s="86"/>
      <c r="M103" s="86"/>
      <c r="N103" s="86"/>
      <c r="O103" s="86"/>
      <c r="P103" s="86"/>
      <c r="AA103" s="46"/>
      <c r="AB103" s="87"/>
    </row>
    <row r="104" spans="1:28">
      <c r="E104" s="131" t="s">
        <v>327</v>
      </c>
      <c r="F104" s="47"/>
      <c r="G104" s="185">
        <f t="shared" ref="G104" si="7">G7</f>
        <v>122850.2</v>
      </c>
      <c r="H104" s="88"/>
      <c r="I104" s="88"/>
      <c r="J104" s="88"/>
      <c r="K104" s="88"/>
      <c r="L104" s="88"/>
      <c r="M104" s="88"/>
      <c r="N104" s="88"/>
      <c r="O104" s="88"/>
      <c r="P104" s="88"/>
      <c r="X104" s="84"/>
    </row>
    <row r="105" spans="1:28">
      <c r="E105" s="131" t="s">
        <v>354</v>
      </c>
      <c r="F105" s="47"/>
      <c r="G105" s="129">
        <f>G103*G104</f>
        <v>281326.95799999998</v>
      </c>
      <c r="H105" s="47"/>
      <c r="I105" s="47"/>
      <c r="J105" s="47"/>
      <c r="K105" s="47"/>
      <c r="L105" s="47"/>
      <c r="M105" s="47"/>
      <c r="N105" s="47"/>
      <c r="O105" s="47"/>
      <c r="P105" s="47"/>
      <c r="X105" s="59"/>
      <c r="AA105" s="59"/>
    </row>
    <row r="106" spans="1:28">
      <c r="E106" s="131" t="s">
        <v>353</v>
      </c>
      <c r="F106" s="47"/>
      <c r="G106" s="129"/>
      <c r="H106" s="47"/>
      <c r="I106" s="47"/>
      <c r="J106" s="47"/>
      <c r="K106" s="47"/>
      <c r="L106" s="47"/>
      <c r="M106" s="47"/>
      <c r="N106" s="47"/>
      <c r="O106" s="47"/>
      <c r="P106" s="57"/>
      <c r="X106" s="84"/>
      <c r="AA106" s="59"/>
    </row>
    <row r="107" spans="1:28">
      <c r="E107" s="131" t="s">
        <v>389</v>
      </c>
      <c r="F107" s="47"/>
      <c r="G107" s="444">
        <v>1.45</v>
      </c>
      <c r="H107" s="86"/>
      <c r="I107" s="86"/>
      <c r="J107" s="86"/>
      <c r="K107" s="86"/>
      <c r="L107" s="86"/>
      <c r="M107" s="86"/>
      <c r="N107" s="86"/>
      <c r="O107" s="86"/>
      <c r="P107" s="86"/>
      <c r="X107" s="84"/>
    </row>
    <row r="108" spans="1:28">
      <c r="E108" s="131" t="s">
        <v>327</v>
      </c>
      <c r="F108" s="47"/>
      <c r="G108" s="185">
        <f t="shared" ref="G108" si="8">G6</f>
        <v>523729.80000000005</v>
      </c>
      <c r="H108" s="88"/>
      <c r="I108" s="88"/>
      <c r="J108" s="88"/>
      <c r="K108" s="88"/>
      <c r="L108" s="88"/>
      <c r="M108" s="88"/>
      <c r="N108" s="88"/>
      <c r="O108" s="88"/>
      <c r="P108" s="88"/>
    </row>
    <row r="109" spans="1:28">
      <c r="E109" s="131" t="s">
        <v>355</v>
      </c>
      <c r="F109" s="47"/>
      <c r="G109" s="129">
        <f>G107*G108</f>
        <v>759408.21000000008</v>
      </c>
      <c r="H109" s="47"/>
      <c r="I109" s="47"/>
      <c r="J109" s="47"/>
      <c r="K109" s="47"/>
      <c r="L109" s="47"/>
      <c r="M109" s="47"/>
      <c r="N109" s="47"/>
      <c r="O109" s="47"/>
      <c r="P109" s="47"/>
      <c r="X109" s="84"/>
    </row>
    <row r="110" spans="1:28">
      <c r="E110" s="131"/>
      <c r="F110" s="47"/>
      <c r="G110" s="129"/>
      <c r="H110" s="47"/>
      <c r="I110" s="47"/>
      <c r="J110" s="47"/>
      <c r="K110" s="47"/>
      <c r="L110" s="47"/>
      <c r="M110" s="47"/>
      <c r="N110" s="47"/>
      <c r="O110" s="47"/>
      <c r="P110" s="57"/>
      <c r="X110" s="84"/>
    </row>
    <row r="111" spans="1:28">
      <c r="E111" s="131" t="s">
        <v>328</v>
      </c>
      <c r="F111" s="47"/>
      <c r="G111" s="445">
        <f>G105+G109</f>
        <v>1040735.1680000001</v>
      </c>
      <c r="H111" s="89"/>
      <c r="I111" s="89"/>
      <c r="J111" s="89"/>
      <c r="K111" s="89"/>
      <c r="L111" s="89"/>
      <c r="M111" s="89"/>
      <c r="N111" s="89"/>
      <c r="O111" s="89"/>
      <c r="P111" s="89"/>
      <c r="X111" s="84"/>
    </row>
    <row r="112" spans="1:28" s="47" customFormat="1">
      <c r="E112" s="131"/>
      <c r="G112" s="186"/>
      <c r="H112" s="89"/>
      <c r="I112" s="89"/>
      <c r="J112" s="89"/>
      <c r="K112" s="89"/>
      <c r="L112" s="89"/>
      <c r="M112" s="89"/>
      <c r="N112" s="89"/>
      <c r="O112" s="89"/>
      <c r="P112" s="89"/>
      <c r="X112" s="80"/>
    </row>
    <row r="113" spans="5:24" s="47" customFormat="1">
      <c r="E113" s="131"/>
      <c r="G113" s="186"/>
      <c r="H113" s="89"/>
      <c r="I113" s="89"/>
      <c r="J113" s="89"/>
      <c r="K113" s="89"/>
      <c r="L113" s="89"/>
      <c r="M113" s="89"/>
      <c r="N113" s="89"/>
      <c r="O113" s="89"/>
      <c r="P113" s="89"/>
      <c r="X113" s="80"/>
    </row>
    <row r="114" spans="5:24">
      <c r="E114" s="131"/>
      <c r="F114" s="47"/>
      <c r="G114" s="129"/>
      <c r="H114" s="47"/>
      <c r="I114" s="47"/>
      <c r="J114" s="47"/>
      <c r="K114" s="47"/>
      <c r="L114" s="47"/>
      <c r="M114" s="47"/>
      <c r="N114" s="47"/>
      <c r="O114" s="47"/>
      <c r="P114" s="57"/>
      <c r="X114" s="84"/>
    </row>
    <row r="115" spans="5:24">
      <c r="E115" s="134" t="s">
        <v>98</v>
      </c>
      <c r="F115" s="57"/>
      <c r="G115" s="192"/>
      <c r="H115" s="45"/>
      <c r="I115" s="45"/>
      <c r="J115" s="45"/>
      <c r="K115" s="45"/>
      <c r="L115" s="45"/>
      <c r="M115" s="45"/>
      <c r="N115" s="45"/>
      <c r="O115" s="45"/>
      <c r="P115" s="45"/>
      <c r="X115" s="84"/>
    </row>
    <row r="116" spans="5:24">
      <c r="E116" s="131" t="s">
        <v>99</v>
      </c>
      <c r="F116" s="57" t="s">
        <v>100</v>
      </c>
      <c r="G116" s="129" t="s">
        <v>101</v>
      </c>
      <c r="H116" s="47"/>
      <c r="I116" s="47"/>
      <c r="J116" s="47"/>
      <c r="K116" s="47"/>
      <c r="L116" s="47"/>
      <c r="M116" s="47"/>
      <c r="N116" s="47"/>
      <c r="O116" s="47"/>
      <c r="P116" s="47"/>
    </row>
    <row r="117" spans="5:24" ht="11.25" customHeight="1">
      <c r="E117" s="131" t="s">
        <v>390</v>
      </c>
      <c r="F117" s="47" t="s">
        <v>356</v>
      </c>
      <c r="G117" s="439">
        <v>0.35345714285714286</v>
      </c>
      <c r="H117" s="90"/>
      <c r="I117" s="90"/>
      <c r="J117" s="90"/>
      <c r="K117" s="90"/>
      <c r="L117" s="90"/>
      <c r="M117" s="90"/>
      <c r="N117" s="90"/>
      <c r="O117" s="90"/>
      <c r="P117" s="90"/>
    </row>
    <row r="118" spans="5:24">
      <c r="E118" s="91" t="s">
        <v>391</v>
      </c>
      <c r="F118" s="47" t="s">
        <v>322</v>
      </c>
      <c r="G118" s="444">
        <v>0.70500000000000007</v>
      </c>
      <c r="H118" s="92"/>
      <c r="I118" s="92"/>
      <c r="J118" s="92"/>
      <c r="K118" s="92"/>
      <c r="L118" s="92"/>
      <c r="M118" s="92"/>
      <c r="N118" s="92"/>
      <c r="O118" s="92"/>
      <c r="P118" s="92"/>
    </row>
    <row r="119" spans="5:24">
      <c r="E119" s="131" t="s">
        <v>438</v>
      </c>
      <c r="F119" s="73" t="str">
        <f>G37</f>
        <v>1 lb Bag</v>
      </c>
      <c r="G119" s="439">
        <v>0.35345714285714286</v>
      </c>
      <c r="H119" s="90"/>
      <c r="I119" s="90"/>
      <c r="J119" s="90"/>
      <c r="K119" s="90"/>
      <c r="L119" s="90"/>
      <c r="M119" s="90"/>
      <c r="N119" s="90"/>
      <c r="O119" s="90"/>
      <c r="P119" s="90"/>
      <c r="X119" s="84"/>
    </row>
    <row r="120" spans="5:24">
      <c r="E120" s="131" t="s">
        <v>435</v>
      </c>
      <c r="F120" s="73" t="str">
        <f>F119</f>
        <v>1 lb Bag</v>
      </c>
      <c r="G120" s="439">
        <v>1.03</v>
      </c>
      <c r="H120" s="90"/>
      <c r="I120" s="90"/>
      <c r="J120" s="90"/>
      <c r="K120" s="90"/>
      <c r="L120" s="90"/>
      <c r="M120" s="90"/>
      <c r="N120" s="90"/>
      <c r="O120" s="90"/>
      <c r="P120" s="90"/>
      <c r="X120" s="84"/>
    </row>
    <row r="121" spans="5:24">
      <c r="E121" s="131" t="s">
        <v>436</v>
      </c>
      <c r="F121" s="73" t="str">
        <f>G60</f>
        <v>1 lb Bag</v>
      </c>
      <c r="G121" s="439">
        <v>0.35345714285714286</v>
      </c>
      <c r="H121" s="90"/>
      <c r="I121" s="90"/>
      <c r="J121" s="90"/>
      <c r="K121" s="90"/>
      <c r="L121" s="90"/>
      <c r="M121" s="90"/>
      <c r="N121" s="90"/>
      <c r="O121" s="90"/>
      <c r="P121" s="90"/>
      <c r="X121" s="84"/>
    </row>
    <row r="122" spans="5:24">
      <c r="E122" s="131" t="s">
        <v>437</v>
      </c>
      <c r="F122" s="73" t="str">
        <f>F121</f>
        <v>1 lb Bag</v>
      </c>
      <c r="G122" s="439">
        <v>1.02</v>
      </c>
      <c r="H122" s="90"/>
      <c r="I122" s="90"/>
      <c r="J122" s="90"/>
      <c r="K122" s="90"/>
      <c r="L122" s="90"/>
      <c r="M122" s="90"/>
      <c r="N122" s="90"/>
      <c r="O122" s="90"/>
      <c r="P122" s="90"/>
      <c r="X122" s="84"/>
    </row>
    <row r="123" spans="5:24">
      <c r="E123" s="131" t="str">
        <f>G46</f>
        <v>Cracked Shells</v>
      </c>
      <c r="F123" s="73" t="str">
        <f>G47</f>
        <v>50 lb Bag</v>
      </c>
      <c r="G123" s="439">
        <v>0.70500000000000007</v>
      </c>
      <c r="H123" s="90"/>
      <c r="I123" s="90"/>
      <c r="J123" s="90"/>
      <c r="K123" s="90"/>
      <c r="L123" s="90"/>
      <c r="M123" s="90"/>
      <c r="N123" s="90"/>
      <c r="O123" s="90"/>
      <c r="P123" s="90"/>
    </row>
    <row r="124" spans="5:24">
      <c r="E124" s="131" t="str">
        <f>G52</f>
        <v>Pecan Meal</v>
      </c>
      <c r="F124" s="93" t="str">
        <f>G53</f>
        <v>1 lb Bag</v>
      </c>
      <c r="G124" s="439">
        <v>1.0289571428571429</v>
      </c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5:24">
      <c r="E125" s="131" t="str">
        <f>E103</f>
        <v>cost $/lb (In-shell Improved)</v>
      </c>
      <c r="F125" s="73" t="s">
        <v>357</v>
      </c>
      <c r="G125" s="446">
        <f>G103</f>
        <v>2.29</v>
      </c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5:24" ht="14.4" thickBot="1">
      <c r="E126" s="144" t="str">
        <f>E107</f>
        <v>cost $/lb (In-shell Native)</v>
      </c>
      <c r="F126" s="146" t="s">
        <v>357</v>
      </c>
      <c r="G126" s="447">
        <f>G107</f>
        <v>1.45</v>
      </c>
      <c r="H126" s="62"/>
      <c r="I126" s="62"/>
      <c r="J126" s="62"/>
      <c r="K126" s="62"/>
      <c r="L126" s="62"/>
      <c r="M126" s="62"/>
      <c r="N126" s="62"/>
      <c r="O126" s="62"/>
      <c r="P126" s="62"/>
    </row>
    <row r="127" spans="5:24"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57"/>
    </row>
  </sheetData>
  <sheetProtection algorithmName="SHA-512" hashValue="xg/8ZnKFyASfyrrvOBQgdBb0ImmjEdpRiBvmD0AYOwv5wb6t+lL9p79+W4VqJDZZSY6Z4yek0OeSm2w8nXjKrw==" saltValue="rJEbnNOkCPxQ9KbtXtmvpg==" spinCount="100000" sheet="1" formatColumns="0"/>
  <mergeCells count="6">
    <mergeCell ref="A5:C5"/>
    <mergeCell ref="A6:C6"/>
    <mergeCell ref="A7:C7"/>
    <mergeCell ref="A2:C2"/>
    <mergeCell ref="A3:C3"/>
    <mergeCell ref="A4:C4"/>
  </mergeCells>
  <phoneticPr fontId="0" type="noConversion"/>
  <hyperlinks>
    <hyperlink ref="A2:C2" location="'Personnel Expenses'!A1" display="FORWARD TO PERSONNEL EXPENSE" xr:uid="{00000000-0004-0000-0100-000000000000}"/>
    <hyperlink ref="A3:C3" location="Depreciation!A1" display="FORWARD TO DEPRECIATION" xr:uid="{00000000-0004-0000-0100-000001000000}"/>
    <hyperlink ref="A4:C4" location="'Expense Projection'!A1" display="FORWARD TO EXPENSE PROJECTION" xr:uid="{00000000-0004-0000-0100-000002000000}"/>
    <hyperlink ref="A5:C5" location="'Operations Summary'!A1" display="FORWARD TO OPERATIONS SUMMARY" xr:uid="{00000000-0004-0000-0100-000003000000}"/>
    <hyperlink ref="A6:C6" location="'Return On Investment'!A1" display="FORWARD TO RETURN ON INVESTMENT" xr:uid="{00000000-0004-0000-0100-000004000000}"/>
    <hyperlink ref="A7:C7" location="Introduction!A1" display="BACK TO INTRODUCTION" xr:uid="{00000000-0004-0000-0100-000005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36"/>
  <sheetViews>
    <sheetView showGridLines="0" zoomScaleNormal="100" workbookViewId="0">
      <selection sqref="A1:C1"/>
    </sheetView>
  </sheetViews>
  <sheetFormatPr defaultColWidth="8.88671875" defaultRowHeight="13.8"/>
  <cols>
    <col min="1" max="1" width="43.109375" style="31" customWidth="1"/>
    <col min="2" max="2" width="18.88671875" style="31" customWidth="1"/>
    <col min="3" max="3" width="13.44140625" style="31" customWidth="1"/>
    <col min="4" max="4" width="13.88671875" style="31" customWidth="1"/>
    <col min="5" max="5" width="12" style="31" customWidth="1"/>
    <col min="6" max="6" width="12.109375" style="31" customWidth="1"/>
    <col min="7" max="8" width="12.33203125" style="31" customWidth="1"/>
    <col min="9" max="9" width="12" style="31" customWidth="1"/>
    <col min="10" max="10" width="12.6640625" style="31" customWidth="1"/>
    <col min="11" max="11" width="12.33203125" style="31" customWidth="1"/>
    <col min="12" max="12" width="13.44140625" style="31" customWidth="1"/>
    <col min="13" max="13" width="11.88671875" style="94" bestFit="1" customWidth="1"/>
    <col min="14" max="14" width="8.88671875" style="31"/>
    <col min="15" max="15" width="23.44140625" style="31" customWidth="1"/>
    <col min="16" max="16" width="8.88671875" style="31"/>
    <col min="17" max="17" width="9.109375" style="31" bestFit="1" customWidth="1"/>
    <col min="18" max="21" width="9" style="31" bestFit="1" customWidth="1"/>
    <col min="22" max="22" width="10.33203125" style="31" customWidth="1"/>
    <col min="23" max="26" width="9" style="31" bestFit="1" customWidth="1"/>
    <col min="27" max="16384" width="8.88671875" style="31"/>
  </cols>
  <sheetData>
    <row r="1" spans="1:26" ht="14.4" thickBot="1">
      <c r="A1" s="451" t="s">
        <v>146</v>
      </c>
      <c r="B1" s="452"/>
      <c r="C1" s="453"/>
    </row>
    <row r="2" spans="1:26" ht="14.4" thickBot="1">
      <c r="A2" s="454" t="s">
        <v>153</v>
      </c>
      <c r="B2" s="455"/>
      <c r="C2" s="456"/>
    </row>
    <row r="3" spans="1:26" ht="14.4" thickBot="1">
      <c r="A3" s="454" t="s">
        <v>151</v>
      </c>
      <c r="B3" s="455"/>
      <c r="C3" s="456"/>
    </row>
    <row r="4" spans="1:26" ht="14.4" thickBot="1">
      <c r="A4" s="457" t="s">
        <v>150</v>
      </c>
      <c r="B4" s="458"/>
      <c r="C4" s="459"/>
    </row>
    <row r="5" spans="1:26" ht="14.4" thickBot="1">
      <c r="A5" s="125" t="s">
        <v>96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7"/>
      <c r="N5" s="126"/>
      <c r="O5" s="197" t="s">
        <v>336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8"/>
    </row>
    <row r="6" spans="1:26">
      <c r="A6" s="346" t="s">
        <v>434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8"/>
      <c r="M6" s="63"/>
      <c r="N6" s="47"/>
      <c r="O6" s="198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8"/>
    </row>
    <row r="7" spans="1:26">
      <c r="A7" s="349"/>
      <c r="B7" s="350"/>
      <c r="C7" s="351" t="s">
        <v>0</v>
      </c>
      <c r="D7" s="351" t="s">
        <v>1</v>
      </c>
      <c r="E7" s="351" t="s">
        <v>2</v>
      </c>
      <c r="F7" s="351" t="s">
        <v>3</v>
      </c>
      <c r="G7" s="351" t="s">
        <v>4</v>
      </c>
      <c r="H7" s="351" t="s">
        <v>5</v>
      </c>
      <c r="I7" s="351" t="s">
        <v>6</v>
      </c>
      <c r="J7" s="351" t="s">
        <v>7</v>
      </c>
      <c r="K7" s="351" t="s">
        <v>8</v>
      </c>
      <c r="L7" s="352" t="s">
        <v>9</v>
      </c>
      <c r="M7" s="130"/>
      <c r="N7" s="47"/>
      <c r="O7" s="345" t="s">
        <v>434</v>
      </c>
      <c r="P7" s="99"/>
      <c r="Q7" s="358" t="s">
        <v>0</v>
      </c>
      <c r="R7" s="358" t="s">
        <v>1</v>
      </c>
      <c r="S7" s="358" t="s">
        <v>2</v>
      </c>
      <c r="T7" s="358" t="s">
        <v>3</v>
      </c>
      <c r="U7" s="358" t="s">
        <v>4</v>
      </c>
      <c r="V7" s="358" t="s">
        <v>5</v>
      </c>
      <c r="W7" s="358" t="s">
        <v>6</v>
      </c>
      <c r="X7" s="358" t="s">
        <v>7</v>
      </c>
      <c r="Y7" s="358" t="s">
        <v>8</v>
      </c>
      <c r="Z7" s="359" t="s">
        <v>9</v>
      </c>
    </row>
    <row r="8" spans="1:26">
      <c r="A8" s="131" t="str">
        <f>+'Input Value'!G36</f>
        <v>Snack Halves (Wholesale)</v>
      </c>
      <c r="B8" s="73" t="str">
        <f>+'Input Value'!G37</f>
        <v>1 lb Bag</v>
      </c>
      <c r="C8" s="73">
        <f>'Input Value'!G38</f>
        <v>46781.356160000003</v>
      </c>
      <c r="D8" s="73">
        <f>C8*(1+'Input Value'!$G$80)</f>
        <v>47249.169721600003</v>
      </c>
      <c r="E8" s="73">
        <f>D8*(1+'Input Value'!$G$80)</f>
        <v>47721.661418816002</v>
      </c>
      <c r="F8" s="73">
        <f>E8*(1+'Input Value'!$G$80)</f>
        <v>48198.878033004163</v>
      </c>
      <c r="G8" s="73">
        <f>F8*(1+'Input Value'!$G$80)</f>
        <v>48680.866813334207</v>
      </c>
      <c r="H8" s="73">
        <f>G8*(1+'Input Value'!$G$80)</f>
        <v>49167.675481467551</v>
      </c>
      <c r="I8" s="73">
        <f>H8*(1+'Input Value'!$G$80)</f>
        <v>49659.352236282226</v>
      </c>
      <c r="J8" s="73">
        <f>I8*(1+'Input Value'!$G$80)</f>
        <v>50155.945758645052</v>
      </c>
      <c r="K8" s="73">
        <f>J8*(1+'Input Value'!$G$80)</f>
        <v>50657.505216231504</v>
      </c>
      <c r="L8" s="132">
        <f>K8*(1+'Input Value'!$G$80)</f>
        <v>51164.080268393816</v>
      </c>
      <c r="M8" s="63"/>
      <c r="N8" s="47"/>
      <c r="O8" s="131" t="s">
        <v>326</v>
      </c>
      <c r="P8" s="47"/>
      <c r="Q8" s="73">
        <f>'Input Value'!G7</f>
        <v>122850.2</v>
      </c>
      <c r="R8" s="73">
        <f>Q8*(1.01)</f>
        <v>124078.702</v>
      </c>
      <c r="S8" s="73">
        <f t="shared" ref="S8:Z8" si="0">R8*(1.01)</f>
        <v>125319.48902000001</v>
      </c>
      <c r="T8" s="73">
        <f t="shared" si="0"/>
        <v>126572.68391020001</v>
      </c>
      <c r="U8" s="73">
        <f t="shared" si="0"/>
        <v>127838.41074930201</v>
      </c>
      <c r="V8" s="73">
        <f t="shared" si="0"/>
        <v>129116.79485679504</v>
      </c>
      <c r="W8" s="73">
        <f t="shared" si="0"/>
        <v>130407.96280536299</v>
      </c>
      <c r="X8" s="73">
        <f t="shared" si="0"/>
        <v>131712.04243341662</v>
      </c>
      <c r="Y8" s="73">
        <f t="shared" si="0"/>
        <v>133029.16285775078</v>
      </c>
      <c r="Z8" s="132">
        <f t="shared" si="0"/>
        <v>134359.45448632829</v>
      </c>
    </row>
    <row r="9" spans="1:26">
      <c r="A9" s="131" t="str">
        <f>'Input Value'!G41</f>
        <v>Snack Halves (retail)</v>
      </c>
      <c r="B9" s="73" t="str">
        <f>B8</f>
        <v>1 lb Bag</v>
      </c>
      <c r="C9" s="73">
        <f>'Input Value'!G43</f>
        <v>11695.339039999999</v>
      </c>
      <c r="D9" s="73">
        <f>C9*(1+'Input Value'!$G$80)</f>
        <v>11812.292430399999</v>
      </c>
      <c r="E9" s="73">
        <f>D9*(1+'Input Value'!$G$80)</f>
        <v>11930.415354703999</v>
      </c>
      <c r="F9" s="73">
        <f>E9*(1+'Input Value'!$G$80)</f>
        <v>12049.719508251039</v>
      </c>
      <c r="G9" s="73">
        <f>F9*(1+'Input Value'!$G$80)</f>
        <v>12170.21670333355</v>
      </c>
      <c r="H9" s="73">
        <f>G9*(1+'Input Value'!$G$80)</f>
        <v>12291.918870366886</v>
      </c>
      <c r="I9" s="73">
        <f>H9*(1+'Input Value'!$G$80)</f>
        <v>12414.838059070555</v>
      </c>
      <c r="J9" s="73">
        <f>I9*(1+'Input Value'!$G$80)</f>
        <v>12538.986439661261</v>
      </c>
      <c r="K9" s="73">
        <f>J9*(1+'Input Value'!$G$80)</f>
        <v>12664.376304057874</v>
      </c>
      <c r="L9" s="132">
        <f>K9*(1+'Input Value'!$G$80)</f>
        <v>12791.020067098452</v>
      </c>
      <c r="M9" s="63"/>
      <c r="N9" s="47"/>
      <c r="O9" s="131"/>
      <c r="P9" s="47"/>
      <c r="Q9" s="73"/>
      <c r="R9" s="73"/>
      <c r="S9" s="73"/>
      <c r="T9" s="73"/>
      <c r="U9" s="73"/>
      <c r="V9" s="73"/>
      <c r="W9" s="73"/>
      <c r="X9" s="73"/>
      <c r="Y9" s="73"/>
      <c r="Z9" s="132"/>
    </row>
    <row r="10" spans="1:26">
      <c r="A10" s="131" t="str">
        <f>+'Input Value'!G46</f>
        <v>Cracked Shells</v>
      </c>
      <c r="B10" s="73" t="str">
        <f>'Input Value'!G47</f>
        <v>50 lb Bag</v>
      </c>
      <c r="C10" s="73">
        <f>'Input Value'!G48</f>
        <v>1081.0817599999998</v>
      </c>
      <c r="D10" s="73">
        <f>C10*(1+'Input Value'!$G$80)</f>
        <v>1091.8925775999999</v>
      </c>
      <c r="E10" s="73">
        <f>D10*(1+'Input Value'!$G$80)</f>
        <v>1102.8115033759998</v>
      </c>
      <c r="F10" s="73">
        <f>E10*(1+'Input Value'!$G$80)</f>
        <v>1113.8396184097599</v>
      </c>
      <c r="G10" s="73">
        <f>F10*(1+'Input Value'!$G$80)</f>
        <v>1124.9780145938576</v>
      </c>
      <c r="H10" s="73">
        <f>G10*(1+'Input Value'!$G$80)</f>
        <v>1136.2277947397961</v>
      </c>
      <c r="I10" s="73">
        <f>H10*(1+'Input Value'!$G$80)</f>
        <v>1147.5900726871942</v>
      </c>
      <c r="J10" s="73">
        <f>I10*(1+'Input Value'!$G$80)</f>
        <v>1159.0659734140661</v>
      </c>
      <c r="K10" s="73">
        <f>J10*(1+'Input Value'!$G$80)</f>
        <v>1170.6566331482068</v>
      </c>
      <c r="L10" s="132">
        <f>K10*(1+'Input Value'!$G$80)</f>
        <v>1182.3631994796888</v>
      </c>
      <c r="M10" s="63"/>
      <c r="N10" s="47"/>
      <c r="O10" s="131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129"/>
    </row>
    <row r="11" spans="1:26">
      <c r="A11" s="131" t="str">
        <f>+'Input Value'!G52</f>
        <v>Pecan Meal</v>
      </c>
      <c r="B11" s="93" t="str">
        <f>'Input Value'!G53</f>
        <v>1 lb Bag</v>
      </c>
      <c r="C11" s="73">
        <f>'Input Value'!G54</f>
        <v>10319.416800000001</v>
      </c>
      <c r="D11" s="73">
        <f>C11*(1+'Input Value'!$G$80)</f>
        <v>10422.610968000001</v>
      </c>
      <c r="E11" s="73">
        <f>D11*(1+'Input Value'!$G$80)</f>
        <v>10526.83707768</v>
      </c>
      <c r="F11" s="73">
        <f>E11*(1+'Input Value'!$G$80)</f>
        <v>10632.105448456799</v>
      </c>
      <c r="G11" s="73">
        <f>F11*(1+'Input Value'!$G$80)</f>
        <v>10738.426502941367</v>
      </c>
      <c r="H11" s="73">
        <f>G11*(1+'Input Value'!$G$80)</f>
        <v>10845.810767970781</v>
      </c>
      <c r="I11" s="73">
        <f>H11*(1+'Input Value'!$G$80)</f>
        <v>10954.268875650489</v>
      </c>
      <c r="J11" s="73">
        <f>I11*(1+'Input Value'!$G$80)</f>
        <v>11063.811564406993</v>
      </c>
      <c r="K11" s="73">
        <f>J11*(1+'Input Value'!$G$80)</f>
        <v>11174.449680051062</v>
      </c>
      <c r="L11" s="132">
        <f>K11*(1+'Input Value'!$G$80)</f>
        <v>11286.194176851574</v>
      </c>
      <c r="M11" s="63"/>
      <c r="N11" s="47"/>
      <c r="O11" s="131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129"/>
    </row>
    <row r="12" spans="1:26">
      <c r="A12" s="131"/>
      <c r="B12" s="47"/>
      <c r="C12" s="73"/>
      <c r="D12" s="73"/>
      <c r="E12" s="73"/>
      <c r="F12" s="73"/>
      <c r="G12" s="73"/>
      <c r="H12" s="73"/>
      <c r="I12" s="73"/>
      <c r="J12" s="73"/>
      <c r="K12" s="73"/>
      <c r="L12" s="132"/>
      <c r="M12" s="63"/>
      <c r="N12" s="47"/>
      <c r="O12" s="131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129"/>
    </row>
    <row r="13" spans="1:26">
      <c r="A13" s="344" t="s">
        <v>440</v>
      </c>
      <c r="B13" s="353"/>
      <c r="C13" s="354" t="s">
        <v>0</v>
      </c>
      <c r="D13" s="354" t="s">
        <v>1</v>
      </c>
      <c r="E13" s="354" t="s">
        <v>2</v>
      </c>
      <c r="F13" s="354" t="s">
        <v>3</v>
      </c>
      <c r="G13" s="354" t="s">
        <v>4</v>
      </c>
      <c r="H13" s="354" t="s">
        <v>5</v>
      </c>
      <c r="I13" s="354" t="s">
        <v>6</v>
      </c>
      <c r="J13" s="354" t="s">
        <v>7</v>
      </c>
      <c r="K13" s="354" t="s">
        <v>8</v>
      </c>
      <c r="L13" s="355" t="s">
        <v>9</v>
      </c>
      <c r="M13" s="63"/>
      <c r="N13" s="47"/>
      <c r="O13" s="345" t="s">
        <v>440</v>
      </c>
      <c r="P13" s="99"/>
      <c r="Q13" s="358" t="s">
        <v>0</v>
      </c>
      <c r="R13" s="358" t="s">
        <v>1</v>
      </c>
      <c r="S13" s="358" t="s">
        <v>2</v>
      </c>
      <c r="T13" s="358" t="s">
        <v>3</v>
      </c>
      <c r="U13" s="358" t="s">
        <v>4</v>
      </c>
      <c r="V13" s="358" t="s">
        <v>5</v>
      </c>
      <c r="W13" s="358" t="s">
        <v>6</v>
      </c>
      <c r="X13" s="358" t="s">
        <v>7</v>
      </c>
      <c r="Y13" s="358" t="s">
        <v>8</v>
      </c>
      <c r="Z13" s="359" t="s">
        <v>9</v>
      </c>
    </row>
    <row r="14" spans="1:26">
      <c r="A14" s="131" t="str">
        <f>'Input Value'!G59</f>
        <v>Snack Halves (Wholesale)</v>
      </c>
      <c r="B14" s="73" t="str">
        <f>'Input Value'!G60</f>
        <v>1 lb Bag</v>
      </c>
      <c r="C14" s="73">
        <f>'Input Value'!G61</f>
        <v>156699.95616000003</v>
      </c>
      <c r="D14" s="73">
        <f>C14*(1+'Input Value'!$G$80)</f>
        <v>158266.95572160004</v>
      </c>
      <c r="E14" s="73">
        <f>D14*(1+'Input Value'!$G$80)</f>
        <v>159849.62527881603</v>
      </c>
      <c r="F14" s="73">
        <f>E14*(1+'Input Value'!$G$80)</f>
        <v>161448.12153160421</v>
      </c>
      <c r="G14" s="73">
        <f>F14*(1+'Input Value'!$G$80)</f>
        <v>163062.60274692025</v>
      </c>
      <c r="H14" s="73">
        <f>G14*(1+'Input Value'!$G$80)</f>
        <v>164693.22877438946</v>
      </c>
      <c r="I14" s="73">
        <f>H14*(1+'Input Value'!$G$80)</f>
        <v>166340.16106213335</v>
      </c>
      <c r="J14" s="73">
        <f>I14*(1+'Input Value'!$G$80)</f>
        <v>168003.56267275469</v>
      </c>
      <c r="K14" s="73">
        <f>J14*(1+'Input Value'!$G$80)</f>
        <v>169683.59829948223</v>
      </c>
      <c r="L14" s="132">
        <f>K14*(1+'Input Value'!$G$80)</f>
        <v>171380.43428247704</v>
      </c>
      <c r="M14" s="63"/>
      <c r="N14" s="47"/>
      <c r="O14" s="131" t="s">
        <v>326</v>
      </c>
      <c r="P14" s="47"/>
      <c r="Q14" s="73">
        <f>'Input Value'!G6</f>
        <v>523729.80000000005</v>
      </c>
      <c r="R14" s="73">
        <f>Q14*(1.01)</f>
        <v>528967.098</v>
      </c>
      <c r="S14" s="73">
        <f t="shared" ref="S14:Z14" si="1">R14*(1.01)</f>
        <v>534256.76898000005</v>
      </c>
      <c r="T14" s="73">
        <f t="shared" si="1"/>
        <v>539599.3366698001</v>
      </c>
      <c r="U14" s="73">
        <f t="shared" si="1"/>
        <v>544995.33003649814</v>
      </c>
      <c r="V14" s="73">
        <f t="shared" si="1"/>
        <v>550445.28333686315</v>
      </c>
      <c r="W14" s="73">
        <f t="shared" si="1"/>
        <v>555949.73617023183</v>
      </c>
      <c r="X14" s="73">
        <f t="shared" si="1"/>
        <v>561509.23353193421</v>
      </c>
      <c r="Y14" s="73">
        <f t="shared" si="1"/>
        <v>567124.32586725359</v>
      </c>
      <c r="Z14" s="132">
        <f t="shared" si="1"/>
        <v>572795.56912592612</v>
      </c>
    </row>
    <row r="15" spans="1:26">
      <c r="A15" s="131" t="str">
        <f>'Input Value'!G64</f>
        <v>Snack Halves (Retail)</v>
      </c>
      <c r="B15" s="73" t="str">
        <f>B14</f>
        <v>1 lb Bag</v>
      </c>
      <c r="C15" s="73">
        <f>'Input Value'!G66</f>
        <v>39174.989039999986</v>
      </c>
      <c r="D15" s="73">
        <f>C15*(1+'Input Value'!$G$80)</f>
        <v>39566.738930399988</v>
      </c>
      <c r="E15" s="73">
        <f>D15*(1+'Input Value'!$G$80)</f>
        <v>39962.406319703987</v>
      </c>
      <c r="F15" s="73">
        <f>E15*(1+'Input Value'!$G$80)</f>
        <v>40362.03038290103</v>
      </c>
      <c r="G15" s="73">
        <f>F15*(1+'Input Value'!$G$80)</f>
        <v>40765.650686730041</v>
      </c>
      <c r="H15" s="73">
        <f>G15*(1+'Input Value'!$G$80)</f>
        <v>41173.307193597342</v>
      </c>
      <c r="I15" s="73">
        <f>H15*(1+'Input Value'!$G$80)</f>
        <v>41585.040265533316</v>
      </c>
      <c r="J15" s="73">
        <f>I15*(1+'Input Value'!$G$80)</f>
        <v>42000.890668188651</v>
      </c>
      <c r="K15" s="73">
        <f>J15*(1+'Input Value'!$G$80)</f>
        <v>42420.899574870535</v>
      </c>
      <c r="L15" s="132">
        <f>K15*(1+'Input Value'!$G$80)</f>
        <v>42845.108570619239</v>
      </c>
      <c r="M15" s="63"/>
      <c r="N15" s="47"/>
      <c r="O15" s="131"/>
      <c r="P15" s="47"/>
      <c r="Q15" s="73"/>
      <c r="R15" s="73"/>
      <c r="S15" s="73"/>
      <c r="T15" s="73"/>
      <c r="U15" s="73"/>
      <c r="V15" s="73"/>
      <c r="W15" s="73"/>
      <c r="X15" s="73"/>
      <c r="Y15" s="73"/>
      <c r="Z15" s="132"/>
    </row>
    <row r="16" spans="1:26" ht="14.4" thickBot="1">
      <c r="A16" s="131" t="str">
        <f>'Input Value'!G69</f>
        <v>Cracked Shells</v>
      </c>
      <c r="B16" s="73" t="str">
        <f>'Input Value'!G70</f>
        <v>50 lb Bag</v>
      </c>
      <c r="C16" s="73">
        <f>'Input Value'!G71</f>
        <v>5865.7737600000019</v>
      </c>
      <c r="D16" s="73">
        <f>C16*(1+'Input Value'!$G$80)</f>
        <v>5924.4314976000023</v>
      </c>
      <c r="E16" s="73">
        <f>D16*(1+'Input Value'!$G$80)</f>
        <v>5983.6758125760025</v>
      </c>
      <c r="F16" s="73">
        <f>E16*(1+'Input Value'!$G$80)</f>
        <v>6043.5125707017623</v>
      </c>
      <c r="G16" s="73">
        <f>F16*(1+'Input Value'!$G$80)</f>
        <v>6103.9476964087798</v>
      </c>
      <c r="H16" s="73">
        <f>G16*(1+'Input Value'!$G$80)</f>
        <v>6164.9871733728678</v>
      </c>
      <c r="I16" s="73">
        <f>H16*(1+'Input Value'!$G$80)</f>
        <v>6226.6370451065968</v>
      </c>
      <c r="J16" s="73">
        <f>I16*(1+'Input Value'!$G$80)</f>
        <v>6288.9034155576628</v>
      </c>
      <c r="K16" s="73">
        <f>J16*(1+'Input Value'!$G$80)</f>
        <v>6351.7924497132399</v>
      </c>
      <c r="L16" s="132">
        <f>K16*(1+'Input Value'!$G$80)</f>
        <v>6415.3103742103722</v>
      </c>
      <c r="M16" s="63"/>
      <c r="N16" s="47"/>
      <c r="O16" s="144" t="s">
        <v>451</v>
      </c>
      <c r="P16" s="140"/>
      <c r="Q16" s="146">
        <f>Q8+Q14</f>
        <v>646580</v>
      </c>
      <c r="R16" s="146">
        <f t="shared" ref="R16:Z16" si="2">R8+R14</f>
        <v>653045.80000000005</v>
      </c>
      <c r="S16" s="146">
        <f t="shared" si="2"/>
        <v>659576.25800000003</v>
      </c>
      <c r="T16" s="146">
        <f t="shared" si="2"/>
        <v>666172.02058000013</v>
      </c>
      <c r="U16" s="146">
        <f t="shared" si="2"/>
        <v>672833.74078580015</v>
      </c>
      <c r="V16" s="146">
        <f t="shared" si="2"/>
        <v>679562.07819365815</v>
      </c>
      <c r="W16" s="146">
        <f t="shared" si="2"/>
        <v>686357.69897559483</v>
      </c>
      <c r="X16" s="146">
        <f t="shared" si="2"/>
        <v>693221.2759653508</v>
      </c>
      <c r="Y16" s="146">
        <f t="shared" si="2"/>
        <v>700153.48872500437</v>
      </c>
      <c r="Z16" s="147">
        <f t="shared" si="2"/>
        <v>707155.02361225442</v>
      </c>
    </row>
    <row r="17" spans="1:26" ht="14.4" thickBot="1">
      <c r="A17" s="144" t="str">
        <f>'Input Value'!G75</f>
        <v>Pecan Meal</v>
      </c>
      <c r="B17" s="145" t="str">
        <f>'Input Value'!G76</f>
        <v>1 lb Bag</v>
      </c>
      <c r="C17" s="146">
        <f>'Input Value'!G77</f>
        <v>34566.166799999999</v>
      </c>
      <c r="D17" s="146">
        <f>C17*(1+'Input Value'!$G$80)</f>
        <v>34911.828468</v>
      </c>
      <c r="E17" s="146">
        <f>D17*(1+'Input Value'!$G$80)</f>
        <v>35260.94675268</v>
      </c>
      <c r="F17" s="146">
        <f>E17*(1+'Input Value'!$G$80)</f>
        <v>35613.556220206803</v>
      </c>
      <c r="G17" s="146">
        <f>F17*(1+'Input Value'!$G$80)</f>
        <v>35969.691782408874</v>
      </c>
      <c r="H17" s="146">
        <f>G17*(1+'Input Value'!$G$80)</f>
        <v>36329.388700232965</v>
      </c>
      <c r="I17" s="146">
        <f>H17*(1+'Input Value'!$G$80)</f>
        <v>36692.682587235293</v>
      </c>
      <c r="J17" s="146">
        <f>I17*(1+'Input Value'!$G$80)</f>
        <v>37059.609413107646</v>
      </c>
      <c r="K17" s="146">
        <f>J17*(1+'Input Value'!$G$80)</f>
        <v>37430.205507238723</v>
      </c>
      <c r="L17" s="147">
        <f>K17*(1+'Input Value'!$G$80)</f>
        <v>37804.507562311112</v>
      </c>
      <c r="M17" s="63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129"/>
    </row>
    <row r="18" spans="1:26">
      <c r="A18" s="131"/>
      <c r="B18" s="47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63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129"/>
    </row>
    <row r="19" spans="1:26">
      <c r="A19" s="131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63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29"/>
    </row>
    <row r="20" spans="1:26">
      <c r="A20" s="131"/>
      <c r="B20" s="47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63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29"/>
    </row>
    <row r="21" spans="1:26">
      <c r="A21" s="134" t="s">
        <v>129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63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129"/>
    </row>
    <row r="22" spans="1:26">
      <c r="A22" s="134" t="s">
        <v>384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63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129"/>
    </row>
    <row r="23" spans="1:26" ht="14.4" thickBot="1">
      <c r="A23" s="135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63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129"/>
    </row>
    <row r="24" spans="1:26">
      <c r="A24" s="343" t="s">
        <v>434</v>
      </c>
      <c r="B24" s="356"/>
      <c r="C24" s="356" t="s">
        <v>0</v>
      </c>
      <c r="D24" s="356" t="s">
        <v>1</v>
      </c>
      <c r="E24" s="356" t="s">
        <v>2</v>
      </c>
      <c r="F24" s="356" t="s">
        <v>3</v>
      </c>
      <c r="G24" s="356" t="s">
        <v>4</v>
      </c>
      <c r="H24" s="356" t="s">
        <v>5</v>
      </c>
      <c r="I24" s="356" t="s">
        <v>6</v>
      </c>
      <c r="J24" s="356" t="s">
        <v>7</v>
      </c>
      <c r="K24" s="356" t="s">
        <v>8</v>
      </c>
      <c r="L24" s="357" t="s">
        <v>9</v>
      </c>
      <c r="M24" s="63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129"/>
    </row>
    <row r="25" spans="1:26">
      <c r="A25" s="131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148"/>
      <c r="M25" s="63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129"/>
    </row>
    <row r="26" spans="1:26">
      <c r="A26" s="134" t="str">
        <f>'Market Projection'!A8</f>
        <v>Snack Halves (Wholesale)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129"/>
      <c r="M26" s="63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129"/>
    </row>
    <row r="27" spans="1:26">
      <c r="A27" s="131" t="s">
        <v>11</v>
      </c>
      <c r="B27" s="73"/>
      <c r="C27" s="73">
        <f>'Market Projection'!C8</f>
        <v>46781.356160000003</v>
      </c>
      <c r="D27" s="73">
        <f>'Market Projection'!D8</f>
        <v>47249.169721600003</v>
      </c>
      <c r="E27" s="73">
        <f>'Market Projection'!E8</f>
        <v>47721.661418816002</v>
      </c>
      <c r="F27" s="73">
        <f>'Market Projection'!F8</f>
        <v>48198.878033004163</v>
      </c>
      <c r="G27" s="73">
        <f>'Market Projection'!G8</f>
        <v>48680.866813334207</v>
      </c>
      <c r="H27" s="73">
        <f>'Market Projection'!H8</f>
        <v>49167.675481467551</v>
      </c>
      <c r="I27" s="73">
        <f>'Market Projection'!I8</f>
        <v>49659.352236282226</v>
      </c>
      <c r="J27" s="73">
        <f>'Market Projection'!J8</f>
        <v>50155.945758645052</v>
      </c>
      <c r="K27" s="73">
        <f>'Market Projection'!K8</f>
        <v>50657.505216231504</v>
      </c>
      <c r="L27" s="132">
        <f>'Market Projection'!L8</f>
        <v>51164.080268393816</v>
      </c>
      <c r="M27" s="63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129"/>
    </row>
    <row r="28" spans="1:26">
      <c r="A28" s="131" t="s">
        <v>130</v>
      </c>
      <c r="B28" s="136"/>
      <c r="C28" s="61">
        <f>'Input Value'!$G$39</f>
        <v>4.09</v>
      </c>
      <c r="D28" s="61">
        <f>'Input Value'!$G$39</f>
        <v>4.09</v>
      </c>
      <c r="E28" s="61">
        <f>'Input Value'!$G$39</f>
        <v>4.09</v>
      </c>
      <c r="F28" s="61">
        <f>'Input Value'!$G$39</f>
        <v>4.09</v>
      </c>
      <c r="G28" s="61">
        <f>'Input Value'!$G$39</f>
        <v>4.09</v>
      </c>
      <c r="H28" s="61">
        <f>'Input Value'!$G$39</f>
        <v>4.09</v>
      </c>
      <c r="I28" s="61">
        <f>'Input Value'!$G$39</f>
        <v>4.09</v>
      </c>
      <c r="J28" s="61">
        <f>'Input Value'!$G$39</f>
        <v>4.09</v>
      </c>
      <c r="K28" s="61">
        <f>'Input Value'!$G$39</f>
        <v>4.09</v>
      </c>
      <c r="L28" s="149">
        <f>'Input Value'!$G$39</f>
        <v>4.09</v>
      </c>
      <c r="M28" s="63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129"/>
    </row>
    <row r="29" spans="1:26">
      <c r="A29" s="131" t="s">
        <v>131</v>
      </c>
      <c r="B29" s="60"/>
      <c r="C29" s="60">
        <f t="shared" ref="C29:L29" si="3">C27*C28</f>
        <v>191335.7466944</v>
      </c>
      <c r="D29" s="60">
        <f t="shared" si="3"/>
        <v>193249.104161344</v>
      </c>
      <c r="E29" s="60">
        <f t="shared" si="3"/>
        <v>195181.59520295745</v>
      </c>
      <c r="F29" s="60">
        <f t="shared" si="3"/>
        <v>197133.41115498703</v>
      </c>
      <c r="G29" s="60">
        <f t="shared" si="3"/>
        <v>199104.74526653689</v>
      </c>
      <c r="H29" s="60">
        <f t="shared" si="3"/>
        <v>201095.79271920229</v>
      </c>
      <c r="I29" s="60">
        <f t="shared" si="3"/>
        <v>203106.7506463943</v>
      </c>
      <c r="J29" s="60">
        <f t="shared" si="3"/>
        <v>205137.81815285826</v>
      </c>
      <c r="K29" s="60">
        <f t="shared" si="3"/>
        <v>207189.19633438686</v>
      </c>
      <c r="L29" s="150">
        <f t="shared" si="3"/>
        <v>209261.08829773069</v>
      </c>
      <c r="M29" s="63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129"/>
    </row>
    <row r="30" spans="1:26">
      <c r="A30" s="13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150"/>
      <c r="M30" s="63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129"/>
    </row>
    <row r="31" spans="1:26">
      <c r="A31" s="134" t="str">
        <f>A9</f>
        <v>Snack Halves (retail)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150"/>
      <c r="M31" s="63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129"/>
    </row>
    <row r="32" spans="1:26">
      <c r="A32" s="131" t="s">
        <v>11</v>
      </c>
      <c r="B32" s="73"/>
      <c r="C32" s="73">
        <f>C9</f>
        <v>11695.339039999999</v>
      </c>
      <c r="D32" s="73">
        <f t="shared" ref="D32:L32" si="4">D9</f>
        <v>11812.292430399999</v>
      </c>
      <c r="E32" s="73">
        <f t="shared" si="4"/>
        <v>11930.415354703999</v>
      </c>
      <c r="F32" s="73">
        <f t="shared" si="4"/>
        <v>12049.719508251039</v>
      </c>
      <c r="G32" s="73">
        <f t="shared" si="4"/>
        <v>12170.21670333355</v>
      </c>
      <c r="H32" s="73">
        <f t="shared" si="4"/>
        <v>12291.918870366886</v>
      </c>
      <c r="I32" s="73">
        <f t="shared" si="4"/>
        <v>12414.838059070555</v>
      </c>
      <c r="J32" s="73">
        <f t="shared" si="4"/>
        <v>12538.986439661261</v>
      </c>
      <c r="K32" s="73">
        <f t="shared" si="4"/>
        <v>12664.376304057874</v>
      </c>
      <c r="L32" s="132">
        <f t="shared" si="4"/>
        <v>12791.020067098452</v>
      </c>
      <c r="M32" s="63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129"/>
    </row>
    <row r="33" spans="1:26">
      <c r="A33" s="131" t="s">
        <v>130</v>
      </c>
      <c r="B33" s="136"/>
      <c r="C33" s="61">
        <f>'Input Value'!$G$44</f>
        <v>13.47</v>
      </c>
      <c r="D33" s="61">
        <f>'Input Value'!$G$44</f>
        <v>13.47</v>
      </c>
      <c r="E33" s="61">
        <f>'Input Value'!$G$44</f>
        <v>13.47</v>
      </c>
      <c r="F33" s="61">
        <f>'Input Value'!$G$44</f>
        <v>13.47</v>
      </c>
      <c r="G33" s="61">
        <f>'Input Value'!$G$44</f>
        <v>13.47</v>
      </c>
      <c r="H33" s="61">
        <f>'Input Value'!$G$44</f>
        <v>13.47</v>
      </c>
      <c r="I33" s="61">
        <f>'Input Value'!$G$44</f>
        <v>13.47</v>
      </c>
      <c r="J33" s="61">
        <f>'Input Value'!$G$44</f>
        <v>13.47</v>
      </c>
      <c r="K33" s="61">
        <f>'Input Value'!$G$44</f>
        <v>13.47</v>
      </c>
      <c r="L33" s="149">
        <f>'Input Value'!$G$44</f>
        <v>13.47</v>
      </c>
      <c r="M33" s="63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129"/>
    </row>
    <row r="34" spans="1:26">
      <c r="A34" s="131" t="s">
        <v>131</v>
      </c>
      <c r="B34" s="60"/>
      <c r="C34" s="60">
        <f t="shared" ref="C34:L34" si="5">C32*C33</f>
        <v>157536.21686879999</v>
      </c>
      <c r="D34" s="60">
        <f t="shared" si="5"/>
        <v>159111.579037488</v>
      </c>
      <c r="E34" s="60">
        <f t="shared" si="5"/>
        <v>160702.69482786287</v>
      </c>
      <c r="F34" s="60">
        <f t="shared" si="5"/>
        <v>162309.72177614149</v>
      </c>
      <c r="G34" s="60">
        <f t="shared" si="5"/>
        <v>163932.81899390294</v>
      </c>
      <c r="H34" s="60">
        <f t="shared" si="5"/>
        <v>165572.14718384197</v>
      </c>
      <c r="I34" s="60">
        <f t="shared" si="5"/>
        <v>167227.86865568039</v>
      </c>
      <c r="J34" s="60">
        <f t="shared" si="5"/>
        <v>168900.14734223721</v>
      </c>
      <c r="K34" s="60">
        <f t="shared" si="5"/>
        <v>170589.14881565957</v>
      </c>
      <c r="L34" s="150">
        <f t="shared" si="5"/>
        <v>172295.04030381615</v>
      </c>
      <c r="M34" s="63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129"/>
    </row>
    <row r="35" spans="1:26">
      <c r="A35" s="131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129"/>
      <c r="M35" s="63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129"/>
    </row>
    <row r="36" spans="1:26">
      <c r="A36" s="134" t="str">
        <f>'Market Projection'!A10</f>
        <v>Cracked Shells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129"/>
      <c r="M36" s="63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129"/>
    </row>
    <row r="37" spans="1:26">
      <c r="A37" s="131" t="str">
        <f>A27</f>
        <v>Total Volume</v>
      </c>
      <c r="B37" s="73"/>
      <c r="C37" s="73">
        <f>'Market Projection'!C10</f>
        <v>1081.0817599999998</v>
      </c>
      <c r="D37" s="73">
        <f>'Market Projection'!D10</f>
        <v>1091.8925775999999</v>
      </c>
      <c r="E37" s="73">
        <f>'Market Projection'!E10</f>
        <v>1102.8115033759998</v>
      </c>
      <c r="F37" s="73">
        <f>'Market Projection'!F10</f>
        <v>1113.8396184097599</v>
      </c>
      <c r="G37" s="73">
        <f>'Market Projection'!G10</f>
        <v>1124.9780145938576</v>
      </c>
      <c r="H37" s="73">
        <f>'Market Projection'!H10</f>
        <v>1136.2277947397961</v>
      </c>
      <c r="I37" s="73">
        <f>'Market Projection'!I10</f>
        <v>1147.5900726871942</v>
      </c>
      <c r="J37" s="73">
        <f>'Market Projection'!J10</f>
        <v>1159.0659734140661</v>
      </c>
      <c r="K37" s="73">
        <f>'Market Projection'!K10</f>
        <v>1170.6566331482068</v>
      </c>
      <c r="L37" s="132">
        <f>'Market Projection'!L10</f>
        <v>1182.3631994796888</v>
      </c>
      <c r="M37" s="63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129"/>
    </row>
    <row r="38" spans="1:26">
      <c r="A38" s="131" t="str">
        <f>A28</f>
        <v>Price/Unit</v>
      </c>
      <c r="B38" s="136"/>
      <c r="C38" s="136">
        <f>'Input Value'!$G$49</f>
        <v>3.21</v>
      </c>
      <c r="D38" s="136">
        <f>'Input Value'!$G$49</f>
        <v>3.21</v>
      </c>
      <c r="E38" s="136">
        <f>'Input Value'!$G$49</f>
        <v>3.21</v>
      </c>
      <c r="F38" s="136">
        <f>'Input Value'!$G$49</f>
        <v>3.21</v>
      </c>
      <c r="G38" s="136">
        <f>'Input Value'!$G$49</f>
        <v>3.21</v>
      </c>
      <c r="H38" s="136">
        <f>'Input Value'!$G$49</f>
        <v>3.21</v>
      </c>
      <c r="I38" s="136">
        <f>'Input Value'!$G$49</f>
        <v>3.21</v>
      </c>
      <c r="J38" s="136">
        <f>'Input Value'!$G$49</f>
        <v>3.21</v>
      </c>
      <c r="K38" s="136">
        <f>'Input Value'!$G$49</f>
        <v>3.21</v>
      </c>
      <c r="L38" s="151">
        <f>'Input Value'!$G$49</f>
        <v>3.21</v>
      </c>
      <c r="M38" s="63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129"/>
    </row>
    <row r="39" spans="1:26">
      <c r="A39" s="131" t="str">
        <f>A29</f>
        <v>Gross Sales</v>
      </c>
      <c r="B39" s="60"/>
      <c r="C39" s="60">
        <f t="shared" ref="C39:L39" si="6">C37*C38</f>
        <v>3470.2724495999992</v>
      </c>
      <c r="D39" s="60">
        <f t="shared" si="6"/>
        <v>3504.9751740959996</v>
      </c>
      <c r="E39" s="60">
        <f t="shared" si="6"/>
        <v>3540.0249258369595</v>
      </c>
      <c r="F39" s="60">
        <f t="shared" si="6"/>
        <v>3575.425175095329</v>
      </c>
      <c r="G39" s="60">
        <f t="shared" si="6"/>
        <v>3611.1794268462827</v>
      </c>
      <c r="H39" s="60">
        <f t="shared" si="6"/>
        <v>3647.2912211147454</v>
      </c>
      <c r="I39" s="60">
        <f t="shared" si="6"/>
        <v>3683.764133325893</v>
      </c>
      <c r="J39" s="60">
        <f t="shared" si="6"/>
        <v>3720.6017746591519</v>
      </c>
      <c r="K39" s="60">
        <f t="shared" si="6"/>
        <v>3757.8077924057438</v>
      </c>
      <c r="L39" s="150">
        <f t="shared" si="6"/>
        <v>3795.385870329801</v>
      </c>
      <c r="M39" s="63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129"/>
    </row>
    <row r="40" spans="1:26">
      <c r="A40" s="131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29"/>
      <c r="M40" s="63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129"/>
    </row>
    <row r="41" spans="1:26">
      <c r="A41" s="134" t="str">
        <f>'Market Projection'!A11</f>
        <v>Pecan Meal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129"/>
      <c r="M41" s="63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129"/>
    </row>
    <row r="42" spans="1:26">
      <c r="A42" s="131" t="str">
        <f>A27</f>
        <v>Total Volume</v>
      </c>
      <c r="B42" s="73"/>
      <c r="C42" s="73">
        <f>'Market Projection'!C11</f>
        <v>10319.416800000001</v>
      </c>
      <c r="D42" s="73">
        <f>'Market Projection'!D11</f>
        <v>10422.610968000001</v>
      </c>
      <c r="E42" s="73">
        <f>'Market Projection'!E11</f>
        <v>10526.83707768</v>
      </c>
      <c r="F42" s="73">
        <f>'Market Projection'!F11</f>
        <v>10632.105448456799</v>
      </c>
      <c r="G42" s="73">
        <f>'Market Projection'!G11</f>
        <v>10738.426502941367</v>
      </c>
      <c r="H42" s="73">
        <f>'Market Projection'!H11</f>
        <v>10845.810767970781</v>
      </c>
      <c r="I42" s="73">
        <f>'Market Projection'!I11</f>
        <v>10954.268875650489</v>
      </c>
      <c r="J42" s="73">
        <f>'Market Projection'!J11</f>
        <v>11063.811564406993</v>
      </c>
      <c r="K42" s="73">
        <f>'Market Projection'!K11</f>
        <v>11174.449680051062</v>
      </c>
      <c r="L42" s="132">
        <f>'Market Projection'!L11</f>
        <v>11286.194176851574</v>
      </c>
      <c r="M42" s="63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129"/>
    </row>
    <row r="43" spans="1:26">
      <c r="A43" s="131" t="str">
        <f>A28</f>
        <v>Price/Unit</v>
      </c>
      <c r="B43" s="136"/>
      <c r="C43" s="62">
        <f>'Input Value'!$G$55</f>
        <v>13.51</v>
      </c>
      <c r="D43" s="62">
        <f>'Input Value'!$G$55</f>
        <v>13.51</v>
      </c>
      <c r="E43" s="62">
        <f>'Input Value'!$G$55</f>
        <v>13.51</v>
      </c>
      <c r="F43" s="62">
        <f>'Input Value'!$G$55</f>
        <v>13.51</v>
      </c>
      <c r="G43" s="62">
        <f>'Input Value'!$G$55</f>
        <v>13.51</v>
      </c>
      <c r="H43" s="62">
        <f>'Input Value'!$G$55</f>
        <v>13.51</v>
      </c>
      <c r="I43" s="62">
        <f>'Input Value'!$G$55</f>
        <v>13.51</v>
      </c>
      <c r="J43" s="62">
        <f>'Input Value'!$G$55</f>
        <v>13.51</v>
      </c>
      <c r="K43" s="62">
        <f>'Input Value'!$G$55</f>
        <v>13.51</v>
      </c>
      <c r="L43" s="152">
        <f>'Input Value'!$G$55</f>
        <v>13.51</v>
      </c>
      <c r="M43" s="63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129"/>
    </row>
    <row r="44" spans="1:26">
      <c r="A44" s="131" t="str">
        <f>A29</f>
        <v>Gross Sales</v>
      </c>
      <c r="B44" s="60"/>
      <c r="C44" s="60">
        <f t="shared" ref="C44:L44" si="7">C42*C43</f>
        <v>139415.32096800001</v>
      </c>
      <c r="D44" s="60">
        <f t="shared" si="7"/>
        <v>140809.47417768001</v>
      </c>
      <c r="E44" s="60">
        <f t="shared" si="7"/>
        <v>142217.5689194568</v>
      </c>
      <c r="F44" s="60">
        <f t="shared" si="7"/>
        <v>143639.74460865135</v>
      </c>
      <c r="G44" s="60">
        <f t="shared" si="7"/>
        <v>145076.14205473787</v>
      </c>
      <c r="H44" s="60">
        <f t="shared" si="7"/>
        <v>146526.90347528525</v>
      </c>
      <c r="I44" s="60">
        <f t="shared" si="7"/>
        <v>147992.1725100381</v>
      </c>
      <c r="J44" s="60">
        <f t="shared" si="7"/>
        <v>149472.09423513847</v>
      </c>
      <c r="K44" s="60">
        <f t="shared" si="7"/>
        <v>150966.81517748986</v>
      </c>
      <c r="L44" s="150">
        <f t="shared" si="7"/>
        <v>152476.48332926477</v>
      </c>
      <c r="M44" s="63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129"/>
    </row>
    <row r="45" spans="1:26">
      <c r="A45" s="134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150"/>
      <c r="M45" s="63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129"/>
    </row>
    <row r="46" spans="1:26">
      <c r="A46" s="134" t="s">
        <v>443</v>
      </c>
      <c r="B46" s="60"/>
      <c r="C46" s="60">
        <f>C29+C34+C39+C44</f>
        <v>491757.5569808</v>
      </c>
      <c r="D46" s="60">
        <f t="shared" ref="D46:L46" si="8">D29+D34+D39+D44</f>
        <v>496675.13255060802</v>
      </c>
      <c r="E46" s="60">
        <f t="shared" si="8"/>
        <v>501641.88387611404</v>
      </c>
      <c r="F46" s="60">
        <f t="shared" si="8"/>
        <v>506658.3027148752</v>
      </c>
      <c r="G46" s="60">
        <f t="shared" si="8"/>
        <v>511724.88574202394</v>
      </c>
      <c r="H46" s="60">
        <f t="shared" si="8"/>
        <v>516842.13459944422</v>
      </c>
      <c r="I46" s="60">
        <f t="shared" si="8"/>
        <v>522010.55594543868</v>
      </c>
      <c r="J46" s="60">
        <f t="shared" si="8"/>
        <v>527230.6615048931</v>
      </c>
      <c r="K46" s="60">
        <f t="shared" si="8"/>
        <v>532502.968119942</v>
      </c>
      <c r="L46" s="150">
        <f t="shared" si="8"/>
        <v>537827.99780114146</v>
      </c>
      <c r="M46" s="63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129"/>
    </row>
    <row r="47" spans="1:26">
      <c r="A47" s="134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150"/>
      <c r="M47" s="63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129"/>
    </row>
    <row r="48" spans="1:26">
      <c r="A48" s="345" t="s">
        <v>440</v>
      </c>
      <c r="B48" s="358"/>
      <c r="C48" s="358" t="s">
        <v>0</v>
      </c>
      <c r="D48" s="358" t="s">
        <v>1</v>
      </c>
      <c r="E48" s="358" t="s">
        <v>2</v>
      </c>
      <c r="F48" s="358" t="s">
        <v>3</v>
      </c>
      <c r="G48" s="358" t="s">
        <v>4</v>
      </c>
      <c r="H48" s="358" t="s">
        <v>5</v>
      </c>
      <c r="I48" s="358" t="s">
        <v>6</v>
      </c>
      <c r="J48" s="358" t="s">
        <v>7</v>
      </c>
      <c r="K48" s="358" t="s">
        <v>8</v>
      </c>
      <c r="L48" s="359" t="s">
        <v>9</v>
      </c>
      <c r="M48" s="63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129"/>
    </row>
    <row r="49" spans="1:26" s="95" customFormat="1">
      <c r="A49" s="13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148"/>
      <c r="M49" s="63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129"/>
    </row>
    <row r="50" spans="1:26">
      <c r="A50" s="134" t="str">
        <f>A14</f>
        <v>Snack Halves (Wholesale)</v>
      </c>
      <c r="B50" s="47"/>
      <c r="C50" s="73"/>
      <c r="D50" s="73"/>
      <c r="E50" s="73"/>
      <c r="F50" s="73"/>
      <c r="G50" s="73"/>
      <c r="H50" s="73"/>
      <c r="I50" s="73"/>
      <c r="J50" s="73"/>
      <c r="K50" s="73"/>
      <c r="L50" s="132"/>
      <c r="M50" s="63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129"/>
    </row>
    <row r="51" spans="1:26">
      <c r="A51" s="131" t="s">
        <v>358</v>
      </c>
      <c r="B51" s="73"/>
      <c r="C51" s="73">
        <f>'Market Projection'!C14</f>
        <v>156699.95616000003</v>
      </c>
      <c r="D51" s="73">
        <f>'Market Projection'!D14</f>
        <v>158266.95572160004</v>
      </c>
      <c r="E51" s="73">
        <f>'Market Projection'!E14</f>
        <v>159849.62527881603</v>
      </c>
      <c r="F51" s="73">
        <f>'Market Projection'!F14</f>
        <v>161448.12153160421</v>
      </c>
      <c r="G51" s="73">
        <f>'Market Projection'!G14</f>
        <v>163062.60274692025</v>
      </c>
      <c r="H51" s="73">
        <f>'Market Projection'!H14</f>
        <v>164693.22877438946</v>
      </c>
      <c r="I51" s="73">
        <f>'Market Projection'!I14</f>
        <v>166340.16106213335</v>
      </c>
      <c r="J51" s="73">
        <f>'Market Projection'!J14</f>
        <v>168003.56267275469</v>
      </c>
      <c r="K51" s="73">
        <f>'Market Projection'!K14</f>
        <v>169683.59829948223</v>
      </c>
      <c r="L51" s="132">
        <f>'Market Projection'!L14</f>
        <v>171380.43428247704</v>
      </c>
      <c r="M51" s="63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129"/>
    </row>
    <row r="52" spans="1:26">
      <c r="A52" s="131" t="s">
        <v>102</v>
      </c>
      <c r="B52" s="136"/>
      <c r="C52" s="61">
        <f>'Input Value'!$G$62</f>
        <v>3.3</v>
      </c>
      <c r="D52" s="61">
        <f>'Input Value'!$G$62</f>
        <v>3.3</v>
      </c>
      <c r="E52" s="61">
        <f>'Input Value'!$G$62</f>
        <v>3.3</v>
      </c>
      <c r="F52" s="61">
        <f>'Input Value'!$G$62</f>
        <v>3.3</v>
      </c>
      <c r="G52" s="61">
        <f>'Input Value'!$G$62</f>
        <v>3.3</v>
      </c>
      <c r="H52" s="61">
        <f>'Input Value'!$G$62</f>
        <v>3.3</v>
      </c>
      <c r="I52" s="61">
        <f>'Input Value'!$G$62</f>
        <v>3.3</v>
      </c>
      <c r="J52" s="61">
        <f>'Input Value'!$G$62</f>
        <v>3.3</v>
      </c>
      <c r="K52" s="61">
        <f>'Input Value'!$G$62</f>
        <v>3.3</v>
      </c>
      <c r="L52" s="149">
        <f>'Input Value'!$G$62</f>
        <v>3.3</v>
      </c>
      <c r="M52" s="63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129"/>
    </row>
    <row r="53" spans="1:26">
      <c r="A53" s="131" t="s">
        <v>131</v>
      </c>
      <c r="B53" s="60"/>
      <c r="C53" s="60">
        <f t="shared" ref="C53:L53" si="9">C51*C52</f>
        <v>517109.85532800009</v>
      </c>
      <c r="D53" s="60">
        <f t="shared" si="9"/>
        <v>522280.95388128009</v>
      </c>
      <c r="E53" s="60">
        <f t="shared" si="9"/>
        <v>527503.76342009287</v>
      </c>
      <c r="F53" s="60">
        <f t="shared" si="9"/>
        <v>532778.80105429387</v>
      </c>
      <c r="G53" s="60">
        <f t="shared" si="9"/>
        <v>538106.58906483685</v>
      </c>
      <c r="H53" s="60">
        <f t="shared" si="9"/>
        <v>543487.65495548514</v>
      </c>
      <c r="I53" s="60">
        <f t="shared" si="9"/>
        <v>548922.53150504001</v>
      </c>
      <c r="J53" s="60">
        <f t="shared" si="9"/>
        <v>554411.75682009046</v>
      </c>
      <c r="K53" s="60">
        <f t="shared" si="9"/>
        <v>559955.87438829127</v>
      </c>
      <c r="L53" s="150">
        <f t="shared" si="9"/>
        <v>565555.43313217419</v>
      </c>
      <c r="M53" s="63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129"/>
    </row>
    <row r="54" spans="1:26">
      <c r="A54" s="131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150"/>
      <c r="M54" s="63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129"/>
    </row>
    <row r="55" spans="1:26">
      <c r="A55" s="134" t="str">
        <f>A15</f>
        <v>Snack Halves (Retail)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150"/>
      <c r="M55" s="63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129"/>
    </row>
    <row r="56" spans="1:26">
      <c r="A56" s="131" t="s">
        <v>358</v>
      </c>
      <c r="B56" s="60"/>
      <c r="C56" s="73">
        <f>C15</f>
        <v>39174.989039999986</v>
      </c>
      <c r="D56" s="73">
        <f t="shared" ref="D56:L56" si="10">D15</f>
        <v>39566.738930399988</v>
      </c>
      <c r="E56" s="73">
        <f t="shared" si="10"/>
        <v>39962.406319703987</v>
      </c>
      <c r="F56" s="73">
        <f t="shared" si="10"/>
        <v>40362.03038290103</v>
      </c>
      <c r="G56" s="73">
        <f t="shared" si="10"/>
        <v>40765.650686730041</v>
      </c>
      <c r="H56" s="73">
        <f t="shared" si="10"/>
        <v>41173.307193597342</v>
      </c>
      <c r="I56" s="73">
        <f t="shared" si="10"/>
        <v>41585.040265533316</v>
      </c>
      <c r="J56" s="73">
        <f t="shared" si="10"/>
        <v>42000.890668188651</v>
      </c>
      <c r="K56" s="73">
        <f t="shared" si="10"/>
        <v>42420.899574870535</v>
      </c>
      <c r="L56" s="132">
        <f t="shared" si="10"/>
        <v>42845.108570619239</v>
      </c>
      <c r="M56" s="63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129"/>
    </row>
    <row r="57" spans="1:26">
      <c r="A57" s="131" t="s">
        <v>102</v>
      </c>
      <c r="B57" s="60"/>
      <c r="C57" s="61">
        <f>'Input Value'!$G$67</f>
        <v>13.29</v>
      </c>
      <c r="D57" s="61">
        <f>'Input Value'!$G$67</f>
        <v>13.29</v>
      </c>
      <c r="E57" s="61">
        <f>'Input Value'!$G$67</f>
        <v>13.29</v>
      </c>
      <c r="F57" s="61">
        <f>'Input Value'!$G$67</f>
        <v>13.29</v>
      </c>
      <c r="G57" s="61">
        <f>'Input Value'!$G$67</f>
        <v>13.29</v>
      </c>
      <c r="H57" s="61">
        <f>'Input Value'!$G$67</f>
        <v>13.29</v>
      </c>
      <c r="I57" s="61">
        <f>'Input Value'!$G$67</f>
        <v>13.29</v>
      </c>
      <c r="J57" s="61">
        <f>'Input Value'!$G$67</f>
        <v>13.29</v>
      </c>
      <c r="K57" s="61">
        <f>'Input Value'!$G$67</f>
        <v>13.29</v>
      </c>
      <c r="L57" s="149">
        <f>'Input Value'!$G$67</f>
        <v>13.29</v>
      </c>
      <c r="M57" s="63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129"/>
    </row>
    <row r="58" spans="1:26">
      <c r="A58" s="131" t="s">
        <v>131</v>
      </c>
      <c r="B58" s="60"/>
      <c r="C58" s="60">
        <f t="shared" ref="C58:L58" si="11">C56*C57</f>
        <v>520635.6043415998</v>
      </c>
      <c r="D58" s="60">
        <f t="shared" si="11"/>
        <v>525841.96038501582</v>
      </c>
      <c r="E58" s="60">
        <f t="shared" si="11"/>
        <v>531100.37998886593</v>
      </c>
      <c r="F58" s="60">
        <f t="shared" si="11"/>
        <v>536411.3837887547</v>
      </c>
      <c r="G58" s="60">
        <f t="shared" si="11"/>
        <v>541775.49762664223</v>
      </c>
      <c r="H58" s="60">
        <f t="shared" si="11"/>
        <v>547193.25260290864</v>
      </c>
      <c r="I58" s="60">
        <f t="shared" si="11"/>
        <v>552665.18512893771</v>
      </c>
      <c r="J58" s="60">
        <f t="shared" si="11"/>
        <v>558191.83698022715</v>
      </c>
      <c r="K58" s="60">
        <f t="shared" si="11"/>
        <v>563773.75535002933</v>
      </c>
      <c r="L58" s="150">
        <f t="shared" si="11"/>
        <v>569411.49290352967</v>
      </c>
      <c r="M58" s="63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129"/>
    </row>
    <row r="59" spans="1:26">
      <c r="A59" s="131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129"/>
      <c r="M59" s="63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129"/>
    </row>
    <row r="60" spans="1:26">
      <c r="A60" s="134" t="str">
        <f>A16</f>
        <v>Cracked Shells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129"/>
      <c r="M60" s="63"/>
      <c r="N60" s="62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129"/>
    </row>
    <row r="61" spans="1:26">
      <c r="A61" s="131" t="s">
        <v>358</v>
      </c>
      <c r="B61" s="73"/>
      <c r="C61" s="73">
        <f>'Market Projection'!C16</f>
        <v>5865.7737600000019</v>
      </c>
      <c r="D61" s="73">
        <f>'Market Projection'!D16</f>
        <v>5924.4314976000023</v>
      </c>
      <c r="E61" s="73">
        <f>'Market Projection'!E16</f>
        <v>5983.6758125760025</v>
      </c>
      <c r="F61" s="73">
        <f>'Market Projection'!F16</f>
        <v>6043.5125707017623</v>
      </c>
      <c r="G61" s="73">
        <f>'Market Projection'!G16</f>
        <v>6103.9476964087798</v>
      </c>
      <c r="H61" s="73">
        <f>'Market Projection'!H16</f>
        <v>6164.9871733728678</v>
      </c>
      <c r="I61" s="73">
        <f>'Market Projection'!I16</f>
        <v>6226.6370451065968</v>
      </c>
      <c r="J61" s="73">
        <f>'Market Projection'!J16</f>
        <v>6288.9034155576628</v>
      </c>
      <c r="K61" s="73">
        <f>'Market Projection'!K16</f>
        <v>6351.7924497132399</v>
      </c>
      <c r="L61" s="132">
        <f>'Market Projection'!L16</f>
        <v>6415.3103742103722</v>
      </c>
      <c r="M61" s="63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129"/>
    </row>
    <row r="62" spans="1:26">
      <c r="A62" s="131" t="s">
        <v>102</v>
      </c>
      <c r="B62" s="136"/>
      <c r="C62" s="136">
        <f>'Input Value'!$G$72</f>
        <v>3.21</v>
      </c>
      <c r="D62" s="136">
        <f>'Input Value'!$G$72</f>
        <v>3.21</v>
      </c>
      <c r="E62" s="136">
        <f>'Input Value'!$G$72</f>
        <v>3.21</v>
      </c>
      <c r="F62" s="136">
        <f>'Input Value'!$G$72</f>
        <v>3.21</v>
      </c>
      <c r="G62" s="136">
        <f>'Input Value'!$G$72</f>
        <v>3.21</v>
      </c>
      <c r="H62" s="136">
        <f>'Input Value'!$G$72</f>
        <v>3.21</v>
      </c>
      <c r="I62" s="136">
        <f>'Input Value'!$G$72</f>
        <v>3.21</v>
      </c>
      <c r="J62" s="136">
        <f>'Input Value'!$G$72</f>
        <v>3.21</v>
      </c>
      <c r="K62" s="136">
        <f>'Input Value'!$G$72</f>
        <v>3.21</v>
      </c>
      <c r="L62" s="151">
        <f>'Input Value'!$G$72</f>
        <v>3.21</v>
      </c>
      <c r="M62" s="63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129"/>
    </row>
    <row r="63" spans="1:26">
      <c r="A63" s="131" t="s">
        <v>131</v>
      </c>
      <c r="B63" s="60"/>
      <c r="C63" s="60">
        <f t="shared" ref="C63:L63" si="12">C61*C62</f>
        <v>18829.133769600005</v>
      </c>
      <c r="D63" s="60">
        <f t="shared" si="12"/>
        <v>19017.425107296007</v>
      </c>
      <c r="E63" s="60">
        <f t="shared" si="12"/>
        <v>19207.599358368967</v>
      </c>
      <c r="F63" s="60">
        <f t="shared" si="12"/>
        <v>19399.675351952657</v>
      </c>
      <c r="G63" s="60">
        <f t="shared" si="12"/>
        <v>19593.672105472182</v>
      </c>
      <c r="H63" s="60">
        <f t="shared" si="12"/>
        <v>19789.608826526906</v>
      </c>
      <c r="I63" s="60">
        <f t="shared" si="12"/>
        <v>19987.504914792175</v>
      </c>
      <c r="J63" s="60">
        <f t="shared" si="12"/>
        <v>20187.379963940097</v>
      </c>
      <c r="K63" s="60">
        <f t="shared" si="12"/>
        <v>20389.253763579502</v>
      </c>
      <c r="L63" s="150">
        <f t="shared" si="12"/>
        <v>20593.146301215296</v>
      </c>
      <c r="M63" s="63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129"/>
    </row>
    <row r="64" spans="1:26">
      <c r="A64" s="131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129"/>
      <c r="M64" s="63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129"/>
    </row>
    <row r="65" spans="1:26">
      <c r="A65" s="134" t="str">
        <f>A17</f>
        <v>Pecan Meal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129"/>
      <c r="M65" s="63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129"/>
    </row>
    <row r="66" spans="1:26">
      <c r="A66" s="131" t="s">
        <v>358</v>
      </c>
      <c r="B66" s="73"/>
      <c r="C66" s="73">
        <f>'Market Projection'!C17</f>
        <v>34566.166799999999</v>
      </c>
      <c r="D66" s="73">
        <f>'Market Projection'!D17</f>
        <v>34911.828468</v>
      </c>
      <c r="E66" s="73">
        <f>'Market Projection'!E17</f>
        <v>35260.94675268</v>
      </c>
      <c r="F66" s="73">
        <f>'Market Projection'!F17</f>
        <v>35613.556220206803</v>
      </c>
      <c r="G66" s="73">
        <f>'Market Projection'!G17</f>
        <v>35969.691782408874</v>
      </c>
      <c r="H66" s="73">
        <f>'Market Projection'!H17</f>
        <v>36329.388700232965</v>
      </c>
      <c r="I66" s="73">
        <f>'Market Projection'!I17</f>
        <v>36692.682587235293</v>
      </c>
      <c r="J66" s="73">
        <f>'Market Projection'!J17</f>
        <v>37059.609413107646</v>
      </c>
      <c r="K66" s="73">
        <f>'Market Projection'!K17</f>
        <v>37430.205507238723</v>
      </c>
      <c r="L66" s="132">
        <f>'Market Projection'!L17</f>
        <v>37804.507562311112</v>
      </c>
      <c r="M66" s="63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129"/>
    </row>
    <row r="67" spans="1:26">
      <c r="A67" s="131" t="s">
        <v>102</v>
      </c>
      <c r="B67" s="136"/>
      <c r="C67" s="62">
        <f>'Input Value'!$G$78</f>
        <v>13.51</v>
      </c>
      <c r="D67" s="62">
        <f>'Input Value'!$G$78</f>
        <v>13.51</v>
      </c>
      <c r="E67" s="62">
        <f>'Input Value'!$G$78</f>
        <v>13.51</v>
      </c>
      <c r="F67" s="62">
        <f>'Input Value'!$G$78</f>
        <v>13.51</v>
      </c>
      <c r="G67" s="62">
        <f>'Input Value'!$G$78</f>
        <v>13.51</v>
      </c>
      <c r="H67" s="62">
        <f>'Input Value'!$G$78</f>
        <v>13.51</v>
      </c>
      <c r="I67" s="62">
        <f>'Input Value'!$G$78</f>
        <v>13.51</v>
      </c>
      <c r="J67" s="62">
        <f>'Input Value'!$G$78</f>
        <v>13.51</v>
      </c>
      <c r="K67" s="62">
        <f>'Input Value'!$G$78</f>
        <v>13.51</v>
      </c>
      <c r="L67" s="152">
        <f>'Input Value'!$G$78</f>
        <v>13.51</v>
      </c>
      <c r="M67" s="63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129"/>
    </row>
    <row r="68" spans="1:26">
      <c r="A68" s="131" t="s">
        <v>131</v>
      </c>
      <c r="B68" s="60"/>
      <c r="C68" s="60">
        <f t="shared" ref="C68:L68" si="13">C66*C67</f>
        <v>466988.91346799996</v>
      </c>
      <c r="D68" s="60">
        <f t="shared" si="13"/>
        <v>471658.80260267999</v>
      </c>
      <c r="E68" s="60">
        <f t="shared" si="13"/>
        <v>476375.39062870678</v>
      </c>
      <c r="F68" s="60">
        <f t="shared" si="13"/>
        <v>481139.14453499392</v>
      </c>
      <c r="G68" s="60">
        <f t="shared" si="13"/>
        <v>485950.53598034388</v>
      </c>
      <c r="H68" s="60">
        <f t="shared" si="13"/>
        <v>490810.04134014732</v>
      </c>
      <c r="I68" s="60">
        <f t="shared" si="13"/>
        <v>495718.14175354881</v>
      </c>
      <c r="J68" s="60">
        <f t="shared" si="13"/>
        <v>500675.32317108428</v>
      </c>
      <c r="K68" s="60">
        <f t="shared" si="13"/>
        <v>505682.07640279515</v>
      </c>
      <c r="L68" s="150">
        <f t="shared" si="13"/>
        <v>510738.8971668231</v>
      </c>
      <c r="M68" s="63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129"/>
    </row>
    <row r="69" spans="1:26">
      <c r="A69" s="134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150"/>
      <c r="M69" s="63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129"/>
    </row>
    <row r="70" spans="1:26" ht="14.4" thickBot="1">
      <c r="A70" s="366" t="s">
        <v>444</v>
      </c>
      <c r="B70" s="141"/>
      <c r="C70" s="141">
        <f>C53+C58+C63+C68</f>
        <v>1523563.5069072</v>
      </c>
      <c r="D70" s="141">
        <f t="shared" ref="D70:L70" si="14">D53+D58+D63+D68</f>
        <v>1538799.141976272</v>
      </c>
      <c r="E70" s="141">
        <f t="shared" si="14"/>
        <v>1554187.1333960346</v>
      </c>
      <c r="F70" s="141">
        <f t="shared" si="14"/>
        <v>1569729.004729995</v>
      </c>
      <c r="G70" s="141">
        <f t="shared" si="14"/>
        <v>1585426.2947772951</v>
      </c>
      <c r="H70" s="141">
        <f t="shared" si="14"/>
        <v>1601280.5577250679</v>
      </c>
      <c r="I70" s="141">
        <f t="shared" si="14"/>
        <v>1617293.3633023188</v>
      </c>
      <c r="J70" s="141">
        <f t="shared" si="14"/>
        <v>1633466.2969353418</v>
      </c>
      <c r="K70" s="141">
        <f t="shared" si="14"/>
        <v>1649800.9599046954</v>
      </c>
      <c r="L70" s="153">
        <f t="shared" si="14"/>
        <v>1666298.9695037422</v>
      </c>
      <c r="M70" s="63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129"/>
    </row>
    <row r="71" spans="1:26">
      <c r="A71" s="134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3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129"/>
    </row>
    <row r="72" spans="1:26" ht="14.4" thickBot="1">
      <c r="A72" s="134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3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129"/>
    </row>
    <row r="73" spans="1:26">
      <c r="A73" s="343" t="s">
        <v>359</v>
      </c>
      <c r="B73" s="360"/>
      <c r="C73" s="356" t="s">
        <v>0</v>
      </c>
      <c r="D73" s="356" t="s">
        <v>1</v>
      </c>
      <c r="E73" s="356" t="s">
        <v>2</v>
      </c>
      <c r="F73" s="356" t="s">
        <v>3</v>
      </c>
      <c r="G73" s="356" t="s">
        <v>4</v>
      </c>
      <c r="H73" s="356" t="s">
        <v>5</v>
      </c>
      <c r="I73" s="356" t="s">
        <v>6</v>
      </c>
      <c r="J73" s="356" t="s">
        <v>7</v>
      </c>
      <c r="K73" s="356" t="s">
        <v>8</v>
      </c>
      <c r="L73" s="357" t="s">
        <v>9</v>
      </c>
      <c r="M73" s="63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129"/>
    </row>
    <row r="74" spans="1:26">
      <c r="A74" s="131" t="str">
        <f>A8</f>
        <v>Snack Halves (Wholesale)</v>
      </c>
      <c r="B74" s="60"/>
      <c r="C74" s="60">
        <f>C29+C53</f>
        <v>708445.60202240013</v>
      </c>
      <c r="D74" s="60">
        <f t="shared" ref="D74:L74" si="15">D29+D53</f>
        <v>715530.05804262403</v>
      </c>
      <c r="E74" s="60">
        <f t="shared" si="15"/>
        <v>722685.35862305039</v>
      </c>
      <c r="F74" s="60">
        <f t="shared" si="15"/>
        <v>729912.21220928093</v>
      </c>
      <c r="G74" s="60">
        <f t="shared" si="15"/>
        <v>737211.33433137368</v>
      </c>
      <c r="H74" s="60">
        <f t="shared" si="15"/>
        <v>744583.44767468749</v>
      </c>
      <c r="I74" s="60">
        <f t="shared" si="15"/>
        <v>752029.28215143434</v>
      </c>
      <c r="J74" s="60">
        <f t="shared" si="15"/>
        <v>759549.57497294876</v>
      </c>
      <c r="K74" s="60">
        <f t="shared" si="15"/>
        <v>767145.07072267809</v>
      </c>
      <c r="L74" s="150">
        <f t="shared" si="15"/>
        <v>774816.52142990485</v>
      </c>
      <c r="M74" s="63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129"/>
    </row>
    <row r="75" spans="1:26">
      <c r="A75" s="131" t="str">
        <f>A9</f>
        <v>Snack Halves (retail)</v>
      </c>
      <c r="B75" s="60"/>
      <c r="C75" s="60">
        <f>C34+C58</f>
        <v>678171.82121039974</v>
      </c>
      <c r="D75" s="60">
        <f t="shared" ref="D75:L75" si="16">D34+D58</f>
        <v>684953.53942250379</v>
      </c>
      <c r="E75" s="60">
        <f t="shared" si="16"/>
        <v>691803.07481672883</v>
      </c>
      <c r="F75" s="60">
        <f t="shared" si="16"/>
        <v>698721.10556489625</v>
      </c>
      <c r="G75" s="60">
        <f t="shared" si="16"/>
        <v>705708.31662054523</v>
      </c>
      <c r="H75" s="60">
        <f t="shared" si="16"/>
        <v>712765.39978675055</v>
      </c>
      <c r="I75" s="60">
        <f t="shared" si="16"/>
        <v>719893.05378461815</v>
      </c>
      <c r="J75" s="60">
        <f t="shared" si="16"/>
        <v>727091.98432246433</v>
      </c>
      <c r="K75" s="60">
        <f t="shared" si="16"/>
        <v>734362.9041656889</v>
      </c>
      <c r="L75" s="150">
        <f t="shared" si="16"/>
        <v>741706.53320734575</v>
      </c>
      <c r="M75" s="63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129"/>
    </row>
    <row r="76" spans="1:26">
      <c r="A76" s="131" t="s">
        <v>321</v>
      </c>
      <c r="B76" s="60"/>
      <c r="C76" s="60">
        <f>C39+C63</f>
        <v>22299.406219200006</v>
      </c>
      <c r="D76" s="60">
        <f t="shared" ref="D76:L76" si="17">D39+D63</f>
        <v>22522.400281392005</v>
      </c>
      <c r="E76" s="60">
        <f t="shared" si="17"/>
        <v>22747.624284205926</v>
      </c>
      <c r="F76" s="60">
        <f t="shared" si="17"/>
        <v>22975.100527047987</v>
      </c>
      <c r="G76" s="60">
        <f t="shared" si="17"/>
        <v>23204.851532318466</v>
      </c>
      <c r="H76" s="60">
        <f t="shared" si="17"/>
        <v>23436.900047641651</v>
      </c>
      <c r="I76" s="60">
        <f t="shared" si="17"/>
        <v>23671.269048118069</v>
      </c>
      <c r="J76" s="60">
        <f t="shared" si="17"/>
        <v>23907.98173859925</v>
      </c>
      <c r="K76" s="60">
        <f t="shared" si="17"/>
        <v>24147.061555985245</v>
      </c>
      <c r="L76" s="150">
        <f t="shared" si="17"/>
        <v>24388.532171545099</v>
      </c>
      <c r="M76" s="63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129"/>
    </row>
    <row r="77" spans="1:26">
      <c r="A77" s="131" t="s">
        <v>393</v>
      </c>
      <c r="B77" s="60"/>
      <c r="C77" s="60">
        <f>C44+C68</f>
        <v>606404.234436</v>
      </c>
      <c r="D77" s="60">
        <f t="shared" ref="D77:L77" si="18">D44+D68</f>
        <v>612468.27678036003</v>
      </c>
      <c r="E77" s="60">
        <f t="shared" si="18"/>
        <v>618592.95954816358</v>
      </c>
      <c r="F77" s="60">
        <f t="shared" si="18"/>
        <v>624778.8891436453</v>
      </c>
      <c r="G77" s="60">
        <f t="shared" si="18"/>
        <v>631026.67803508171</v>
      </c>
      <c r="H77" s="60">
        <f t="shared" si="18"/>
        <v>637336.94481543254</v>
      </c>
      <c r="I77" s="60">
        <f t="shared" si="18"/>
        <v>643710.31426358689</v>
      </c>
      <c r="J77" s="60">
        <f t="shared" si="18"/>
        <v>650147.41740622278</v>
      </c>
      <c r="K77" s="60">
        <f t="shared" si="18"/>
        <v>656648.89158028504</v>
      </c>
      <c r="L77" s="150">
        <f t="shared" si="18"/>
        <v>663215.38049608783</v>
      </c>
      <c r="M77" s="63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129"/>
    </row>
    <row r="78" spans="1:26">
      <c r="A78" s="131"/>
      <c r="B78" s="47"/>
      <c r="C78" s="60">
        <f>SUM(C74:C77)</f>
        <v>2015321.0638879999</v>
      </c>
      <c r="D78" s="60">
        <f t="shared" ref="D78:L78" si="19">SUM(D74:D77)</f>
        <v>2035474.2745268797</v>
      </c>
      <c r="E78" s="60">
        <f t="shared" si="19"/>
        <v>2055829.0172721487</v>
      </c>
      <c r="F78" s="60">
        <f t="shared" si="19"/>
        <v>2076387.3074448702</v>
      </c>
      <c r="G78" s="60">
        <f t="shared" si="19"/>
        <v>2097151.1805193191</v>
      </c>
      <c r="H78" s="60">
        <f t="shared" si="19"/>
        <v>2118122.6923245122</v>
      </c>
      <c r="I78" s="60">
        <f t="shared" si="19"/>
        <v>2139303.9192477576</v>
      </c>
      <c r="J78" s="60">
        <f t="shared" si="19"/>
        <v>2160696.9584402349</v>
      </c>
      <c r="K78" s="60">
        <f t="shared" si="19"/>
        <v>2182303.9280246375</v>
      </c>
      <c r="L78" s="150">
        <f t="shared" si="19"/>
        <v>2204126.9673048835</v>
      </c>
      <c r="M78" s="63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129"/>
    </row>
    <row r="79" spans="1:26" ht="14.4" thickBot="1">
      <c r="A79" s="366" t="s">
        <v>445</v>
      </c>
      <c r="B79" s="140"/>
      <c r="C79" s="141">
        <f>C46+C70</f>
        <v>2015321.0638879999</v>
      </c>
      <c r="D79" s="141">
        <f t="shared" ref="D79:L79" si="20">D46+D70</f>
        <v>2035474.2745268801</v>
      </c>
      <c r="E79" s="141">
        <f t="shared" si="20"/>
        <v>2055829.0172721487</v>
      </c>
      <c r="F79" s="141">
        <f t="shared" si="20"/>
        <v>2076387.3074448702</v>
      </c>
      <c r="G79" s="141">
        <f t="shared" si="20"/>
        <v>2097151.1805193191</v>
      </c>
      <c r="H79" s="141">
        <f t="shared" si="20"/>
        <v>2118122.6923245122</v>
      </c>
      <c r="I79" s="141">
        <f t="shared" si="20"/>
        <v>2139303.9192477576</v>
      </c>
      <c r="J79" s="141">
        <f t="shared" si="20"/>
        <v>2160696.9584402349</v>
      </c>
      <c r="K79" s="141">
        <f t="shared" si="20"/>
        <v>2182303.9280246375</v>
      </c>
      <c r="L79" s="153">
        <f t="shared" si="20"/>
        <v>2204126.9673048835</v>
      </c>
      <c r="M79" s="63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129"/>
    </row>
    <row r="80" spans="1:26">
      <c r="A80" s="134"/>
      <c r="B80" s="47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3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129"/>
    </row>
    <row r="81" spans="1:26">
      <c r="A81" s="134"/>
      <c r="B81" s="47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3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129"/>
    </row>
    <row r="82" spans="1:26" ht="14.4" thickBot="1">
      <c r="A82" s="134" t="s">
        <v>243</v>
      </c>
      <c r="B82" s="47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3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129"/>
    </row>
    <row r="83" spans="1:26">
      <c r="A83" s="343" t="s">
        <v>434</v>
      </c>
      <c r="B83" s="361"/>
      <c r="C83" s="362" t="s">
        <v>0</v>
      </c>
      <c r="D83" s="362" t="s">
        <v>1</v>
      </c>
      <c r="E83" s="362" t="s">
        <v>2</v>
      </c>
      <c r="F83" s="362" t="s">
        <v>3</v>
      </c>
      <c r="G83" s="362" t="s">
        <v>4</v>
      </c>
      <c r="H83" s="362" t="s">
        <v>5</v>
      </c>
      <c r="I83" s="362" t="s">
        <v>6</v>
      </c>
      <c r="J83" s="362" t="s">
        <v>7</v>
      </c>
      <c r="K83" s="362" t="s">
        <v>8</v>
      </c>
      <c r="L83" s="363" t="s">
        <v>9</v>
      </c>
      <c r="M83" s="63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129"/>
    </row>
    <row r="84" spans="1:26">
      <c r="A84" s="131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129"/>
      <c r="M84" s="63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129"/>
    </row>
    <row r="85" spans="1:26">
      <c r="A85" s="131" t="str">
        <f>'Input Value'!G36</f>
        <v>Snack Halves (Wholesale)</v>
      </c>
      <c r="B85" s="47"/>
      <c r="C85" s="137">
        <f>+C27*'Input Value'!$G$119</f>
        <v>16535.204487296</v>
      </c>
      <c r="D85" s="137">
        <f>+D27*'Input Value'!$G$119</f>
        <v>16700.556532168961</v>
      </c>
      <c r="E85" s="137">
        <f>+E27*'Input Value'!$G$119</f>
        <v>16867.562097490649</v>
      </c>
      <c r="F85" s="137">
        <f>+F27*'Input Value'!$G$119</f>
        <v>17036.237718465556</v>
      </c>
      <c r="G85" s="137">
        <f>+G27*'Input Value'!$G$119</f>
        <v>17206.600095650214</v>
      </c>
      <c r="H85" s="137">
        <f>+H27*'Input Value'!$G$119</f>
        <v>17378.666096606717</v>
      </c>
      <c r="I85" s="137">
        <f>+I27*'Input Value'!$G$119</f>
        <v>17552.452757572784</v>
      </c>
      <c r="J85" s="137">
        <f>+J27*'Input Value'!$G$119</f>
        <v>17727.977285148514</v>
      </c>
      <c r="K85" s="137">
        <f>+K27*'Input Value'!$G$119</f>
        <v>17905.257057999999</v>
      </c>
      <c r="L85" s="154">
        <f>+L27*'Input Value'!$G$119</f>
        <v>18084.309628579998</v>
      </c>
      <c r="M85" s="63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129"/>
    </row>
    <row r="86" spans="1:26">
      <c r="A86" s="131" t="str">
        <f>A75</f>
        <v>Snack Halves (retail)</v>
      </c>
      <c r="B86" s="47"/>
      <c r="C86" s="137">
        <f>+C9*'Input Value'!$G$120</f>
        <v>12046.199211199999</v>
      </c>
      <c r="D86" s="137">
        <f>+D9*'Input Value'!$G$120</f>
        <v>12166.661203312</v>
      </c>
      <c r="E86" s="137">
        <f>+E9*'Input Value'!$G$120</f>
        <v>12288.327815345119</v>
      </c>
      <c r="F86" s="137">
        <f>+F9*'Input Value'!$G$120</f>
        <v>12411.21109349857</v>
      </c>
      <c r="G86" s="137">
        <f>+G9*'Input Value'!$G$120</f>
        <v>12535.323204433556</v>
      </c>
      <c r="H86" s="137">
        <f>+H9*'Input Value'!$G$120</f>
        <v>12660.676436477894</v>
      </c>
      <c r="I86" s="137">
        <f>+I9*'Input Value'!$G$120</f>
        <v>12787.283200842672</v>
      </c>
      <c r="J86" s="137">
        <f>+J9*'Input Value'!$G$120</f>
        <v>12915.156032851099</v>
      </c>
      <c r="K86" s="137">
        <f>+K9*'Input Value'!$G$120</f>
        <v>13044.30759317961</v>
      </c>
      <c r="L86" s="154">
        <f>+L9*'Input Value'!$G$120</f>
        <v>13174.750669111407</v>
      </c>
      <c r="M86" s="63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129"/>
    </row>
    <row r="87" spans="1:26">
      <c r="A87" s="131" t="str">
        <f>'Input Value'!G46</f>
        <v>Cracked Shells</v>
      </c>
      <c r="B87" s="73"/>
      <c r="C87" s="137">
        <f>+C37*'Input Value'!$G$123</f>
        <v>762.16264079999996</v>
      </c>
      <c r="D87" s="137">
        <f>+D37*'Input Value'!$G$123</f>
        <v>769.78426720799996</v>
      </c>
      <c r="E87" s="137">
        <f>+E37*'Input Value'!$G$123</f>
        <v>777.48210988007997</v>
      </c>
      <c r="F87" s="137">
        <f>+F37*'Input Value'!$G$123</f>
        <v>785.25693097888075</v>
      </c>
      <c r="G87" s="137">
        <f>+G37*'Input Value'!$G$123</f>
        <v>793.10950028866966</v>
      </c>
      <c r="H87" s="137">
        <f>+H37*'Input Value'!$G$123</f>
        <v>801.04059529155631</v>
      </c>
      <c r="I87" s="137">
        <f>+I37*'Input Value'!$G$123</f>
        <v>809.05100124447199</v>
      </c>
      <c r="J87" s="137">
        <f>+J37*'Input Value'!$G$123</f>
        <v>817.14151125691671</v>
      </c>
      <c r="K87" s="137">
        <f>+K37*'Input Value'!$G$123</f>
        <v>825.31292636948581</v>
      </c>
      <c r="L87" s="154">
        <f>+L37*'Input Value'!$G$123</f>
        <v>833.56605563318067</v>
      </c>
      <c r="M87" s="63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129"/>
    </row>
    <row r="88" spans="1:26">
      <c r="A88" s="131" t="str">
        <f>'Input Value'!G52</f>
        <v>Pecan Meal</v>
      </c>
      <c r="B88" s="73"/>
      <c r="C88" s="137">
        <f>C42*('Input Value'!$G$124)</f>
        <v>10618.23762648</v>
      </c>
      <c r="D88" s="137">
        <f>D42*('Input Value'!$G$124)</f>
        <v>10724.420002744801</v>
      </c>
      <c r="E88" s="137">
        <f>E42*('Input Value'!$G$124)</f>
        <v>10831.664202772248</v>
      </c>
      <c r="F88" s="137">
        <f>F42*('Input Value'!$G$124)</f>
        <v>10939.980844799971</v>
      </c>
      <c r="G88" s="137">
        <f>G42*('Input Value'!$G$124)</f>
        <v>11049.38065324797</v>
      </c>
      <c r="H88" s="137">
        <f>H42*('Input Value'!$G$124)</f>
        <v>11159.874459780449</v>
      </c>
      <c r="I88" s="137">
        <f>I42*('Input Value'!$G$124)</f>
        <v>11271.473204378253</v>
      </c>
      <c r="J88" s="137">
        <f>J42*('Input Value'!$G$124)</f>
        <v>11384.187936422037</v>
      </c>
      <c r="K88" s="137">
        <f>K42*('Input Value'!$G$124)</f>
        <v>11498.029815786256</v>
      </c>
      <c r="L88" s="154">
        <f>L42*('Input Value'!$G$124)</f>
        <v>11613.010113944119</v>
      </c>
      <c r="M88" s="63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129"/>
    </row>
    <row r="89" spans="1:26">
      <c r="A89" s="131" t="s">
        <v>326</v>
      </c>
      <c r="B89" s="133"/>
      <c r="C89" s="137">
        <f>Q8*'Input Value'!$G$103</f>
        <v>281326.95799999998</v>
      </c>
      <c r="D89" s="137">
        <f>R8*'Input Value'!$G$103</f>
        <v>284140.22758000001</v>
      </c>
      <c r="E89" s="137">
        <f>S8*'Input Value'!$G$103</f>
        <v>286981.62985580001</v>
      </c>
      <c r="F89" s="137">
        <f>T8*'Input Value'!$G$103</f>
        <v>289851.44615435804</v>
      </c>
      <c r="G89" s="137">
        <f>U8*'Input Value'!$G$103</f>
        <v>292749.96061590163</v>
      </c>
      <c r="H89" s="137">
        <f>V8*'Input Value'!$G$103</f>
        <v>295677.46022206062</v>
      </c>
      <c r="I89" s="137">
        <f>W8*'Input Value'!$G$103</f>
        <v>298634.23482428124</v>
      </c>
      <c r="J89" s="137">
        <f>X8*'Input Value'!$G$103</f>
        <v>301620.57717252406</v>
      </c>
      <c r="K89" s="137">
        <f>Y8*'Input Value'!$G$103</f>
        <v>304636.78294424928</v>
      </c>
      <c r="L89" s="154">
        <f>Z8*'Input Value'!$G$103</f>
        <v>307683.15077369177</v>
      </c>
      <c r="M89" s="63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129"/>
    </row>
    <row r="90" spans="1:26">
      <c r="A90" s="134" t="s">
        <v>441</v>
      </c>
      <c r="B90" s="133"/>
      <c r="C90" s="137">
        <f>SUM(C85:C89)</f>
        <v>321288.76196577598</v>
      </c>
      <c r="D90" s="137">
        <f t="shared" ref="D90:L90" si="21">SUM(D85:D89)</f>
        <v>324501.64958543377</v>
      </c>
      <c r="E90" s="137">
        <f t="shared" si="21"/>
        <v>327746.66608128813</v>
      </c>
      <c r="F90" s="137">
        <f t="shared" si="21"/>
        <v>331024.13274210104</v>
      </c>
      <c r="G90" s="137">
        <f t="shared" si="21"/>
        <v>334334.37406952202</v>
      </c>
      <c r="H90" s="137">
        <f t="shared" si="21"/>
        <v>337677.71781021723</v>
      </c>
      <c r="I90" s="137">
        <f t="shared" si="21"/>
        <v>341054.49498831941</v>
      </c>
      <c r="J90" s="137">
        <f t="shared" si="21"/>
        <v>344465.03993820265</v>
      </c>
      <c r="K90" s="137">
        <f t="shared" si="21"/>
        <v>347909.69033758465</v>
      </c>
      <c r="L90" s="154">
        <f t="shared" si="21"/>
        <v>351388.78724096046</v>
      </c>
      <c r="M90" s="63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129"/>
    </row>
    <row r="91" spans="1:26">
      <c r="A91" s="134"/>
      <c r="B91" s="133"/>
      <c r="C91" s="137"/>
      <c r="D91" s="137"/>
      <c r="E91" s="137"/>
      <c r="F91" s="137"/>
      <c r="G91" s="137"/>
      <c r="H91" s="137"/>
      <c r="I91" s="137"/>
      <c r="J91" s="137"/>
      <c r="K91" s="137"/>
      <c r="L91" s="154"/>
      <c r="M91" s="63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29"/>
    </row>
    <row r="92" spans="1:26">
      <c r="A92" s="345" t="s">
        <v>440</v>
      </c>
      <c r="B92" s="99"/>
      <c r="C92" s="364" t="s">
        <v>0</v>
      </c>
      <c r="D92" s="364" t="s">
        <v>1</v>
      </c>
      <c r="E92" s="364" t="s">
        <v>2</v>
      </c>
      <c r="F92" s="364" t="s">
        <v>3</v>
      </c>
      <c r="G92" s="364" t="s">
        <v>4</v>
      </c>
      <c r="H92" s="364" t="s">
        <v>5</v>
      </c>
      <c r="I92" s="364" t="s">
        <v>6</v>
      </c>
      <c r="J92" s="364" t="s">
        <v>7</v>
      </c>
      <c r="K92" s="364" t="s">
        <v>8</v>
      </c>
      <c r="L92" s="365" t="s">
        <v>9</v>
      </c>
      <c r="M92" s="63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29"/>
    </row>
    <row r="93" spans="1:26">
      <c r="A93" s="131" t="str">
        <f>'Input Value'!G59</f>
        <v>Snack Halves (Wholesale)</v>
      </c>
      <c r="B93" s="133"/>
      <c r="C93" s="137">
        <f>+C51*'Input Value'!$G$121</f>
        <v>55386.718790153151</v>
      </c>
      <c r="D93" s="137">
        <f>+D51*'Input Value'!$G$121</f>
        <v>55940.585978054689</v>
      </c>
      <c r="E93" s="137">
        <f>+E51*'Input Value'!$G$121</f>
        <v>56499.99183783523</v>
      </c>
      <c r="F93" s="137">
        <f>+F51*'Input Value'!$G$121</f>
        <v>57064.991756213589</v>
      </c>
      <c r="G93" s="137">
        <f>+G51*'Input Value'!$G$121</f>
        <v>57635.641673775724</v>
      </c>
      <c r="H93" s="137">
        <f>+H51*'Input Value'!$G$121</f>
        <v>58211.998090513487</v>
      </c>
      <c r="I93" s="137">
        <f>+I51*'Input Value'!$G$121</f>
        <v>58794.118071418619</v>
      </c>
      <c r="J93" s="137">
        <f>+J51*'Input Value'!$G$121</f>
        <v>59382.059252132807</v>
      </c>
      <c r="K93" s="137">
        <f>+K51*'Input Value'!$G$121</f>
        <v>59975.879844654133</v>
      </c>
      <c r="L93" s="154">
        <f>+L51*'Input Value'!$G$121</f>
        <v>60575.638643100669</v>
      </c>
      <c r="M93" s="63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29"/>
    </row>
    <row r="94" spans="1:26">
      <c r="A94" s="131" t="str">
        <f>A75</f>
        <v>Snack Halves (retail)</v>
      </c>
      <c r="B94" s="133"/>
      <c r="C94" s="137">
        <f>+C15*'Input Value'!$G$122</f>
        <v>39958.488820799983</v>
      </c>
      <c r="D94" s="137">
        <f>+D15*'Input Value'!$G$122</f>
        <v>40358.073709007986</v>
      </c>
      <c r="E94" s="137">
        <f>+E15*'Input Value'!$G$122</f>
        <v>40761.654446098066</v>
      </c>
      <c r="F94" s="137">
        <f>+F15*'Input Value'!$G$122</f>
        <v>41169.270990559053</v>
      </c>
      <c r="G94" s="137">
        <f>+G15*'Input Value'!$G$122</f>
        <v>41580.963700464643</v>
      </c>
      <c r="H94" s="137">
        <f>+H15*'Input Value'!$G$122</f>
        <v>41996.773337469291</v>
      </c>
      <c r="I94" s="137">
        <f>+I15*'Input Value'!$G$122</f>
        <v>42416.741070843986</v>
      </c>
      <c r="J94" s="137">
        <f>+J15*'Input Value'!$G$122</f>
        <v>42840.908481552426</v>
      </c>
      <c r="K94" s="137">
        <f>+K15*'Input Value'!$G$122</f>
        <v>43269.317566367943</v>
      </c>
      <c r="L94" s="154">
        <f>+L15*'Input Value'!$G$122</f>
        <v>43702.010742031627</v>
      </c>
      <c r="M94" s="63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29"/>
    </row>
    <row r="95" spans="1:26">
      <c r="A95" s="131" t="str">
        <f>'Input Value'!G69</f>
        <v>Cracked Shells</v>
      </c>
      <c r="B95" s="133"/>
      <c r="C95" s="137">
        <f>+C61*'Input Value'!$G$123</f>
        <v>4135.3705008000015</v>
      </c>
      <c r="D95" s="137">
        <f>+D61*'Input Value'!$G$123</f>
        <v>4176.7242058080019</v>
      </c>
      <c r="E95" s="137">
        <f>+E61*'Input Value'!$G$123</f>
        <v>4218.4914478660821</v>
      </c>
      <c r="F95" s="137">
        <f>+F61*'Input Value'!$G$123</f>
        <v>4260.6763623447432</v>
      </c>
      <c r="G95" s="137">
        <f>+G61*'Input Value'!$G$123</f>
        <v>4303.2831259681898</v>
      </c>
      <c r="H95" s="137">
        <f>+H61*'Input Value'!$G$123</f>
        <v>4346.3159572278719</v>
      </c>
      <c r="I95" s="137">
        <f>+I61*'Input Value'!$G$123</f>
        <v>4389.7791168001513</v>
      </c>
      <c r="J95" s="137">
        <f>+J61*'Input Value'!$G$123</f>
        <v>4433.6769079681526</v>
      </c>
      <c r="K95" s="137">
        <f>+K61*'Input Value'!$G$123</f>
        <v>4478.0136770478348</v>
      </c>
      <c r="L95" s="154">
        <f>+L61*'Input Value'!$G$123</f>
        <v>4522.7938138183126</v>
      </c>
      <c r="M95" s="63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129"/>
    </row>
    <row r="96" spans="1:26">
      <c r="A96" s="131" t="str">
        <f>'Input Value'!G75</f>
        <v>Pecan Meal</v>
      </c>
      <c r="B96" s="133"/>
      <c r="C96" s="137">
        <f>C66*('Input Value'!$G$124)</f>
        <v>35567.104230051431</v>
      </c>
      <c r="D96" s="137">
        <f>D66*('Input Value'!$G$124)</f>
        <v>35922.775272351944</v>
      </c>
      <c r="E96" s="137">
        <f>E66*('Input Value'!$G$124)</f>
        <v>36282.003025075464</v>
      </c>
      <c r="F96" s="137">
        <f>F66*('Input Value'!$G$124)</f>
        <v>36644.823055326218</v>
      </c>
      <c r="G96" s="137">
        <f>G66*('Input Value'!$G$124)</f>
        <v>37011.271285879484</v>
      </c>
      <c r="H96" s="137">
        <f>H66*('Input Value'!$G$124)</f>
        <v>37381.383998738282</v>
      </c>
      <c r="I96" s="137">
        <f>I66*('Input Value'!$G$124)</f>
        <v>37755.197838725668</v>
      </c>
      <c r="J96" s="137">
        <f>J66*('Input Value'!$G$124)</f>
        <v>38132.749817112919</v>
      </c>
      <c r="K96" s="137">
        <f>K66*('Input Value'!$G$124)</f>
        <v>38514.077315284048</v>
      </c>
      <c r="L96" s="154">
        <f>L66*('Input Value'!$G$124)</f>
        <v>38899.218088436894</v>
      </c>
      <c r="M96" s="63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129"/>
    </row>
    <row r="97" spans="1:26">
      <c r="A97" s="131" t="s">
        <v>326</v>
      </c>
      <c r="B97" s="133"/>
      <c r="C97" s="137">
        <f>Q14*'Input Value'!$G$107</f>
        <v>759408.21000000008</v>
      </c>
      <c r="D97" s="137">
        <f>R14*'Input Value'!$G$107</f>
        <v>767002.29209999996</v>
      </c>
      <c r="E97" s="137">
        <f>S14*'Input Value'!$G$107</f>
        <v>774672.3150210001</v>
      </c>
      <c r="F97" s="137">
        <f>T14*'Input Value'!$G$107</f>
        <v>782419.03817121009</v>
      </c>
      <c r="G97" s="137">
        <f>U14*'Input Value'!$G$107</f>
        <v>790243.22855292226</v>
      </c>
      <c r="H97" s="137">
        <f>V14*'Input Value'!$G$107</f>
        <v>798145.66083845159</v>
      </c>
      <c r="I97" s="137">
        <f>W14*'Input Value'!$G$107</f>
        <v>806127.11744683608</v>
      </c>
      <c r="J97" s="137">
        <f>X14*'Input Value'!$G$107</f>
        <v>814188.38862130453</v>
      </c>
      <c r="K97" s="137">
        <f>Y14*'Input Value'!$G$107</f>
        <v>822330.27250751771</v>
      </c>
      <c r="L97" s="154">
        <f>Z14*'Input Value'!$G$107</f>
        <v>830553.57523259288</v>
      </c>
      <c r="M97" s="63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129"/>
    </row>
    <row r="98" spans="1:26">
      <c r="A98" s="134" t="s">
        <v>442</v>
      </c>
      <c r="B98" s="133"/>
      <c r="C98" s="137">
        <f>SUM(C93:C97)</f>
        <v>894455.89234180469</v>
      </c>
      <c r="D98" s="137">
        <f t="shared" ref="D98:L98" si="22">SUM(D93:D97)</f>
        <v>903400.45126522263</v>
      </c>
      <c r="E98" s="137">
        <f t="shared" si="22"/>
        <v>912434.45577787491</v>
      </c>
      <c r="F98" s="137">
        <f t="shared" si="22"/>
        <v>921558.80033565371</v>
      </c>
      <c r="G98" s="137">
        <f t="shared" si="22"/>
        <v>930774.3883390103</v>
      </c>
      <c r="H98" s="137">
        <f t="shared" si="22"/>
        <v>940082.13222240051</v>
      </c>
      <c r="I98" s="137">
        <f t="shared" si="22"/>
        <v>949482.9535446245</v>
      </c>
      <c r="J98" s="137">
        <f t="shared" si="22"/>
        <v>958977.78308007086</v>
      </c>
      <c r="K98" s="137">
        <f t="shared" si="22"/>
        <v>968567.56091087172</v>
      </c>
      <c r="L98" s="154">
        <f t="shared" si="22"/>
        <v>978253.23651998036</v>
      </c>
      <c r="M98" s="63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129"/>
    </row>
    <row r="99" spans="1:26">
      <c r="A99" s="131"/>
      <c r="B99" s="133"/>
      <c r="C99" s="137"/>
      <c r="D99" s="137"/>
      <c r="E99" s="137"/>
      <c r="F99" s="137"/>
      <c r="G99" s="137"/>
      <c r="H99" s="137"/>
      <c r="I99" s="137"/>
      <c r="J99" s="137"/>
      <c r="K99" s="137"/>
      <c r="L99" s="154"/>
      <c r="M99" s="63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129"/>
    </row>
    <row r="100" spans="1:26">
      <c r="A100" s="131"/>
      <c r="B100" s="133"/>
      <c r="C100" s="137"/>
      <c r="D100" s="137"/>
      <c r="E100" s="137"/>
      <c r="F100" s="137"/>
      <c r="G100" s="137"/>
      <c r="H100" s="137"/>
      <c r="I100" s="137"/>
      <c r="J100" s="137"/>
      <c r="K100" s="137"/>
      <c r="L100" s="154"/>
      <c r="M100" s="63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129"/>
    </row>
    <row r="101" spans="1:26" ht="14.4" thickBot="1">
      <c r="A101" s="366" t="s">
        <v>245</v>
      </c>
      <c r="B101" s="140"/>
      <c r="C101" s="155">
        <f>C90+C98</f>
        <v>1215744.6543075806</v>
      </c>
      <c r="D101" s="155">
        <f t="shared" ref="D101:L101" si="23">D90+D98</f>
        <v>1227902.1008506564</v>
      </c>
      <c r="E101" s="155">
        <f t="shared" si="23"/>
        <v>1240181.121859163</v>
      </c>
      <c r="F101" s="155">
        <f t="shared" si="23"/>
        <v>1252582.9330777547</v>
      </c>
      <c r="G101" s="155">
        <f t="shared" si="23"/>
        <v>1265108.7624085322</v>
      </c>
      <c r="H101" s="155">
        <f t="shared" si="23"/>
        <v>1277759.8500326178</v>
      </c>
      <c r="I101" s="155">
        <f t="shared" si="23"/>
        <v>1290537.4485329438</v>
      </c>
      <c r="J101" s="155">
        <f t="shared" si="23"/>
        <v>1303442.8230182736</v>
      </c>
      <c r="K101" s="155">
        <f t="shared" si="23"/>
        <v>1316477.2512484563</v>
      </c>
      <c r="L101" s="156">
        <f t="shared" si="23"/>
        <v>1329642.0237609409</v>
      </c>
      <c r="M101" s="63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129"/>
    </row>
    <row r="102" spans="1:26">
      <c r="A102" s="131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63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129"/>
    </row>
    <row r="103" spans="1:26" ht="14.4" thickBot="1">
      <c r="A103" s="134" t="s">
        <v>249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63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129"/>
    </row>
    <row r="104" spans="1:26">
      <c r="A104" s="343" t="s">
        <v>434</v>
      </c>
      <c r="B104" s="361"/>
      <c r="C104" s="362" t="s">
        <v>0</v>
      </c>
      <c r="D104" s="362" t="s">
        <v>1</v>
      </c>
      <c r="E104" s="362" t="s">
        <v>2</v>
      </c>
      <c r="F104" s="362" t="s">
        <v>3</v>
      </c>
      <c r="G104" s="362" t="s">
        <v>4</v>
      </c>
      <c r="H104" s="362" t="s">
        <v>5</v>
      </c>
      <c r="I104" s="362" t="s">
        <v>6</v>
      </c>
      <c r="J104" s="362" t="s">
        <v>7</v>
      </c>
      <c r="K104" s="362" t="s">
        <v>8</v>
      </c>
      <c r="L104" s="363" t="s">
        <v>9</v>
      </c>
      <c r="M104" s="63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129"/>
    </row>
    <row r="105" spans="1:26">
      <c r="A105" s="131" t="str">
        <f>'Input Value'!G36</f>
        <v>Snack Halves (Wholesale)</v>
      </c>
      <c r="B105" s="73"/>
      <c r="C105" s="138">
        <f t="shared" ref="C105:L105" si="24">C29-C85</f>
        <v>174800.54220710401</v>
      </c>
      <c r="D105" s="138">
        <f t="shared" si="24"/>
        <v>176548.54762917504</v>
      </c>
      <c r="E105" s="138">
        <f t="shared" si="24"/>
        <v>178314.03310546681</v>
      </c>
      <c r="F105" s="138">
        <f t="shared" si="24"/>
        <v>180097.17343652147</v>
      </c>
      <c r="G105" s="138">
        <f t="shared" si="24"/>
        <v>181898.14517088668</v>
      </c>
      <c r="H105" s="138">
        <f t="shared" si="24"/>
        <v>183717.12662259556</v>
      </c>
      <c r="I105" s="138">
        <f t="shared" si="24"/>
        <v>185554.29788882151</v>
      </c>
      <c r="J105" s="138">
        <f t="shared" si="24"/>
        <v>187409.84086770975</v>
      </c>
      <c r="K105" s="138">
        <f t="shared" si="24"/>
        <v>189283.93927638687</v>
      </c>
      <c r="L105" s="157">
        <f t="shared" si="24"/>
        <v>191176.77866915069</v>
      </c>
      <c r="M105" s="63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129"/>
    </row>
    <row r="106" spans="1:26">
      <c r="A106" s="131" t="str">
        <f>A86</f>
        <v>Snack Halves (retail)</v>
      </c>
      <c r="B106" s="73"/>
      <c r="C106" s="138">
        <f>C34-C86</f>
        <v>145490.01765759999</v>
      </c>
      <c r="D106" s="138">
        <f t="shared" ref="D106:L106" si="25">D34-D86</f>
        <v>146944.91783417601</v>
      </c>
      <c r="E106" s="138">
        <f t="shared" si="25"/>
        <v>148414.36701251776</v>
      </c>
      <c r="F106" s="138">
        <f t="shared" si="25"/>
        <v>149898.51068264293</v>
      </c>
      <c r="G106" s="138">
        <f t="shared" si="25"/>
        <v>151397.49578946939</v>
      </c>
      <c r="H106" s="138">
        <f t="shared" si="25"/>
        <v>152911.47074736407</v>
      </c>
      <c r="I106" s="138">
        <f t="shared" si="25"/>
        <v>154440.58545483771</v>
      </c>
      <c r="J106" s="138">
        <f t="shared" si="25"/>
        <v>155984.9913093861</v>
      </c>
      <c r="K106" s="138">
        <f t="shared" si="25"/>
        <v>157544.84122247997</v>
      </c>
      <c r="L106" s="157">
        <f t="shared" si="25"/>
        <v>159120.28963470474</v>
      </c>
      <c r="M106" s="63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129"/>
    </row>
    <row r="107" spans="1:26">
      <c r="A107" s="131" t="str">
        <f>'Input Value'!G46</f>
        <v>Cracked Shells</v>
      </c>
      <c r="B107" s="73"/>
      <c r="C107" s="138">
        <f t="shared" ref="C107:L107" si="26">C39-C87</f>
        <v>2708.109808799999</v>
      </c>
      <c r="D107" s="138">
        <f t="shared" si="26"/>
        <v>2735.1909068879995</v>
      </c>
      <c r="E107" s="138">
        <f t="shared" si="26"/>
        <v>2762.5428159568796</v>
      </c>
      <c r="F107" s="138">
        <f t="shared" si="26"/>
        <v>2790.1682441164485</v>
      </c>
      <c r="G107" s="138">
        <f t="shared" si="26"/>
        <v>2818.0699265576131</v>
      </c>
      <c r="H107" s="138">
        <f t="shared" si="26"/>
        <v>2846.2506258231892</v>
      </c>
      <c r="I107" s="138">
        <f t="shared" si="26"/>
        <v>2874.713132081421</v>
      </c>
      <c r="J107" s="138">
        <f t="shared" si="26"/>
        <v>2903.4602634022353</v>
      </c>
      <c r="K107" s="138">
        <f t="shared" si="26"/>
        <v>2932.4948660362579</v>
      </c>
      <c r="L107" s="157">
        <f t="shared" si="26"/>
        <v>2961.8198146966206</v>
      </c>
      <c r="M107" s="63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129"/>
    </row>
    <row r="108" spans="1:26">
      <c r="A108" s="131" t="str">
        <f>'Input Value'!G52</f>
        <v>Pecan Meal</v>
      </c>
      <c r="B108" s="133"/>
      <c r="C108" s="138">
        <f t="shared" ref="C108:L108" si="27">C44-C88</f>
        <v>128797.08334152002</v>
      </c>
      <c r="D108" s="138">
        <f t="shared" si="27"/>
        <v>130085.05417493521</v>
      </c>
      <c r="E108" s="138">
        <f t="shared" si="27"/>
        <v>131385.90471668454</v>
      </c>
      <c r="F108" s="138">
        <f t="shared" si="27"/>
        <v>132699.76376385137</v>
      </c>
      <c r="G108" s="138">
        <f t="shared" si="27"/>
        <v>134026.7614014899</v>
      </c>
      <c r="H108" s="138">
        <f t="shared" si="27"/>
        <v>135367.02901550478</v>
      </c>
      <c r="I108" s="138">
        <f t="shared" si="27"/>
        <v>136720.69930565986</v>
      </c>
      <c r="J108" s="138">
        <f t="shared" si="27"/>
        <v>138087.90629871644</v>
      </c>
      <c r="K108" s="138">
        <f t="shared" si="27"/>
        <v>139468.7853617036</v>
      </c>
      <c r="L108" s="157">
        <f t="shared" si="27"/>
        <v>140863.47321532064</v>
      </c>
      <c r="M108" s="63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129"/>
    </row>
    <row r="109" spans="1:26">
      <c r="A109" s="131" t="s">
        <v>52</v>
      </c>
      <c r="B109" s="133"/>
      <c r="C109" s="138">
        <f>SUM(C105:C108)</f>
        <v>451795.75301502401</v>
      </c>
      <c r="D109" s="138">
        <f t="shared" ref="D109:L109" si="28">SUM(D105:D108)</f>
        <v>456313.71054517425</v>
      </c>
      <c r="E109" s="138">
        <f t="shared" si="28"/>
        <v>460876.84765062598</v>
      </c>
      <c r="F109" s="138">
        <f t="shared" si="28"/>
        <v>465485.61612713221</v>
      </c>
      <c r="G109" s="138">
        <f t="shared" si="28"/>
        <v>470140.4722884036</v>
      </c>
      <c r="H109" s="138">
        <f t="shared" si="28"/>
        <v>474841.87701128761</v>
      </c>
      <c r="I109" s="138">
        <f t="shared" si="28"/>
        <v>479590.29578140052</v>
      </c>
      <c r="J109" s="138">
        <f t="shared" si="28"/>
        <v>484386.19873921451</v>
      </c>
      <c r="K109" s="138">
        <f t="shared" si="28"/>
        <v>489230.06072660669</v>
      </c>
      <c r="L109" s="157">
        <f t="shared" si="28"/>
        <v>494122.36133387266</v>
      </c>
      <c r="M109" s="63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129"/>
    </row>
    <row r="110" spans="1:26">
      <c r="A110" s="131" t="s">
        <v>446</v>
      </c>
      <c r="B110" s="133"/>
      <c r="C110" s="138">
        <f>C109-C89</f>
        <v>170468.79501502402</v>
      </c>
      <c r="D110" s="138">
        <f t="shared" ref="D110:L110" si="29">D109-D89</f>
        <v>172173.48296517425</v>
      </c>
      <c r="E110" s="138">
        <f t="shared" si="29"/>
        <v>173895.21779482596</v>
      </c>
      <c r="F110" s="138">
        <f t="shared" si="29"/>
        <v>175634.16997277417</v>
      </c>
      <c r="G110" s="138">
        <f t="shared" si="29"/>
        <v>177390.51167250198</v>
      </c>
      <c r="H110" s="138">
        <f t="shared" si="29"/>
        <v>179164.41678922699</v>
      </c>
      <c r="I110" s="138">
        <f t="shared" si="29"/>
        <v>180956.06095711928</v>
      </c>
      <c r="J110" s="138">
        <f t="shared" si="29"/>
        <v>182765.62156669045</v>
      </c>
      <c r="K110" s="138">
        <f t="shared" si="29"/>
        <v>184593.27778235741</v>
      </c>
      <c r="L110" s="157">
        <f t="shared" si="29"/>
        <v>186439.21056018089</v>
      </c>
      <c r="M110" s="63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129"/>
    </row>
    <row r="111" spans="1:26">
      <c r="A111" s="134"/>
      <c r="B111" s="133"/>
      <c r="C111" s="138"/>
      <c r="D111" s="138"/>
      <c r="E111" s="138"/>
      <c r="F111" s="138"/>
      <c r="G111" s="138"/>
      <c r="H111" s="138"/>
      <c r="I111" s="138"/>
      <c r="J111" s="138"/>
      <c r="K111" s="138"/>
      <c r="L111" s="157"/>
      <c r="M111" s="63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129"/>
    </row>
    <row r="112" spans="1:26">
      <c r="A112" s="345" t="s">
        <v>440</v>
      </c>
      <c r="B112" s="99"/>
      <c r="C112" s="364" t="s">
        <v>0</v>
      </c>
      <c r="D112" s="364" t="s">
        <v>1</v>
      </c>
      <c r="E112" s="364" t="s">
        <v>2</v>
      </c>
      <c r="F112" s="364" t="s">
        <v>3</v>
      </c>
      <c r="G112" s="364" t="s">
        <v>4</v>
      </c>
      <c r="H112" s="364" t="s">
        <v>5</v>
      </c>
      <c r="I112" s="364" t="s">
        <v>6</v>
      </c>
      <c r="J112" s="364" t="s">
        <v>7</v>
      </c>
      <c r="K112" s="364" t="s">
        <v>8</v>
      </c>
      <c r="L112" s="365" t="s">
        <v>9</v>
      </c>
      <c r="M112" s="63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129"/>
    </row>
    <row r="113" spans="1:26">
      <c r="A113" s="131" t="str">
        <f>'Input Value'!G59</f>
        <v>Snack Halves (Wholesale)</v>
      </c>
      <c r="B113" s="133"/>
      <c r="C113" s="138">
        <f t="shared" ref="C113:L113" si="30">C53-C93</f>
        <v>461723.13653784693</v>
      </c>
      <c r="D113" s="138">
        <f t="shared" si="30"/>
        <v>466340.36790322541</v>
      </c>
      <c r="E113" s="138">
        <f t="shared" si="30"/>
        <v>471003.77158225764</v>
      </c>
      <c r="F113" s="138">
        <f t="shared" si="30"/>
        <v>475713.80929808028</v>
      </c>
      <c r="G113" s="138">
        <f t="shared" si="30"/>
        <v>480470.94739106111</v>
      </c>
      <c r="H113" s="138">
        <f t="shared" si="30"/>
        <v>485275.65686497162</v>
      </c>
      <c r="I113" s="138">
        <f t="shared" si="30"/>
        <v>490128.4134336214</v>
      </c>
      <c r="J113" s="138">
        <f t="shared" si="30"/>
        <v>495029.69756795769</v>
      </c>
      <c r="K113" s="138">
        <f t="shared" si="30"/>
        <v>499979.99454363715</v>
      </c>
      <c r="L113" s="157">
        <f t="shared" si="30"/>
        <v>504979.79448907351</v>
      </c>
      <c r="M113" s="63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129"/>
    </row>
    <row r="114" spans="1:26">
      <c r="A114" s="131" t="str">
        <f>A106</f>
        <v>Snack Halves (retail)</v>
      </c>
      <c r="B114" s="133"/>
      <c r="C114" s="138">
        <f>C58-C94</f>
        <v>480677.11552079982</v>
      </c>
      <c r="D114" s="138">
        <f t="shared" ref="D114:L114" si="31">D58-D94</f>
        <v>485483.88667600782</v>
      </c>
      <c r="E114" s="138">
        <f t="shared" si="31"/>
        <v>490338.72554276785</v>
      </c>
      <c r="F114" s="138">
        <f t="shared" si="31"/>
        <v>495242.11279819562</v>
      </c>
      <c r="G114" s="138">
        <f t="shared" si="31"/>
        <v>500194.5339261776</v>
      </c>
      <c r="H114" s="138">
        <f t="shared" si="31"/>
        <v>505196.47926543932</v>
      </c>
      <c r="I114" s="138">
        <f t="shared" si="31"/>
        <v>510248.44405809371</v>
      </c>
      <c r="J114" s="138">
        <f t="shared" si="31"/>
        <v>515350.92849867471</v>
      </c>
      <c r="K114" s="138">
        <f t="shared" si="31"/>
        <v>520504.43778366141</v>
      </c>
      <c r="L114" s="157">
        <f t="shared" si="31"/>
        <v>525709.48216149805</v>
      </c>
      <c r="M114" s="63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129"/>
    </row>
    <row r="115" spans="1:26">
      <c r="A115" s="131" t="str">
        <f>'Input Value'!G69</f>
        <v>Cracked Shells</v>
      </c>
      <c r="B115" s="133"/>
      <c r="C115" s="138">
        <f t="shared" ref="C115:L115" si="32">C63-C95</f>
        <v>14693.763268800003</v>
      </c>
      <c r="D115" s="138">
        <f t="shared" si="32"/>
        <v>14840.700901488006</v>
      </c>
      <c r="E115" s="138">
        <f t="shared" si="32"/>
        <v>14989.107910502884</v>
      </c>
      <c r="F115" s="138">
        <f t="shared" si="32"/>
        <v>15138.998989607913</v>
      </c>
      <c r="G115" s="138">
        <f t="shared" si="32"/>
        <v>15290.388979503992</v>
      </c>
      <c r="H115" s="138">
        <f t="shared" si="32"/>
        <v>15443.292869299035</v>
      </c>
      <c r="I115" s="138">
        <f t="shared" si="32"/>
        <v>15597.725797992023</v>
      </c>
      <c r="J115" s="138">
        <f t="shared" si="32"/>
        <v>15753.703055971944</v>
      </c>
      <c r="K115" s="138">
        <f t="shared" si="32"/>
        <v>15911.240086531667</v>
      </c>
      <c r="L115" s="157">
        <f t="shared" si="32"/>
        <v>16070.352487396984</v>
      </c>
      <c r="M115" s="63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129"/>
    </row>
    <row r="116" spans="1:26">
      <c r="A116" s="131" t="str">
        <f>'Input Value'!G75</f>
        <v>Pecan Meal</v>
      </c>
      <c r="B116" s="133"/>
      <c r="C116" s="138">
        <f t="shared" ref="C116:L116" si="33">C68-C96</f>
        <v>431421.8092379485</v>
      </c>
      <c r="D116" s="138">
        <f t="shared" si="33"/>
        <v>435736.02733032807</v>
      </c>
      <c r="E116" s="138">
        <f t="shared" si="33"/>
        <v>440093.3876036313</v>
      </c>
      <c r="F116" s="138">
        <f t="shared" si="33"/>
        <v>444494.32147966768</v>
      </c>
      <c r="G116" s="138">
        <f t="shared" si="33"/>
        <v>448939.26469446439</v>
      </c>
      <c r="H116" s="138">
        <f t="shared" si="33"/>
        <v>453428.65734140901</v>
      </c>
      <c r="I116" s="138">
        <f t="shared" si="33"/>
        <v>457962.94391482312</v>
      </c>
      <c r="J116" s="138">
        <f t="shared" si="33"/>
        <v>462542.57335397135</v>
      </c>
      <c r="K116" s="138">
        <f t="shared" si="33"/>
        <v>467167.9990875111</v>
      </c>
      <c r="L116" s="157">
        <f t="shared" si="33"/>
        <v>471839.67907838622</v>
      </c>
      <c r="M116" s="63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129"/>
    </row>
    <row r="117" spans="1:26">
      <c r="A117" s="131" t="s">
        <v>52</v>
      </c>
      <c r="B117" s="133"/>
      <c r="C117" s="138">
        <f>SUM(C113:C116)</f>
        <v>1388515.8245653952</v>
      </c>
      <c r="D117" s="138">
        <f t="shared" ref="D117:L117" si="34">SUM(D113:D116)</f>
        <v>1402400.9828110493</v>
      </c>
      <c r="E117" s="138">
        <f t="shared" si="34"/>
        <v>1416424.9926391598</v>
      </c>
      <c r="F117" s="138">
        <f t="shared" si="34"/>
        <v>1430589.2425655515</v>
      </c>
      <c r="G117" s="138">
        <f t="shared" si="34"/>
        <v>1444895.1349912072</v>
      </c>
      <c r="H117" s="138">
        <f t="shared" si="34"/>
        <v>1459344.0863411189</v>
      </c>
      <c r="I117" s="138">
        <f t="shared" si="34"/>
        <v>1473937.5272045303</v>
      </c>
      <c r="J117" s="138">
        <f t="shared" si="34"/>
        <v>1488676.9024765757</v>
      </c>
      <c r="K117" s="138">
        <f t="shared" si="34"/>
        <v>1503563.6715013413</v>
      </c>
      <c r="L117" s="157">
        <f t="shared" si="34"/>
        <v>1518599.3082163548</v>
      </c>
      <c r="M117" s="63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129"/>
    </row>
    <row r="118" spans="1:26">
      <c r="A118" s="131" t="s">
        <v>447</v>
      </c>
      <c r="B118" s="133"/>
      <c r="C118" s="138">
        <f>C117-C97</f>
        <v>629107.61456539517</v>
      </c>
      <c r="D118" s="138">
        <f t="shared" ref="D118:L118" si="35">D117-D97</f>
        <v>635398.69071104936</v>
      </c>
      <c r="E118" s="138">
        <f t="shared" si="35"/>
        <v>641752.67761815968</v>
      </c>
      <c r="F118" s="138">
        <f t="shared" si="35"/>
        <v>648170.20439434145</v>
      </c>
      <c r="G118" s="138">
        <f t="shared" si="35"/>
        <v>654651.9064382849</v>
      </c>
      <c r="H118" s="138">
        <f t="shared" si="35"/>
        <v>661198.42550266732</v>
      </c>
      <c r="I118" s="138">
        <f t="shared" si="35"/>
        <v>667810.40975769423</v>
      </c>
      <c r="J118" s="138">
        <f t="shared" si="35"/>
        <v>674488.51385527116</v>
      </c>
      <c r="K118" s="138">
        <f t="shared" si="35"/>
        <v>681233.39899382356</v>
      </c>
      <c r="L118" s="157">
        <f t="shared" si="35"/>
        <v>688045.73298376193</v>
      </c>
      <c r="M118" s="63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129"/>
    </row>
    <row r="119" spans="1:26">
      <c r="A119" s="134"/>
      <c r="B119" s="47"/>
      <c r="C119" s="138"/>
      <c r="D119" s="138"/>
      <c r="E119" s="138"/>
      <c r="F119" s="138"/>
      <c r="G119" s="138"/>
      <c r="H119" s="138"/>
      <c r="I119" s="138"/>
      <c r="J119" s="138"/>
      <c r="K119" s="138"/>
      <c r="L119" s="157"/>
      <c r="M119" s="63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129"/>
    </row>
    <row r="120" spans="1:26">
      <c r="A120" s="134" t="s">
        <v>448</v>
      </c>
      <c r="B120" s="47"/>
      <c r="C120" s="139">
        <f>C110+C118</f>
        <v>799576.40958041919</v>
      </c>
      <c r="D120" s="139">
        <f t="shared" ref="D120:L120" si="36">D110+D118</f>
        <v>807572.17367622361</v>
      </c>
      <c r="E120" s="139">
        <f t="shared" si="36"/>
        <v>815647.8954129857</v>
      </c>
      <c r="F120" s="139">
        <f t="shared" si="36"/>
        <v>823804.37436711555</v>
      </c>
      <c r="G120" s="139">
        <f t="shared" si="36"/>
        <v>832042.41811078694</v>
      </c>
      <c r="H120" s="139">
        <f t="shared" si="36"/>
        <v>840362.84229189437</v>
      </c>
      <c r="I120" s="139">
        <f t="shared" si="36"/>
        <v>848766.47071481356</v>
      </c>
      <c r="J120" s="139">
        <f t="shared" si="36"/>
        <v>857254.13542196155</v>
      </c>
      <c r="K120" s="139">
        <f t="shared" si="36"/>
        <v>865826.67677618098</v>
      </c>
      <c r="L120" s="158">
        <f t="shared" si="36"/>
        <v>874484.94354394288</v>
      </c>
      <c r="M120" s="63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129"/>
    </row>
    <row r="121" spans="1:26">
      <c r="A121" s="131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129"/>
      <c r="M121" s="63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129"/>
    </row>
    <row r="122" spans="1:26" ht="14.4" thickBot="1">
      <c r="A122" s="366" t="s">
        <v>449</v>
      </c>
      <c r="B122" s="140"/>
      <c r="C122" s="141">
        <f>C79-C101</f>
        <v>799576.40958041931</v>
      </c>
      <c r="D122" s="141">
        <f t="shared" ref="D122:L122" si="37">D79-D101</f>
        <v>807572.17367622373</v>
      </c>
      <c r="E122" s="141">
        <f t="shared" si="37"/>
        <v>815647.8954129857</v>
      </c>
      <c r="F122" s="141">
        <f t="shared" si="37"/>
        <v>823804.37436711555</v>
      </c>
      <c r="G122" s="141">
        <f t="shared" si="37"/>
        <v>832042.41811078694</v>
      </c>
      <c r="H122" s="141">
        <f t="shared" si="37"/>
        <v>840362.84229189437</v>
      </c>
      <c r="I122" s="141">
        <f t="shared" si="37"/>
        <v>848766.4707148138</v>
      </c>
      <c r="J122" s="141">
        <f t="shared" si="37"/>
        <v>857254.13542196131</v>
      </c>
      <c r="K122" s="141">
        <f t="shared" si="37"/>
        <v>865826.67677618121</v>
      </c>
      <c r="L122" s="153">
        <f t="shared" si="37"/>
        <v>874484.94354394265</v>
      </c>
      <c r="M122" s="142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3"/>
    </row>
    <row r="123" spans="1:26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6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spans="1:2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6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spans="1:26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6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spans="1:26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6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spans="1:26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6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spans="1:26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6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spans="1:26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6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spans="1:26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6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spans="1:26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6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pans="1:26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6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pans="1:26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6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spans="1:26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6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spans="1:26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6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spans="1:26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6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spans="1:26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6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spans="1:26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6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spans="1:26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6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spans="1:26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6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spans="1:26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6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spans="1:26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6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spans="1:26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6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pans="1:26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6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pans="1:26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6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pans="1:26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6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pans="1:26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6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pans="1:26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6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pans="1:26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6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pans="1:26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6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pans="1:26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6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pans="1:26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6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pans="1:26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6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pans="1:26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6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pans="1:26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6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spans="1:26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6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spans="1:26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6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spans="1:26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6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spans="1:26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6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spans="1:26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6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spans="1:2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6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pans="1:2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6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spans="1:26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6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spans="1:26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6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spans="1:26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6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spans="1:26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6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spans="1:26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6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pans="1:26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6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pans="1:26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6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spans="1:26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6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spans="1:26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6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pans="1:26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6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pans="1:26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6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6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6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pans="1:26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6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pans="1:26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6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pans="1:26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6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pans="1:26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6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pans="1:26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6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pans="1:26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6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pans="1:26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6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pans="1:26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6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pans="1:26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6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spans="1:26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6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spans="1:2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6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spans="1:2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6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spans="1:2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6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spans="1:2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6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pans="1:26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6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spans="1:26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6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spans="1:26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6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spans="1:26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6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spans="1:26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6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spans="1:26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6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spans="1:26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6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spans="1:26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6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spans="1:26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6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spans="1:2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6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spans="1:26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6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spans="1:26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6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spans="1:26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6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spans="1:26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6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spans="1:26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6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</row>
    <row r="205" spans="1:26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6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</row>
    <row r="206" spans="1:26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6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</row>
    <row r="207" spans="1:26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6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</row>
    <row r="208" spans="1:26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6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</row>
    <row r="209" spans="1:26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6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</row>
    <row r="210" spans="1:26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6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</row>
    <row r="211" spans="1:26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6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</row>
    <row r="212" spans="1:26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6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</row>
    <row r="213" spans="1:26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6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spans="1:26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6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</row>
    <row r="215" spans="1:26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6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</row>
    <row r="216" spans="1:26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6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</row>
    <row r="217" spans="1:26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6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</row>
    <row r="218" spans="1:26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6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</row>
    <row r="219" spans="1:26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6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</row>
    <row r="220" spans="1:26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6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</row>
    <row r="221" spans="1:26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6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</row>
    <row r="222" spans="1:26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6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</row>
    <row r="223" spans="1:26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6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</row>
    <row r="224" spans="1:26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6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spans="1:26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6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</row>
    <row r="226" spans="1:26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6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</row>
    <row r="227" spans="1:26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6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</row>
    <row r="228" spans="1:26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6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</row>
    <row r="229" spans="1:26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6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</row>
    <row r="230" spans="1:26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6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spans="1:26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6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spans="1:26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6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spans="1:26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6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spans="1:26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6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spans="1:26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6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spans="1:26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6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</row>
    <row r="237" spans="1:26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6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</row>
    <row r="238" spans="1:26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6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</row>
    <row r="239" spans="1:26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6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</row>
    <row r="240" spans="1:26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6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</row>
    <row r="241" spans="1:26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6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</row>
    <row r="242" spans="1:26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6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</row>
    <row r="243" spans="1:26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6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</row>
    <row r="244" spans="1:26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6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</row>
    <row r="245" spans="1:26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6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spans="1:26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6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</row>
    <row r="247" spans="1:26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6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</row>
    <row r="248" spans="1:26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6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</row>
    <row r="249" spans="1:26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6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</row>
    <row r="250" spans="1:26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6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</row>
    <row r="251" spans="1:26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6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</row>
    <row r="252" spans="1:26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6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</row>
    <row r="253" spans="1:26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6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</row>
    <row r="254" spans="1:26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6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</row>
    <row r="255" spans="1:26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6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</row>
    <row r="256" spans="1:26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6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</row>
    <row r="257" spans="1:26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6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spans="1:26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6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spans="1:26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6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spans="1:26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6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spans="1:26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6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spans="1:26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6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spans="1:26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6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</row>
    <row r="264" spans="1:26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6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</row>
    <row r="265" spans="1:26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6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</row>
    <row r="266" spans="1:26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6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</row>
    <row r="267" spans="1:26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6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</row>
    <row r="268" spans="1:26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6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</row>
    <row r="269" spans="1:26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6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</row>
    <row r="270" spans="1:26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6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</row>
    <row r="271" spans="1:26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6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</row>
    <row r="272" spans="1:26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6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</row>
    <row r="273" spans="1:26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6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</row>
    <row r="274" spans="1:26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6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</row>
    <row r="275" spans="1:26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6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</row>
    <row r="276" spans="1:26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6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</row>
    <row r="277" spans="1:26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6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</row>
    <row r="278" spans="1:26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6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</row>
    <row r="279" spans="1:26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6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</row>
    <row r="280" spans="1:26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6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</row>
    <row r="281" spans="1:26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6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</row>
    <row r="282" spans="1:26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6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</row>
    <row r="283" spans="1:26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6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</row>
    <row r="284" spans="1:26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6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</row>
    <row r="285" spans="1:26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6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</row>
    <row r="286" spans="1:26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6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</row>
    <row r="287" spans="1:26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6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</row>
    <row r="288" spans="1:26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6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</row>
    <row r="289" spans="1:26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6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</row>
    <row r="290" spans="1:26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6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</row>
    <row r="291" spans="1:26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6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</row>
    <row r="292" spans="1:26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6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</row>
    <row r="293" spans="1:26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6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</row>
    <row r="294" spans="1:26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6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</row>
    <row r="295" spans="1:26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6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</row>
    <row r="296" spans="1:26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6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</row>
    <row r="297" spans="1:26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6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</row>
    <row r="298" spans="1:26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6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</row>
    <row r="299" spans="1:26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6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</row>
    <row r="300" spans="1:26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6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</row>
    <row r="301" spans="1:26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6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</row>
    <row r="302" spans="1:26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6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</row>
    <row r="303" spans="1:26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6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</row>
    <row r="304" spans="1:26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6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</row>
    <row r="305" spans="1:26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6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</row>
    <row r="306" spans="1:26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6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</row>
    <row r="307" spans="1:26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6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</row>
    <row r="308" spans="1:26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6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</row>
    <row r="309" spans="1:26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6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</row>
    <row r="310" spans="1:26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6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</row>
    <row r="311" spans="1:26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6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</row>
    <row r="312" spans="1:26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6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</row>
    <row r="313" spans="1:26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6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</row>
    <row r="314" spans="1:26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6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</row>
    <row r="315" spans="1:26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6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</row>
    <row r="316" spans="1:26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6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</row>
    <row r="317" spans="1:26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6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</row>
    <row r="318" spans="1:26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6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</row>
    <row r="319" spans="1:26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6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</row>
    <row r="320" spans="1:26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6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</row>
    <row r="321" spans="1:26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6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</row>
    <row r="322" spans="1:26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6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</row>
    <row r="323" spans="1:26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6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</row>
    <row r="324" spans="1:26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6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</row>
    <row r="325" spans="1:26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6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</row>
    <row r="326" spans="1:26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6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</row>
    <row r="327" spans="1:26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6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</row>
    <row r="328" spans="1:26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6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</row>
    <row r="329" spans="1:26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6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</row>
    <row r="330" spans="1:26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6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</row>
    <row r="331" spans="1:26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6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</row>
    <row r="332" spans="1:26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6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</row>
    <row r="333" spans="1:26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6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</row>
    <row r="334" spans="1:26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6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</row>
    <row r="335" spans="1:26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6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</row>
    <row r="336" spans="1:26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6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</row>
  </sheetData>
  <sheetProtection algorithmName="SHA-512" hashValue="GITWIVOezbbU2iwvoac2+2qSXfEewYtVl8BLf41xhUAuU5bzGx5jKtGom1/UGA+7QoLqAN9SfoEz8jsh4gupbA==" saltValue="Y0hKmSWeP4oiE8Pg25J04g==" spinCount="100000" sheet="1" objects="1" scenarios="1" formatColumns="0"/>
  <mergeCells count="4">
    <mergeCell ref="A1:C1"/>
    <mergeCell ref="A2:C2"/>
    <mergeCell ref="A3:C3"/>
    <mergeCell ref="A4:C4"/>
  </mergeCells>
  <phoneticPr fontId="0" type="noConversion"/>
  <hyperlinks>
    <hyperlink ref="A2:C2" location="'Input Value'!A1" display="BACK TO INPUTS" xr:uid="{00000000-0004-0000-0200-000000000000}"/>
    <hyperlink ref="A3:C3" location="'Return On Investment'!A1" display="FORWARD TO RETURN ON INVESTMENT" xr:uid="{00000000-0004-0000-0200-000001000000}"/>
    <hyperlink ref="A4:C4" location="'Operations Summary'!A1" display="FORWARD TO OPERATIONS SUMMARY" xr:uid="{00000000-0004-0000-0200-000002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showGridLines="0" workbookViewId="0">
      <selection activeCell="K28" sqref="K28"/>
    </sheetView>
  </sheetViews>
  <sheetFormatPr defaultColWidth="8.88671875" defaultRowHeight="13.2"/>
  <cols>
    <col min="1" max="1" width="23.33203125" bestFit="1" customWidth="1"/>
    <col min="2" max="3" width="13.44140625" bestFit="1" customWidth="1"/>
    <col min="4" max="11" width="12.33203125" bestFit="1" customWidth="1"/>
  </cols>
  <sheetData>
    <row r="1" spans="1:3" ht="13.8" thickBot="1">
      <c r="A1" s="460" t="s">
        <v>146</v>
      </c>
      <c r="B1" s="461"/>
      <c r="C1" s="462"/>
    </row>
    <row r="2" spans="1:3" ht="13.8" thickBot="1">
      <c r="A2" s="463" t="s">
        <v>153</v>
      </c>
      <c r="B2" s="464"/>
      <c r="C2" s="465"/>
    </row>
    <row r="3" spans="1:3" ht="13.8" thickBot="1">
      <c r="A3" s="463" t="s">
        <v>151</v>
      </c>
      <c r="B3" s="464"/>
      <c r="C3" s="465"/>
    </row>
    <row r="4" spans="1:3" ht="13.8" thickBot="1">
      <c r="A4" s="463" t="s">
        <v>150</v>
      </c>
      <c r="B4" s="464"/>
      <c r="C4" s="465"/>
    </row>
    <row r="7" spans="1:3">
      <c r="A7" s="1" t="s">
        <v>124</v>
      </c>
    </row>
    <row r="9" spans="1:3">
      <c r="A9" s="1" t="s">
        <v>13</v>
      </c>
      <c r="B9" s="9">
        <f>'Equip and Depreciation'!C42</f>
        <v>922992</v>
      </c>
    </row>
    <row r="10" spans="1:3">
      <c r="A10" s="1" t="s">
        <v>16</v>
      </c>
      <c r="B10" s="8">
        <f>'Input Value'!B13</f>
        <v>7.4999999999999997E-2</v>
      </c>
    </row>
    <row r="11" spans="1:3">
      <c r="A11" s="1" t="s">
        <v>17</v>
      </c>
      <c r="B11" s="8">
        <f>'Input Value'!B12</f>
        <v>0.5</v>
      </c>
    </row>
    <row r="12" spans="1:3">
      <c r="A12" s="1" t="s">
        <v>14</v>
      </c>
      <c r="B12" s="9">
        <f>+B9*B11</f>
        <v>461496</v>
      </c>
    </row>
    <row r="13" spans="1:3">
      <c r="A13" s="1" t="s">
        <v>15</v>
      </c>
      <c r="B13" s="3">
        <f>'Input Value'!B14</f>
        <v>10</v>
      </c>
    </row>
    <row r="15" spans="1:3">
      <c r="B15" s="5"/>
    </row>
    <row r="16" spans="1:3" ht="13.8" thickBot="1"/>
    <row r="17" spans="1:13">
      <c r="A17" s="367"/>
      <c r="B17" s="368" t="s">
        <v>0</v>
      </c>
      <c r="C17" s="368" t="s">
        <v>1</v>
      </c>
      <c r="D17" s="368" t="s">
        <v>2</v>
      </c>
      <c r="E17" s="368" t="s">
        <v>3</v>
      </c>
      <c r="F17" s="368" t="s">
        <v>4</v>
      </c>
      <c r="G17" s="368" t="s">
        <v>5</v>
      </c>
      <c r="H17" s="368" t="s">
        <v>6</v>
      </c>
      <c r="I17" s="368" t="s">
        <v>7</v>
      </c>
      <c r="J17" s="368" t="s">
        <v>8</v>
      </c>
      <c r="K17" s="368" t="s">
        <v>9</v>
      </c>
      <c r="L17" s="369"/>
      <c r="M17" s="370"/>
    </row>
    <row r="18" spans="1:13">
      <c r="A18" s="114" t="s">
        <v>19</v>
      </c>
      <c r="B18" s="106">
        <f>$B$12</f>
        <v>461496</v>
      </c>
      <c r="C18" s="106">
        <f>B25</f>
        <v>428874.72723655426</v>
      </c>
      <c r="D18" s="106">
        <f>C25</f>
        <v>393806.85901585012</v>
      </c>
      <c r="E18" s="106">
        <f t="shared" ref="E18:K18" si="0">D25</f>
        <v>356108.90067859314</v>
      </c>
      <c r="F18" s="106">
        <f t="shared" si="0"/>
        <v>315583.59546604188</v>
      </c>
      <c r="G18" s="106">
        <f t="shared" si="0"/>
        <v>272018.89236254926</v>
      </c>
      <c r="H18" s="106">
        <f t="shared" si="0"/>
        <v>225186.8365262947</v>
      </c>
      <c r="I18" s="106">
        <f t="shared" si="0"/>
        <v>174842.37650232107</v>
      </c>
      <c r="J18" s="106">
        <f t="shared" si="0"/>
        <v>120722.08197654941</v>
      </c>
      <c r="K18" s="106">
        <f t="shared" si="0"/>
        <v>62542.765361344878</v>
      </c>
      <c r="L18" s="14"/>
      <c r="M18" s="115"/>
    </row>
    <row r="19" spans="1:13">
      <c r="A19" s="114" t="s">
        <v>20</v>
      </c>
      <c r="B19" s="107">
        <f>$B$10</f>
        <v>7.4999999999999997E-2</v>
      </c>
      <c r="C19" s="107">
        <f t="shared" ref="C19:K19" si="1">$B$10</f>
        <v>7.4999999999999997E-2</v>
      </c>
      <c r="D19" s="107">
        <f t="shared" si="1"/>
        <v>7.4999999999999997E-2</v>
      </c>
      <c r="E19" s="107">
        <f t="shared" si="1"/>
        <v>7.4999999999999997E-2</v>
      </c>
      <c r="F19" s="107">
        <f t="shared" si="1"/>
        <v>7.4999999999999997E-2</v>
      </c>
      <c r="G19" s="107">
        <f t="shared" si="1"/>
        <v>7.4999999999999997E-2</v>
      </c>
      <c r="H19" s="107">
        <f t="shared" si="1"/>
        <v>7.4999999999999997E-2</v>
      </c>
      <c r="I19" s="107">
        <f t="shared" si="1"/>
        <v>7.4999999999999997E-2</v>
      </c>
      <c r="J19" s="107">
        <f t="shared" si="1"/>
        <v>7.4999999999999997E-2</v>
      </c>
      <c r="K19" s="107">
        <f t="shared" si="1"/>
        <v>7.4999999999999997E-2</v>
      </c>
      <c r="L19" s="14"/>
      <c r="M19" s="115"/>
    </row>
    <row r="20" spans="1:13">
      <c r="A20" s="114" t="s">
        <v>21</v>
      </c>
      <c r="B20" s="106">
        <f>B18*B19</f>
        <v>34612.199999999997</v>
      </c>
      <c r="C20" s="106">
        <f t="shared" ref="C20:K20" si="2">C18*C19</f>
        <v>32165.604542741567</v>
      </c>
      <c r="D20" s="106">
        <f t="shared" si="2"/>
        <v>29535.514426188758</v>
      </c>
      <c r="E20" s="106">
        <f t="shared" si="2"/>
        <v>26708.167550894486</v>
      </c>
      <c r="F20" s="106">
        <f t="shared" si="2"/>
        <v>23668.769659953141</v>
      </c>
      <c r="G20" s="106">
        <f t="shared" si="2"/>
        <v>20401.416927191192</v>
      </c>
      <c r="H20" s="106">
        <f t="shared" si="2"/>
        <v>16889.012739472102</v>
      </c>
      <c r="I20" s="106">
        <f t="shared" si="2"/>
        <v>13113.178237674079</v>
      </c>
      <c r="J20" s="106">
        <f t="shared" si="2"/>
        <v>9054.1561482412053</v>
      </c>
      <c r="K20" s="106">
        <f t="shared" si="2"/>
        <v>4690.7074021008657</v>
      </c>
      <c r="L20" s="14"/>
      <c r="M20" s="115"/>
    </row>
    <row r="21" spans="1:13">
      <c r="A21" s="1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15"/>
    </row>
    <row r="22" spans="1:13">
      <c r="A22" s="114" t="s">
        <v>22</v>
      </c>
      <c r="B22" s="106">
        <f t="shared" ref="B22:K22" si="3">PMT(B19,$B$13,-$B$12)</f>
        <v>67233.472763445738</v>
      </c>
      <c r="C22" s="106">
        <f t="shared" si="3"/>
        <v>67233.472763445738</v>
      </c>
      <c r="D22" s="106">
        <f t="shared" si="3"/>
        <v>67233.472763445738</v>
      </c>
      <c r="E22" s="106">
        <f t="shared" si="3"/>
        <v>67233.472763445738</v>
      </c>
      <c r="F22" s="106">
        <f t="shared" si="3"/>
        <v>67233.472763445738</v>
      </c>
      <c r="G22" s="106">
        <f t="shared" si="3"/>
        <v>67233.472763445738</v>
      </c>
      <c r="H22" s="106">
        <f t="shared" si="3"/>
        <v>67233.472763445738</v>
      </c>
      <c r="I22" s="106">
        <f t="shared" si="3"/>
        <v>67233.472763445738</v>
      </c>
      <c r="J22" s="106">
        <f t="shared" si="3"/>
        <v>67233.472763445738</v>
      </c>
      <c r="K22" s="106">
        <f t="shared" si="3"/>
        <v>67233.472763445738</v>
      </c>
      <c r="L22" s="14"/>
      <c r="M22" s="115"/>
    </row>
    <row r="23" spans="1:13">
      <c r="A23" s="114" t="s">
        <v>23</v>
      </c>
      <c r="B23" s="106">
        <f>B22-B20</f>
        <v>32621.272763445741</v>
      </c>
      <c r="C23" s="106">
        <f t="shared" ref="C23:K23" si="4">C22-C20</f>
        <v>35067.868220704171</v>
      </c>
      <c r="D23" s="106">
        <f t="shared" si="4"/>
        <v>37697.958337256976</v>
      </c>
      <c r="E23" s="106">
        <f t="shared" si="4"/>
        <v>40525.305212551248</v>
      </c>
      <c r="F23" s="106">
        <f t="shared" si="4"/>
        <v>43564.703103492597</v>
      </c>
      <c r="G23" s="106">
        <f t="shared" si="4"/>
        <v>46832.055836254542</v>
      </c>
      <c r="H23" s="106">
        <f t="shared" si="4"/>
        <v>50344.460023973632</v>
      </c>
      <c r="I23" s="106">
        <f t="shared" si="4"/>
        <v>54120.294525771656</v>
      </c>
      <c r="J23" s="106">
        <f t="shared" si="4"/>
        <v>58179.316615204531</v>
      </c>
      <c r="K23" s="106">
        <f t="shared" si="4"/>
        <v>62542.765361344871</v>
      </c>
      <c r="L23" s="14"/>
      <c r="M23" s="115"/>
    </row>
    <row r="24" spans="1:13">
      <c r="A24" s="1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15"/>
    </row>
    <row r="25" spans="1:13">
      <c r="A25" s="114" t="s">
        <v>24</v>
      </c>
      <c r="B25" s="106">
        <f>B18-B23</f>
        <v>428874.72723655426</v>
      </c>
      <c r="C25" s="106">
        <f t="shared" ref="C25:K25" si="5">C18-C23</f>
        <v>393806.85901585012</v>
      </c>
      <c r="D25" s="106">
        <f t="shared" si="5"/>
        <v>356108.90067859314</v>
      </c>
      <c r="E25" s="106">
        <f t="shared" si="5"/>
        <v>315583.59546604188</v>
      </c>
      <c r="F25" s="106">
        <f t="shared" si="5"/>
        <v>272018.89236254926</v>
      </c>
      <c r="G25" s="106">
        <f t="shared" si="5"/>
        <v>225186.8365262947</v>
      </c>
      <c r="H25" s="106">
        <f t="shared" si="5"/>
        <v>174842.37650232107</v>
      </c>
      <c r="I25" s="106">
        <f t="shared" si="5"/>
        <v>120722.08197654941</v>
      </c>
      <c r="J25" s="106">
        <f t="shared" si="5"/>
        <v>62542.765361344878</v>
      </c>
      <c r="K25" s="106">
        <f t="shared" si="5"/>
        <v>0</v>
      </c>
      <c r="L25" s="14"/>
      <c r="M25" s="115"/>
    </row>
    <row r="26" spans="1:13">
      <c r="A26" s="11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15"/>
    </row>
    <row r="27" spans="1:13">
      <c r="A27" s="116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15"/>
    </row>
    <row r="28" spans="1:13">
      <c r="A28" s="114" t="s">
        <v>18</v>
      </c>
      <c r="B28" s="108">
        <f>'Input Value'!B17</f>
        <v>201532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15"/>
    </row>
    <row r="29" spans="1:13">
      <c r="A29" s="114" t="s">
        <v>25</v>
      </c>
      <c r="B29" s="109">
        <f>'Input Value'!B18</f>
        <v>0.06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15"/>
    </row>
    <row r="30" spans="1:13">
      <c r="A30" s="114" t="s">
        <v>26</v>
      </c>
      <c r="B30" s="110">
        <f>B28*B29</f>
        <v>12091.92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15"/>
    </row>
    <row r="31" spans="1:13">
      <c r="A31" s="116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15"/>
    </row>
    <row r="32" spans="1:13">
      <c r="A32" s="114" t="s">
        <v>27</v>
      </c>
      <c r="B32" s="106">
        <f>B20+$B$30</f>
        <v>46704.119999999995</v>
      </c>
      <c r="C32" s="106">
        <f t="shared" ref="C32:K32" si="6">C20+$B$30</f>
        <v>44257.524542741565</v>
      </c>
      <c r="D32" s="106">
        <f t="shared" si="6"/>
        <v>41627.43442618876</v>
      </c>
      <c r="E32" s="106">
        <f t="shared" si="6"/>
        <v>38800.087550894488</v>
      </c>
      <c r="F32" s="106">
        <f t="shared" si="6"/>
        <v>35760.689659953139</v>
      </c>
      <c r="G32" s="106">
        <f t="shared" si="6"/>
        <v>32493.336927191194</v>
      </c>
      <c r="H32" s="106">
        <f t="shared" si="6"/>
        <v>28980.932739472104</v>
      </c>
      <c r="I32" s="106">
        <f t="shared" si="6"/>
        <v>25205.098237674079</v>
      </c>
      <c r="J32" s="106">
        <f t="shared" si="6"/>
        <v>21146.076148241205</v>
      </c>
      <c r="K32" s="106">
        <f t="shared" si="6"/>
        <v>16782.627402100865</v>
      </c>
      <c r="L32" s="14"/>
      <c r="M32" s="115"/>
    </row>
    <row r="33" spans="1:13">
      <c r="A33" s="1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15"/>
    </row>
    <row r="34" spans="1:13">
      <c r="A34" s="11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15"/>
    </row>
    <row r="35" spans="1:13">
      <c r="A35" s="123" t="s">
        <v>251</v>
      </c>
      <c r="B35" s="12">
        <f>B25+$B$28</f>
        <v>630406.72723655426</v>
      </c>
      <c r="C35" s="12">
        <f t="shared" ref="C35:K35" si="7">C25+$B$28</f>
        <v>595338.85901585012</v>
      </c>
      <c r="D35" s="12">
        <f t="shared" si="7"/>
        <v>557640.9006785932</v>
      </c>
      <c r="E35" s="12">
        <f t="shared" si="7"/>
        <v>517115.59546604188</v>
      </c>
      <c r="F35" s="12">
        <f t="shared" si="7"/>
        <v>473550.89236254926</v>
      </c>
      <c r="G35" s="12">
        <f t="shared" si="7"/>
        <v>426718.8365262947</v>
      </c>
      <c r="H35" s="12">
        <f t="shared" si="7"/>
        <v>376374.3765023211</v>
      </c>
      <c r="I35" s="12">
        <f t="shared" si="7"/>
        <v>322254.08197654941</v>
      </c>
      <c r="J35" s="12">
        <f t="shared" si="7"/>
        <v>264074.76536134491</v>
      </c>
      <c r="K35" s="12">
        <f t="shared" si="7"/>
        <v>201532</v>
      </c>
      <c r="L35" s="105"/>
      <c r="M35" s="124"/>
    </row>
    <row r="36" spans="1:13">
      <c r="A36" s="117" t="s">
        <v>252</v>
      </c>
      <c r="B36" s="110">
        <f>'Equip and Depreciation'!$C$42-'Equip and Depreciation'!B54+'Statement of Operations'!C51+'Equip and Depreciation'!B45+'Input Value'!$B$17</f>
        <v>1115105.8309881422</v>
      </c>
      <c r="C36" s="110">
        <f>'Equip and Depreciation'!$C$42-'Equip and Depreciation'!C54+'Statement of Operations'!D51+'Equip and Depreciation'!C45+'Input Value'!$B$17</f>
        <v>1095906.2001095503</v>
      </c>
      <c r="D36" s="110">
        <f>'Equip and Depreciation'!$C$42-'Equip and Depreciation'!D54+'Statement of Operations'!E51+'Equip and Depreciation'!D45+'Input Value'!$B$17</f>
        <v>1109270.9408101034</v>
      </c>
      <c r="E36" s="110">
        <f>'Equip and Depreciation'!$C$42-'Equip and Depreciation'!E54+'Statement of Operations'!F51+'Equip and Depreciation'!E45+'Input Value'!$B$17</f>
        <v>1117857.6256002374</v>
      </c>
      <c r="F36" s="110">
        <f>'Equip and Depreciation'!$C$42-'Equip and Depreciation'!F54+'Statement of Operations'!G51+'Equip and Depreciation'!F45+'Input Value'!$B$17</f>
        <v>1121214.3067627919</v>
      </c>
      <c r="G36" s="110">
        <f>'Equip and Depreciation'!$C$42-'Equip and Depreciation'!G54+'Statement of Operations'!H51+'Equip and Depreciation'!G45+'Input Value'!$B$17</f>
        <v>1101774.9751788503</v>
      </c>
      <c r="H36" s="110">
        <f>'Equip and Depreciation'!$C$42-'Equip and Depreciation'!H54+'Statement of Operations'!I51+'Equip and Depreciation'!H45+'Input Value'!$B$17</f>
        <v>1118123.0379612041</v>
      </c>
      <c r="I36" s="110">
        <f>'Equip and Depreciation'!$C$42-'Equip and Depreciation'!I54+'Statement of Operations'!J51+'Equip and Depreciation'!I45+'Input Value'!$B$17</f>
        <v>1107737.7909953622</v>
      </c>
      <c r="J36" s="110">
        <f>'Equip and Depreciation'!$C$42-'Equip and Depreciation'!J54+'Statement of Operations'!K51+'Equip and Depreciation'!J45+'Input Value'!$B$17</f>
        <v>1101289.6513839252</v>
      </c>
      <c r="K36" s="110">
        <f>'Equip and Depreciation'!$C$42-'Equip and Depreciation'!K54+'Statement of Operations'!L51+'Equip and Depreciation'!K45+'Input Value'!$B$17</f>
        <v>1093774.1110910228</v>
      </c>
      <c r="L36" s="14"/>
      <c r="M36" s="118">
        <f>AVERAGE(B37:K37)</f>
        <v>0.39350988075579452</v>
      </c>
    </row>
    <row r="37" spans="1:13">
      <c r="A37" s="117" t="s">
        <v>253</v>
      </c>
      <c r="B37" s="111">
        <f>B35/B36</f>
        <v>0.56533354029538552</v>
      </c>
      <c r="C37" s="111">
        <f t="shared" ref="C37:K37" si="8">C35/C36</f>
        <v>0.54323888208346494</v>
      </c>
      <c r="D37" s="111">
        <f t="shared" si="8"/>
        <v>0.50270937438543783</v>
      </c>
      <c r="E37" s="111">
        <f t="shared" si="8"/>
        <v>0.46259522109389817</v>
      </c>
      <c r="F37" s="111">
        <f t="shared" si="8"/>
        <v>0.42235537800958095</v>
      </c>
      <c r="G37" s="111">
        <f t="shared" si="8"/>
        <v>0.38730126036582535</v>
      </c>
      <c r="H37" s="111">
        <f t="shared" si="8"/>
        <v>0.33661266580161486</v>
      </c>
      <c r="I37" s="111">
        <f t="shared" si="8"/>
        <v>0.29091187878224029</v>
      </c>
      <c r="J37" s="111">
        <f t="shared" si="8"/>
        <v>0.23978683993761118</v>
      </c>
      <c r="K37" s="111">
        <f t="shared" si="8"/>
        <v>0.18425376680288669</v>
      </c>
      <c r="L37" s="14"/>
      <c r="M37" s="115"/>
    </row>
    <row r="38" spans="1:13" ht="13.8" thickBot="1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1" t="s">
        <v>254</v>
      </c>
    </row>
  </sheetData>
  <sheetProtection algorithmName="SHA-512" hashValue="Lm5fBd65ZXYh8BsVfoUd66AHJE2HAklN7RQpE8QwFjY5+dRWhblWvVk3G3JztCTYBWyz2zCVnTJFYyB2Wa8xeA==" saltValue="2/NE/o9B1Zkd6swY8WwUDA==" spinCount="100000" sheet="1" formatColumns="0"/>
  <mergeCells count="4">
    <mergeCell ref="A1:C1"/>
    <mergeCell ref="A2:C2"/>
    <mergeCell ref="A3:C3"/>
    <mergeCell ref="A4:C4"/>
  </mergeCells>
  <phoneticPr fontId="0" type="noConversion"/>
  <hyperlinks>
    <hyperlink ref="A2:C2" location="'Input Value'!A1" display="BACK TO INPUTS" xr:uid="{00000000-0004-0000-0300-000000000000}"/>
    <hyperlink ref="A3:C3" location="'Return On Investment'!A1" display="FORWARD TO RETURN ON INVESTMENT" xr:uid="{00000000-0004-0000-0300-000001000000}"/>
    <hyperlink ref="A4:C4" location="'Operations Summary'!A1" display="FORWARD TO OPERATIONS SUMMARY" xr:uid="{00000000-0004-0000-0300-000002000000}"/>
  </hyperlink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showGridLines="0" zoomScaleNormal="100" workbookViewId="0">
      <selection sqref="A1:E1"/>
    </sheetView>
  </sheetViews>
  <sheetFormatPr defaultColWidth="8.88671875" defaultRowHeight="13.2"/>
  <cols>
    <col min="1" max="1" width="20.6640625" customWidth="1"/>
    <col min="2" max="2" width="11.33203125" customWidth="1"/>
    <col min="3" max="3" width="19.44140625" customWidth="1"/>
    <col min="4" max="4" width="14.6640625" style="5" customWidth="1"/>
    <col min="5" max="5" width="14" style="5" customWidth="1"/>
    <col min="6" max="6" width="13.109375" style="5" customWidth="1"/>
    <col min="7" max="7" width="13.44140625" customWidth="1"/>
    <col min="8" max="8" width="14" customWidth="1"/>
    <col min="9" max="9" width="14.33203125" customWidth="1"/>
    <col min="10" max="10" width="14.44140625" customWidth="1"/>
    <col min="11" max="11" width="15.44140625" customWidth="1"/>
    <col min="12" max="12" width="15.109375" customWidth="1"/>
    <col min="13" max="13" width="13.44140625" customWidth="1"/>
    <col min="14" max="15" width="13" customWidth="1"/>
  </cols>
  <sheetData>
    <row r="1" spans="1:14" ht="13.8" thickBot="1">
      <c r="A1" s="466" t="s">
        <v>146</v>
      </c>
      <c r="B1" s="467"/>
      <c r="C1" s="467"/>
      <c r="D1" s="467"/>
      <c r="E1" s="468"/>
    </row>
    <row r="2" spans="1:14" ht="13.8" thickBot="1">
      <c r="A2" s="469" t="s">
        <v>153</v>
      </c>
      <c r="B2" s="470"/>
      <c r="C2" s="470"/>
      <c r="D2" s="470"/>
      <c r="E2" s="471"/>
    </row>
    <row r="3" spans="1:14" ht="13.8" thickBot="1">
      <c r="A3" s="469" t="s">
        <v>151</v>
      </c>
      <c r="B3" s="470"/>
      <c r="C3" s="470"/>
      <c r="D3" s="470"/>
      <c r="E3" s="471"/>
    </row>
    <row r="4" spans="1:14" ht="13.8" thickBot="1">
      <c r="A4" s="469" t="s">
        <v>150</v>
      </c>
      <c r="B4" s="470"/>
      <c r="C4" s="470"/>
      <c r="D4" s="470"/>
      <c r="E4" s="471"/>
    </row>
    <row r="5" spans="1:14" ht="13.8" thickBot="1">
      <c r="A5" s="28"/>
      <c r="B5" s="28"/>
      <c r="C5" s="28"/>
      <c r="D5" s="28"/>
      <c r="E5" s="28"/>
      <c r="F5" s="29"/>
      <c r="G5" s="15"/>
      <c r="H5" s="15"/>
      <c r="I5" s="15"/>
      <c r="J5" s="15"/>
      <c r="K5" s="15"/>
    </row>
    <row r="6" spans="1:14">
      <c r="A6" s="199" t="s">
        <v>111</v>
      </c>
      <c r="B6" s="200"/>
      <c r="C6" s="200"/>
      <c r="D6" s="201"/>
      <c r="E6" s="201"/>
      <c r="F6" s="201"/>
      <c r="G6" s="112"/>
      <c r="H6" s="112"/>
      <c r="I6" s="112"/>
      <c r="J6" s="112"/>
      <c r="K6" s="112"/>
      <c r="L6" s="112"/>
      <c r="M6" s="112"/>
      <c r="N6" s="113"/>
    </row>
    <row r="7" spans="1:14">
      <c r="A7" s="114" t="s">
        <v>454</v>
      </c>
      <c r="B7" s="16"/>
      <c r="C7" s="16"/>
      <c r="D7" s="202"/>
      <c r="E7" s="202"/>
      <c r="F7" s="202"/>
      <c r="G7" s="14"/>
      <c r="H7" s="14"/>
      <c r="I7" s="14"/>
      <c r="J7" s="14"/>
      <c r="K7" s="14"/>
      <c r="L7" s="14"/>
      <c r="M7" s="14"/>
      <c r="N7" s="115"/>
    </row>
    <row r="8" spans="1:14" ht="13.8" thickBot="1">
      <c r="A8" s="116"/>
      <c r="B8" s="14"/>
      <c r="C8" s="14"/>
      <c r="D8" s="202"/>
      <c r="E8" s="202"/>
      <c r="F8" s="202"/>
      <c r="G8" s="14"/>
      <c r="H8" s="14"/>
      <c r="I8" s="14"/>
      <c r="J8" s="14"/>
      <c r="K8" s="14"/>
      <c r="L8" s="14"/>
      <c r="M8" s="14"/>
      <c r="N8" s="115"/>
    </row>
    <row r="9" spans="1:14">
      <c r="A9" s="371" t="s">
        <v>29</v>
      </c>
      <c r="B9" s="372" t="s">
        <v>278</v>
      </c>
      <c r="C9" s="373" t="s">
        <v>453</v>
      </c>
      <c r="D9" s="373" t="s">
        <v>279</v>
      </c>
      <c r="E9" s="373" t="s">
        <v>31</v>
      </c>
      <c r="F9" s="373" t="s">
        <v>95</v>
      </c>
      <c r="G9" s="373" t="s">
        <v>30</v>
      </c>
      <c r="H9" s="374" t="s">
        <v>52</v>
      </c>
      <c r="I9" s="14"/>
      <c r="J9" s="14"/>
      <c r="K9" s="14"/>
      <c r="L9" s="14"/>
      <c r="M9" s="14"/>
      <c r="N9" s="115"/>
    </row>
    <row r="10" spans="1:14">
      <c r="A10" s="116"/>
      <c r="B10" s="14"/>
      <c r="C10" s="14"/>
      <c r="D10" s="202"/>
      <c r="E10" s="202"/>
      <c r="F10" s="202"/>
      <c r="G10" s="14"/>
      <c r="H10" s="115"/>
      <c r="I10" s="14"/>
      <c r="J10" s="14"/>
      <c r="K10" s="14"/>
      <c r="L10" s="14"/>
      <c r="M10" s="14"/>
      <c r="N10" s="115"/>
    </row>
    <row r="11" spans="1:14">
      <c r="A11" s="206" t="s">
        <v>330</v>
      </c>
      <c r="B11" s="207">
        <v>1</v>
      </c>
      <c r="C11" s="208">
        <v>85000</v>
      </c>
      <c r="D11" s="108">
        <f>B11*C11</f>
        <v>85000</v>
      </c>
      <c r="E11" s="110">
        <f>'Input Value'!$B$43*D11</f>
        <v>25500.000000000004</v>
      </c>
      <c r="F11" s="209">
        <v>0</v>
      </c>
      <c r="G11" s="210">
        <f>+(D11+E11)*F11</f>
        <v>0</v>
      </c>
      <c r="H11" s="223">
        <f>+D11+E11+G11</f>
        <v>110500</v>
      </c>
      <c r="I11" s="14"/>
      <c r="J11" s="14"/>
      <c r="K11" s="14"/>
      <c r="L11" s="14"/>
      <c r="M11" s="14"/>
      <c r="N11" s="115"/>
    </row>
    <row r="12" spans="1:14">
      <c r="A12" s="211"/>
      <c r="B12" s="212"/>
      <c r="C12" s="212"/>
      <c r="D12" s="108"/>
      <c r="E12" s="110"/>
      <c r="F12" s="213"/>
      <c r="G12" s="210"/>
      <c r="H12" s="223"/>
      <c r="I12" s="14"/>
      <c r="J12" s="14"/>
      <c r="K12" s="14"/>
      <c r="L12" s="14"/>
      <c r="M12" s="14"/>
      <c r="N12" s="115"/>
    </row>
    <row r="13" spans="1:14">
      <c r="A13" s="206" t="s">
        <v>329</v>
      </c>
      <c r="B13" s="207">
        <v>1</v>
      </c>
      <c r="C13" s="208">
        <v>75000</v>
      </c>
      <c r="D13" s="108">
        <f>B13*C13</f>
        <v>75000</v>
      </c>
      <c r="E13" s="110">
        <f>'Input Value'!$B$43*D13</f>
        <v>22500.000000000004</v>
      </c>
      <c r="F13" s="209">
        <v>0</v>
      </c>
      <c r="G13" s="210">
        <f>+(D13+E13)*F13</f>
        <v>0</v>
      </c>
      <c r="H13" s="223">
        <f>+D13+E13+G13</f>
        <v>97500</v>
      </c>
      <c r="I13" s="14"/>
      <c r="J13" s="14"/>
      <c r="K13" s="14"/>
      <c r="L13" s="14"/>
      <c r="M13" s="14"/>
      <c r="N13" s="115"/>
    </row>
    <row r="14" spans="1:14">
      <c r="A14" s="214"/>
      <c r="B14" s="14"/>
      <c r="C14" s="14"/>
      <c r="D14" s="202"/>
      <c r="E14" s="14"/>
      <c r="F14" s="14"/>
      <c r="G14" s="14"/>
      <c r="H14" s="115"/>
      <c r="I14" s="14"/>
      <c r="J14" s="14"/>
      <c r="K14" s="14"/>
      <c r="L14" s="14"/>
      <c r="M14" s="14"/>
      <c r="N14" s="115"/>
    </row>
    <row r="15" spans="1:14">
      <c r="A15" s="206" t="s">
        <v>331</v>
      </c>
      <c r="B15" s="207">
        <v>1</v>
      </c>
      <c r="C15" s="208">
        <v>45000</v>
      </c>
      <c r="D15" s="108">
        <f>B15*C15</f>
        <v>45000</v>
      </c>
      <c r="E15" s="110">
        <f>'Input Value'!$B$43*D15</f>
        <v>13500.000000000002</v>
      </c>
      <c r="F15" s="209">
        <v>0</v>
      </c>
      <c r="G15" s="210">
        <f>+(D15+E15)*F15</f>
        <v>0</v>
      </c>
      <c r="H15" s="223">
        <f>+D15+E15+G15</f>
        <v>58500</v>
      </c>
      <c r="I15" s="14"/>
      <c r="J15" s="14"/>
      <c r="K15" s="14"/>
      <c r="L15" s="14"/>
      <c r="M15" s="14"/>
      <c r="N15" s="115"/>
    </row>
    <row r="16" spans="1:14">
      <c r="A16" s="214"/>
      <c r="B16" s="14"/>
      <c r="C16" s="14"/>
      <c r="D16" s="108"/>
      <c r="E16" s="108"/>
      <c r="F16" s="215"/>
      <c r="G16" s="216"/>
      <c r="H16" s="224"/>
      <c r="I16" s="14"/>
      <c r="J16" s="14"/>
      <c r="K16" s="14"/>
      <c r="L16" s="14"/>
      <c r="M16" s="14"/>
      <c r="N16" s="115"/>
    </row>
    <row r="17" spans="1:14">
      <c r="A17" s="206" t="s">
        <v>332</v>
      </c>
      <c r="B17" s="207">
        <v>1</v>
      </c>
      <c r="C17" s="208">
        <v>55000</v>
      </c>
      <c r="D17" s="108">
        <f>B17*C17</f>
        <v>55000</v>
      </c>
      <c r="E17" s="110">
        <f>'Input Value'!$B$43*D17</f>
        <v>16500.000000000004</v>
      </c>
      <c r="F17" s="209">
        <v>0</v>
      </c>
      <c r="G17" s="210">
        <f>+(D17+E17)*F17</f>
        <v>0</v>
      </c>
      <c r="H17" s="223">
        <f>+D17+E17+G17</f>
        <v>71500</v>
      </c>
      <c r="I17" s="14"/>
      <c r="J17" s="14"/>
      <c r="K17" s="14"/>
      <c r="L17" s="14"/>
      <c r="M17" s="14"/>
      <c r="N17" s="115"/>
    </row>
    <row r="18" spans="1:14">
      <c r="A18" s="211"/>
      <c r="B18" s="212"/>
      <c r="C18" s="212"/>
      <c r="D18" s="108"/>
      <c r="E18" s="110"/>
      <c r="F18" s="213"/>
      <c r="G18" s="210"/>
      <c r="H18" s="223"/>
      <c r="I18" s="14"/>
      <c r="J18" s="14"/>
      <c r="K18" s="14"/>
      <c r="L18" s="14"/>
      <c r="M18" s="14"/>
      <c r="N18" s="115"/>
    </row>
    <row r="19" spans="1:14">
      <c r="A19" s="206" t="s">
        <v>40</v>
      </c>
      <c r="B19" s="207">
        <v>1</v>
      </c>
      <c r="C19" s="208">
        <v>30000</v>
      </c>
      <c r="D19" s="108">
        <f>B19*C19</f>
        <v>30000</v>
      </c>
      <c r="E19" s="110">
        <f>'Input Value'!$B$43*D19</f>
        <v>9000.0000000000018</v>
      </c>
      <c r="F19" s="209">
        <v>0</v>
      </c>
      <c r="G19" s="210">
        <f>+(D19+E19)*F19</f>
        <v>0</v>
      </c>
      <c r="H19" s="223">
        <f>+D19+E19+G19</f>
        <v>39000</v>
      </c>
      <c r="I19" s="14"/>
      <c r="J19" s="14"/>
      <c r="K19" s="14"/>
      <c r="L19" s="14"/>
      <c r="M19" s="14"/>
      <c r="N19" s="115"/>
    </row>
    <row r="20" spans="1:14">
      <c r="A20" s="116"/>
      <c r="B20" s="14"/>
      <c r="C20" s="14"/>
      <c r="D20" s="110"/>
      <c r="E20" s="110"/>
      <c r="F20" s="202"/>
      <c r="G20" s="14"/>
      <c r="H20" s="223"/>
      <c r="I20" s="14"/>
      <c r="J20" s="14"/>
      <c r="K20" s="14"/>
      <c r="L20" s="14"/>
      <c r="M20" s="14"/>
      <c r="N20" s="115"/>
    </row>
    <row r="21" spans="1:14" ht="13.8" thickBot="1">
      <c r="A21" s="225" t="s">
        <v>452</v>
      </c>
      <c r="B21" s="226"/>
      <c r="C21" s="226"/>
      <c r="D21" s="227">
        <f>SUM(D10:D20)</f>
        <v>290000</v>
      </c>
      <c r="E21" s="227">
        <f>SUM(E10:E20)</f>
        <v>87000.000000000015</v>
      </c>
      <c r="F21" s="228"/>
      <c r="G21" s="227">
        <f>SUM(G10:G20)</f>
        <v>0</v>
      </c>
      <c r="H21" s="229">
        <f>SUM(H10:H19)</f>
        <v>377000</v>
      </c>
      <c r="I21" s="14"/>
      <c r="J21" s="14"/>
      <c r="K21" s="14"/>
      <c r="L21" s="14"/>
      <c r="M21" s="14"/>
      <c r="N21" s="115"/>
    </row>
    <row r="22" spans="1:14">
      <c r="A22" s="114"/>
      <c r="B22" s="16"/>
      <c r="C22" s="16"/>
      <c r="D22" s="110"/>
      <c r="E22" s="110"/>
      <c r="F22" s="202"/>
      <c r="G22" s="110"/>
      <c r="H22" s="110"/>
      <c r="I22" s="14"/>
      <c r="J22" s="14"/>
      <c r="K22" s="14"/>
      <c r="L22" s="14"/>
      <c r="M22" s="14"/>
      <c r="N22" s="115"/>
    </row>
    <row r="23" spans="1:14">
      <c r="A23" s="114"/>
      <c r="B23" s="16"/>
      <c r="C23" s="16"/>
      <c r="D23" s="202"/>
      <c r="E23" s="202"/>
      <c r="F23" s="202"/>
      <c r="G23" s="14"/>
      <c r="H23" s="14"/>
      <c r="I23" s="14"/>
      <c r="J23" s="14"/>
      <c r="K23" s="14"/>
      <c r="L23" s="14"/>
      <c r="M23" s="14"/>
      <c r="N23" s="115"/>
    </row>
    <row r="24" spans="1:14">
      <c r="A24" s="114" t="s">
        <v>455</v>
      </c>
      <c r="B24" s="16"/>
      <c r="C24" s="16"/>
      <c r="D24" s="202"/>
      <c r="E24" s="202"/>
      <c r="F24" s="202"/>
      <c r="G24" s="14"/>
      <c r="H24" s="14"/>
      <c r="I24" s="14"/>
      <c r="J24" s="14"/>
      <c r="K24" s="14"/>
      <c r="L24" s="14"/>
      <c r="M24" s="14"/>
      <c r="N24" s="115"/>
    </row>
    <row r="25" spans="1:14">
      <c r="A25" s="116"/>
      <c r="B25" s="14"/>
      <c r="C25" s="14"/>
      <c r="D25" s="202"/>
      <c r="E25" s="202"/>
      <c r="F25" s="202"/>
      <c r="G25" s="202"/>
      <c r="H25" s="202"/>
      <c r="I25" s="202"/>
      <c r="J25" s="202"/>
      <c r="K25" s="202"/>
      <c r="L25" s="202"/>
      <c r="M25" s="14"/>
      <c r="N25" s="115"/>
    </row>
    <row r="26" spans="1:14" ht="15.6">
      <c r="A26" s="375" t="s">
        <v>385</v>
      </c>
      <c r="B26" s="230"/>
      <c r="C26" s="220"/>
      <c r="D26" s="220"/>
      <c r="E26" s="376" t="s">
        <v>0</v>
      </c>
      <c r="F26" s="377" t="s">
        <v>1</v>
      </c>
      <c r="G26" s="376" t="s">
        <v>2</v>
      </c>
      <c r="H26" s="377" t="s">
        <v>3</v>
      </c>
      <c r="I26" s="376" t="s">
        <v>4</v>
      </c>
      <c r="J26" s="377" t="s">
        <v>5</v>
      </c>
      <c r="K26" s="376" t="s">
        <v>6</v>
      </c>
      <c r="L26" s="377" t="s">
        <v>7</v>
      </c>
      <c r="M26" s="376" t="s">
        <v>8</v>
      </c>
      <c r="N26" s="378" t="s">
        <v>9</v>
      </c>
    </row>
    <row r="27" spans="1:14" ht="15.6">
      <c r="A27" s="218"/>
      <c r="B27" s="16" t="s">
        <v>278</v>
      </c>
      <c r="C27" s="219" t="s">
        <v>319</v>
      </c>
      <c r="D27" s="219" t="s">
        <v>386</v>
      </c>
      <c r="E27" s="205" t="s">
        <v>279</v>
      </c>
      <c r="F27" s="14"/>
      <c r="G27" s="14"/>
      <c r="H27" s="14"/>
      <c r="I27" s="14"/>
      <c r="J27" s="14"/>
      <c r="K27" s="14"/>
      <c r="L27" s="14"/>
      <c r="M27" s="14"/>
      <c r="N27" s="115"/>
    </row>
    <row r="28" spans="1:14">
      <c r="A28" s="114" t="s">
        <v>350</v>
      </c>
      <c r="B28" s="230">
        <v>2</v>
      </c>
      <c r="C28" s="220">
        <v>18.12</v>
      </c>
      <c r="D28" s="221">
        <f>+C28/'Input Value'!G84</f>
        <v>1.208E-2</v>
      </c>
      <c r="E28" s="110">
        <f>$D$28*'Market Projection'!Q16*$B$28</f>
        <v>15621.372800000001</v>
      </c>
      <c r="F28" s="110">
        <f>$D$28*'Market Projection'!R16*$B$28</f>
        <v>15777.586528000002</v>
      </c>
      <c r="G28" s="110">
        <f>$D$28*'Market Projection'!S16*$B$28</f>
        <v>15935.362393280002</v>
      </c>
      <c r="H28" s="110">
        <f>$D$28*'Market Projection'!T16*$B$28</f>
        <v>16094.716017212804</v>
      </c>
      <c r="I28" s="110">
        <f>$D$28*'Market Projection'!U16*$B$28</f>
        <v>16255.663177384933</v>
      </c>
      <c r="J28" s="110">
        <f>$D$28*'Market Projection'!V16*$B$28</f>
        <v>16418.219809158782</v>
      </c>
      <c r="K28" s="110">
        <f>$D$28*'Market Projection'!W16*$B$28</f>
        <v>16582.40200725037</v>
      </c>
      <c r="L28" s="110">
        <f>$D$28*'Market Projection'!X16*$B$28</f>
        <v>16748.226027322875</v>
      </c>
      <c r="M28" s="110">
        <f>$D$28*'Market Projection'!Y16*$B$28</f>
        <v>16915.708287596106</v>
      </c>
      <c r="N28" s="223">
        <f>$D$28*'Market Projection'!Z16*$B$28</f>
        <v>17084.865370472067</v>
      </c>
    </row>
    <row r="29" spans="1:14">
      <c r="A29" s="116"/>
      <c r="B29" s="14"/>
      <c r="C29" s="202"/>
      <c r="D29" s="29"/>
      <c r="E29" s="110"/>
      <c r="F29" s="110"/>
      <c r="G29" s="110"/>
      <c r="H29" s="110"/>
      <c r="I29" s="110"/>
      <c r="J29" s="110"/>
      <c r="K29" s="110"/>
      <c r="L29" s="110"/>
      <c r="M29" s="110"/>
      <c r="N29" s="223"/>
    </row>
    <row r="30" spans="1:14">
      <c r="A30" s="114" t="s">
        <v>351</v>
      </c>
      <c r="B30" s="230">
        <v>2</v>
      </c>
      <c r="C30" s="220">
        <v>19.670000000000002</v>
      </c>
      <c r="D30" s="221">
        <f>+C30/'Input Value'!G84</f>
        <v>1.3113333333333334E-2</v>
      </c>
      <c r="E30" s="110">
        <f>$D$30*'Market Projection'!Q16*$B$30</f>
        <v>16957.638133333334</v>
      </c>
      <c r="F30" s="110">
        <f>$D$30*'Market Projection'!R16*$B$30</f>
        <v>17127.21451466667</v>
      </c>
      <c r="G30" s="110">
        <f>$D$30*'Market Projection'!S16*$B$30</f>
        <v>17298.486659813334</v>
      </c>
      <c r="H30" s="110">
        <f>$D$30*'Market Projection'!T16*$B$30</f>
        <v>17471.471526411471</v>
      </c>
      <c r="I30" s="110">
        <f>$D$30*'Market Projection'!U16*$B$30</f>
        <v>17646.186241675587</v>
      </c>
      <c r="J30" s="110">
        <f>$D$30*'Market Projection'!V16*$B$30</f>
        <v>17822.648104092343</v>
      </c>
      <c r="K30" s="110">
        <f>$D$30*'Market Projection'!W16*$B$30</f>
        <v>18000.874585133268</v>
      </c>
      <c r="L30" s="110">
        <f>$D$30*'Market Projection'!X16*$B$30</f>
        <v>18180.883330984601</v>
      </c>
      <c r="M30" s="110">
        <f>$D$30*'Market Projection'!Y16*$B$30</f>
        <v>18362.692164294451</v>
      </c>
      <c r="N30" s="110">
        <f>$D$30*'Market Projection'!Z16*$B$30</f>
        <v>18546.319085937394</v>
      </c>
    </row>
    <row r="31" spans="1:14">
      <c r="A31" s="116"/>
      <c r="B31" s="14"/>
      <c r="C31" s="202"/>
      <c r="D31" s="29"/>
      <c r="E31" s="110"/>
      <c r="F31" s="110"/>
      <c r="G31" s="110"/>
      <c r="H31" s="110"/>
      <c r="I31" s="110"/>
      <c r="J31" s="110"/>
      <c r="K31" s="110"/>
      <c r="L31" s="110"/>
      <c r="M31" s="110"/>
      <c r="N31" s="223"/>
    </row>
    <row r="32" spans="1:14">
      <c r="A32" s="114" t="s">
        <v>352</v>
      </c>
      <c r="B32" s="230">
        <v>2</v>
      </c>
      <c r="C32" s="220">
        <v>21.04</v>
      </c>
      <c r="D32" s="221">
        <f>+C32/'Input Value'!G84</f>
        <v>1.4026666666666666E-2</v>
      </c>
      <c r="E32" s="110">
        <f>$D$32*'Market Projection'!Q16*$B$32</f>
        <v>18138.724266666668</v>
      </c>
      <c r="F32" s="110">
        <f>$D$32*'Market Projection'!R16*$B$32</f>
        <v>18320.111509333336</v>
      </c>
      <c r="G32" s="110">
        <f>$D$32*'Market Projection'!S16*$B$32</f>
        <v>18503.312624426668</v>
      </c>
      <c r="H32" s="110">
        <f>$D$32*'Market Projection'!T16*$B$32</f>
        <v>18688.345750670938</v>
      </c>
      <c r="I32" s="110">
        <f>$D$32*'Market Projection'!U16*$B$32</f>
        <v>18875.229208177647</v>
      </c>
      <c r="J32" s="110">
        <f>$D$32*'Market Projection'!V16*$B$32</f>
        <v>19063.981500259422</v>
      </c>
      <c r="K32" s="110">
        <f>$D$32*'Market Projection'!W16*$B$32</f>
        <v>19254.621315262018</v>
      </c>
      <c r="L32" s="110">
        <f>$D$32*'Market Projection'!X16*$B$32</f>
        <v>19447.16752841464</v>
      </c>
      <c r="M32" s="110">
        <f>$D$32*'Market Projection'!Y16*$B$32</f>
        <v>19641.639203698789</v>
      </c>
      <c r="N32" s="110">
        <f>$D$32*'Market Projection'!Z16*$B$32</f>
        <v>19838.055595735776</v>
      </c>
    </row>
    <row r="33" spans="1:14">
      <c r="A33" s="116"/>
      <c r="B33" s="14"/>
      <c r="C33" s="14"/>
      <c r="D33" s="202"/>
      <c r="E33" s="110"/>
      <c r="F33" s="110"/>
      <c r="G33" s="110"/>
      <c r="H33" s="110"/>
      <c r="I33" s="110"/>
      <c r="J33" s="110"/>
      <c r="K33" s="110"/>
      <c r="L33" s="110"/>
      <c r="M33" s="110"/>
      <c r="N33" s="223"/>
    </row>
    <row r="34" spans="1:14">
      <c r="A34" s="116"/>
      <c r="B34" s="14"/>
      <c r="C34" s="14"/>
      <c r="D34" s="202"/>
      <c r="E34" s="243" t="s">
        <v>31</v>
      </c>
      <c r="F34" s="110"/>
      <c r="G34" s="110"/>
      <c r="H34" s="110"/>
      <c r="I34" s="110"/>
      <c r="J34" s="110"/>
      <c r="K34" s="110"/>
      <c r="L34" s="110"/>
      <c r="M34" s="110"/>
      <c r="N34" s="223"/>
    </row>
    <row r="35" spans="1:14">
      <c r="A35" s="114" t="s">
        <v>350</v>
      </c>
      <c r="B35" s="14"/>
      <c r="C35" s="14"/>
      <c r="D35" s="202"/>
      <c r="E35" s="110">
        <f>'Input Value'!$B$43*E28</f>
        <v>4686.4118400000007</v>
      </c>
      <c r="F35" s="110">
        <f>'Input Value'!$B$43*F28</f>
        <v>4733.2759584000014</v>
      </c>
      <c r="G35" s="110">
        <f>'Input Value'!$B$43*G28</f>
        <v>4780.6087179840015</v>
      </c>
      <c r="H35" s="110">
        <f>'Input Value'!$B$43*H28</f>
        <v>4828.4148051638422</v>
      </c>
      <c r="I35" s="110">
        <f>'Input Value'!$B$43*I28</f>
        <v>4876.6989532154803</v>
      </c>
      <c r="J35" s="110">
        <f>'Input Value'!$B$43*J28</f>
        <v>4925.4659427476354</v>
      </c>
      <c r="K35" s="110">
        <f>'Input Value'!$B$43*K28</f>
        <v>4974.7206021751117</v>
      </c>
      <c r="L35" s="110">
        <f>'Input Value'!$B$43*L28</f>
        <v>5024.4678081968632</v>
      </c>
      <c r="M35" s="110">
        <f>'Input Value'!$B$43*M28</f>
        <v>5074.7124862788323</v>
      </c>
      <c r="N35" s="223">
        <f>'Input Value'!$B$43*N28</f>
        <v>5125.4596111416213</v>
      </c>
    </row>
    <row r="36" spans="1:14">
      <c r="A36" s="116"/>
      <c r="B36" s="14"/>
      <c r="C36" s="14"/>
      <c r="D36" s="202"/>
      <c r="E36" s="110"/>
      <c r="F36" s="110"/>
      <c r="G36" s="110"/>
      <c r="H36" s="110"/>
      <c r="I36" s="110"/>
      <c r="J36" s="110"/>
      <c r="K36" s="110"/>
      <c r="L36" s="110"/>
      <c r="M36" s="110"/>
      <c r="N36" s="223"/>
    </row>
    <row r="37" spans="1:14">
      <c r="A37" s="114" t="s">
        <v>351</v>
      </c>
      <c r="B37" s="14"/>
      <c r="C37" s="14"/>
      <c r="D37" s="202"/>
      <c r="E37" s="110">
        <f>'Input Value'!$B$43*E30</f>
        <v>5087.2914400000009</v>
      </c>
      <c r="F37" s="110">
        <f>'Input Value'!$B$43*F30</f>
        <v>5138.1643544000017</v>
      </c>
      <c r="G37" s="110">
        <f>'Input Value'!$B$43*G30</f>
        <v>5189.5459979440011</v>
      </c>
      <c r="H37" s="110">
        <f>'Input Value'!$B$43*H30</f>
        <v>5241.4414579234417</v>
      </c>
      <c r="I37" s="110">
        <f>'Input Value'!$B$43*I30</f>
        <v>5293.8558725026769</v>
      </c>
      <c r="J37" s="110">
        <f>'Input Value'!$B$43*J30</f>
        <v>5346.7944312277032</v>
      </c>
      <c r="K37" s="110">
        <f>'Input Value'!$B$43*K30</f>
        <v>5400.2623755399809</v>
      </c>
      <c r="L37" s="110">
        <f>'Input Value'!$B$43*L30</f>
        <v>5454.2649992953811</v>
      </c>
      <c r="M37" s="110">
        <f>'Input Value'!$B$43*M30</f>
        <v>5508.8076492883356</v>
      </c>
      <c r="N37" s="223">
        <f>'Input Value'!$B$43*N30</f>
        <v>5563.895725781219</v>
      </c>
    </row>
    <row r="38" spans="1:14">
      <c r="A38" s="116"/>
      <c r="B38" s="14"/>
      <c r="C38" s="14"/>
      <c r="D38" s="202"/>
      <c r="E38" s="110"/>
      <c r="F38" s="110"/>
      <c r="G38" s="110"/>
      <c r="H38" s="110"/>
      <c r="I38" s="110"/>
      <c r="J38" s="110"/>
      <c r="K38" s="110"/>
      <c r="L38" s="110"/>
      <c r="M38" s="110"/>
      <c r="N38" s="223"/>
    </row>
    <row r="39" spans="1:14">
      <c r="A39" s="114" t="s">
        <v>352</v>
      </c>
      <c r="B39" s="14"/>
      <c r="C39" s="202"/>
      <c r="D39" s="202"/>
      <c r="E39" s="110">
        <f>'Input Value'!$B$43*E32</f>
        <v>5441.6172800000013</v>
      </c>
      <c r="F39" s="110">
        <f>'Input Value'!$B$43*F32</f>
        <v>5496.0334528000012</v>
      </c>
      <c r="G39" s="110">
        <f>'Input Value'!$B$43*G32</f>
        <v>5550.9937873280014</v>
      </c>
      <c r="H39" s="110">
        <f>'Input Value'!$B$43*H32</f>
        <v>5606.5037252012826</v>
      </c>
      <c r="I39" s="110">
        <f>'Input Value'!$B$43*I32</f>
        <v>5662.5687624532948</v>
      </c>
      <c r="J39" s="110">
        <f>'Input Value'!$B$43*J32</f>
        <v>5719.1944500778272</v>
      </c>
      <c r="K39" s="110">
        <f>'Input Value'!$B$43*K32</f>
        <v>5776.3863945786061</v>
      </c>
      <c r="L39" s="110">
        <f>'Input Value'!$B$43*L32</f>
        <v>5834.1502585243934</v>
      </c>
      <c r="M39" s="110">
        <f>'Input Value'!$B$43*M32</f>
        <v>5892.491761109638</v>
      </c>
      <c r="N39" s="223">
        <f>'Input Value'!$B$43*N32</f>
        <v>5951.4166787207332</v>
      </c>
    </row>
    <row r="40" spans="1:14">
      <c r="A40" s="116"/>
      <c r="B40" s="14"/>
      <c r="C40" s="202"/>
      <c r="D40" s="202"/>
      <c r="E40" s="110"/>
      <c r="F40" s="110"/>
      <c r="G40" s="110"/>
      <c r="H40" s="110"/>
      <c r="I40" s="110"/>
      <c r="J40" s="110"/>
      <c r="K40" s="110"/>
      <c r="L40" s="110"/>
      <c r="M40" s="110"/>
      <c r="N40" s="223"/>
    </row>
    <row r="41" spans="1:14">
      <c r="A41" s="116"/>
      <c r="B41" s="14"/>
      <c r="C41" s="202"/>
      <c r="D41" s="205" t="s">
        <v>95</v>
      </c>
      <c r="E41" s="243" t="s">
        <v>30</v>
      </c>
      <c r="F41" s="110"/>
      <c r="G41" s="110"/>
      <c r="H41" s="110"/>
      <c r="I41" s="110"/>
      <c r="J41" s="110"/>
      <c r="K41" s="110"/>
      <c r="L41" s="110"/>
      <c r="M41" s="110"/>
      <c r="N41" s="223"/>
    </row>
    <row r="42" spans="1:14">
      <c r="A42" s="114" t="s">
        <v>350</v>
      </c>
      <c r="B42" s="14"/>
      <c r="C42" s="202"/>
      <c r="D42" s="209">
        <v>0.1</v>
      </c>
      <c r="E42" s="110">
        <f t="shared" ref="E42:N42" si="0">+(E28+E35)*$D$42</f>
        <v>2030.7784640000002</v>
      </c>
      <c r="F42" s="110">
        <f t="shared" si="0"/>
        <v>2051.0862486400001</v>
      </c>
      <c r="G42" s="110">
        <f t="shared" si="0"/>
        <v>2071.5971111264003</v>
      </c>
      <c r="H42" s="110">
        <f t="shared" si="0"/>
        <v>2092.3130822376647</v>
      </c>
      <c r="I42" s="110">
        <f t="shared" si="0"/>
        <v>2113.2362130600413</v>
      </c>
      <c r="J42" s="110">
        <f t="shared" si="0"/>
        <v>2134.3685751906419</v>
      </c>
      <c r="K42" s="110">
        <f t="shared" si="0"/>
        <v>2155.7122609425483</v>
      </c>
      <c r="L42" s="110">
        <f t="shared" si="0"/>
        <v>2177.269383551974</v>
      </c>
      <c r="M42" s="110">
        <f t="shared" si="0"/>
        <v>2199.0420773874939</v>
      </c>
      <c r="N42" s="223">
        <f t="shared" si="0"/>
        <v>2221.0324981613689</v>
      </c>
    </row>
    <row r="43" spans="1:14">
      <c r="A43" s="116"/>
      <c r="B43" s="14"/>
      <c r="C43" s="202"/>
      <c r="D43" s="213"/>
      <c r="E43" s="110"/>
      <c r="F43" s="110"/>
      <c r="G43" s="110"/>
      <c r="H43" s="110"/>
      <c r="I43" s="110"/>
      <c r="J43" s="110"/>
      <c r="K43" s="110"/>
      <c r="L43" s="110"/>
      <c r="M43" s="110"/>
      <c r="N43" s="223"/>
    </row>
    <row r="44" spans="1:14">
      <c r="A44" s="114" t="s">
        <v>351</v>
      </c>
      <c r="B44" s="14"/>
      <c r="C44" s="202"/>
      <c r="D44" s="209">
        <v>0.1</v>
      </c>
      <c r="E44" s="110">
        <f t="shared" ref="E44:N44" si="1">+(E30+E37)*$D$44</f>
        <v>2204.4929573333334</v>
      </c>
      <c r="F44" s="110">
        <f t="shared" si="1"/>
        <v>2226.5378869066672</v>
      </c>
      <c r="G44" s="110">
        <f t="shared" si="1"/>
        <v>2248.8032657757335</v>
      </c>
      <c r="H44" s="110">
        <f t="shared" si="1"/>
        <v>2271.2912984334916</v>
      </c>
      <c r="I44" s="110">
        <f t="shared" si="1"/>
        <v>2294.0042114178264</v>
      </c>
      <c r="J44" s="110">
        <f t="shared" si="1"/>
        <v>2316.9442535320045</v>
      </c>
      <c r="K44" s="110">
        <f t="shared" si="1"/>
        <v>2340.1136960673248</v>
      </c>
      <c r="L44" s="110">
        <f t="shared" si="1"/>
        <v>2363.5148330279985</v>
      </c>
      <c r="M44" s="110">
        <f t="shared" si="1"/>
        <v>2387.1499813582786</v>
      </c>
      <c r="N44" s="223">
        <f t="shared" si="1"/>
        <v>2411.0214811718611</v>
      </c>
    </row>
    <row r="45" spans="1:14">
      <c r="A45" s="116"/>
      <c r="B45" s="14"/>
      <c r="C45" s="202"/>
      <c r="D45" s="14"/>
      <c r="E45" s="110"/>
      <c r="F45" s="110"/>
      <c r="G45" s="110"/>
      <c r="H45" s="110"/>
      <c r="I45" s="110"/>
      <c r="J45" s="110"/>
      <c r="K45" s="110"/>
      <c r="L45" s="110"/>
      <c r="M45" s="110"/>
      <c r="N45" s="223"/>
    </row>
    <row r="46" spans="1:14">
      <c r="A46" s="114" t="s">
        <v>352</v>
      </c>
      <c r="B46" s="14"/>
      <c r="C46" s="202"/>
      <c r="D46" s="209">
        <v>0.05</v>
      </c>
      <c r="E46" s="110">
        <f t="shared" ref="E46:N46" si="2">+(E32+E39)*$D$46</f>
        <v>1179.0170773333336</v>
      </c>
      <c r="F46" s="110">
        <f t="shared" si="2"/>
        <v>1190.807248106667</v>
      </c>
      <c r="G46" s="110">
        <f t="shared" si="2"/>
        <v>1202.7153205877335</v>
      </c>
      <c r="H46" s="110">
        <f t="shared" si="2"/>
        <v>1214.7424737936112</v>
      </c>
      <c r="I46" s="110">
        <f t="shared" si="2"/>
        <v>1226.889898531547</v>
      </c>
      <c r="J46" s="110">
        <f t="shared" si="2"/>
        <v>1239.1587975168625</v>
      </c>
      <c r="K46" s="110">
        <f t="shared" si="2"/>
        <v>1251.5503854920314</v>
      </c>
      <c r="L46" s="110">
        <f t="shared" si="2"/>
        <v>1264.0658893469517</v>
      </c>
      <c r="M46" s="110">
        <f t="shared" si="2"/>
        <v>1276.7065482404214</v>
      </c>
      <c r="N46" s="223">
        <f t="shared" si="2"/>
        <v>1289.4736137228256</v>
      </c>
    </row>
    <row r="47" spans="1:14">
      <c r="A47" s="116"/>
      <c r="B47" s="14"/>
      <c r="C47" s="202"/>
      <c r="D47" s="202"/>
      <c r="E47" s="110"/>
      <c r="F47" s="110"/>
      <c r="G47" s="110"/>
      <c r="H47" s="110"/>
      <c r="I47" s="110"/>
      <c r="J47" s="110"/>
      <c r="K47" s="110"/>
      <c r="L47" s="110"/>
      <c r="M47" s="110"/>
      <c r="N47" s="223"/>
    </row>
    <row r="48" spans="1:14">
      <c r="A48" s="116"/>
      <c r="B48" s="14"/>
      <c r="C48" s="202"/>
      <c r="D48" s="202"/>
      <c r="E48" s="243" t="s">
        <v>52</v>
      </c>
      <c r="F48" s="110"/>
      <c r="G48" s="110"/>
      <c r="H48" s="110"/>
      <c r="I48" s="110"/>
      <c r="J48" s="110"/>
      <c r="K48" s="110"/>
      <c r="L48" s="110"/>
      <c r="M48" s="110"/>
      <c r="N48" s="223"/>
    </row>
    <row r="49" spans="1:14">
      <c r="A49" s="114" t="s">
        <v>350</v>
      </c>
      <c r="B49" s="14"/>
      <c r="C49" s="202"/>
      <c r="D49" s="202"/>
      <c r="E49" s="110">
        <f>E28+E35+E42</f>
        <v>22338.563104000001</v>
      </c>
      <c r="F49" s="110">
        <f t="shared" ref="F49:N49" si="3">F28+F35+F42</f>
        <v>22561.948735040001</v>
      </c>
      <c r="G49" s="110">
        <f t="shared" si="3"/>
        <v>22787.568222390404</v>
      </c>
      <c r="H49" s="110">
        <f t="shared" si="3"/>
        <v>23015.443904614312</v>
      </c>
      <c r="I49" s="110">
        <f t="shared" si="3"/>
        <v>23245.598343660455</v>
      </c>
      <c r="J49" s="110">
        <f t="shared" si="3"/>
        <v>23478.054327097059</v>
      </c>
      <c r="K49" s="110">
        <f t="shared" si="3"/>
        <v>23712.834870368031</v>
      </c>
      <c r="L49" s="110">
        <f t="shared" si="3"/>
        <v>23949.963219071713</v>
      </c>
      <c r="M49" s="110">
        <f t="shared" si="3"/>
        <v>24189.462851262433</v>
      </c>
      <c r="N49" s="223">
        <f t="shared" si="3"/>
        <v>24431.357479775059</v>
      </c>
    </row>
    <row r="50" spans="1:14">
      <c r="A50" s="116"/>
      <c r="B50" s="14"/>
      <c r="C50" s="202"/>
      <c r="D50" s="202"/>
      <c r="E50" s="110"/>
      <c r="F50" s="110"/>
      <c r="G50" s="110"/>
      <c r="H50" s="110"/>
      <c r="I50" s="110"/>
      <c r="J50" s="110"/>
      <c r="K50" s="110"/>
      <c r="L50" s="110"/>
      <c r="M50" s="110"/>
      <c r="N50" s="223"/>
    </row>
    <row r="51" spans="1:14">
      <c r="A51" s="114" t="s">
        <v>351</v>
      </c>
      <c r="B51" s="14"/>
      <c r="C51" s="202"/>
      <c r="D51" s="202"/>
      <c r="E51" s="110">
        <f>E30+E37+E44</f>
        <v>24249.422530666667</v>
      </c>
      <c r="F51" s="110">
        <f t="shared" ref="F51:N51" si="4">F30+F37+F44</f>
        <v>24491.916755973336</v>
      </c>
      <c r="G51" s="110">
        <f t="shared" si="4"/>
        <v>24736.835923533068</v>
      </c>
      <c r="H51" s="110">
        <f t="shared" si="4"/>
        <v>24984.204282768405</v>
      </c>
      <c r="I51" s="110">
        <f t="shared" si="4"/>
        <v>25234.046325596089</v>
      </c>
      <c r="J51" s="110">
        <f t="shared" si="4"/>
        <v>25486.386788852051</v>
      </c>
      <c r="K51" s="110">
        <f t="shared" si="4"/>
        <v>25741.250656740573</v>
      </c>
      <c r="L51" s="110">
        <f t="shared" si="4"/>
        <v>25998.663163307981</v>
      </c>
      <c r="M51" s="110">
        <f t="shared" si="4"/>
        <v>26258.649794941062</v>
      </c>
      <c r="N51" s="223">
        <f t="shared" si="4"/>
        <v>26521.236292890473</v>
      </c>
    </row>
    <row r="52" spans="1:14">
      <c r="A52" s="116"/>
      <c r="B52" s="14"/>
      <c r="C52" s="202"/>
      <c r="D52" s="202"/>
      <c r="E52" s="110"/>
      <c r="F52" s="110"/>
      <c r="G52" s="110"/>
      <c r="H52" s="110"/>
      <c r="I52" s="110"/>
      <c r="J52" s="110"/>
      <c r="K52" s="110"/>
      <c r="L52" s="110"/>
      <c r="M52" s="110"/>
      <c r="N52" s="223"/>
    </row>
    <row r="53" spans="1:14">
      <c r="A53" s="114" t="s">
        <v>352</v>
      </c>
      <c r="B53" s="14"/>
      <c r="C53" s="202"/>
      <c r="D53" s="202"/>
      <c r="E53" s="110">
        <f>E32+E39+E46</f>
        <v>24759.358624000004</v>
      </c>
      <c r="F53" s="110">
        <f t="shared" ref="F53:N53" si="5">F32+F39+F46</f>
        <v>25006.952210240004</v>
      </c>
      <c r="G53" s="110">
        <f t="shared" si="5"/>
        <v>25257.0217323424</v>
      </c>
      <c r="H53" s="110">
        <f t="shared" si="5"/>
        <v>25509.591949665835</v>
      </c>
      <c r="I53" s="110">
        <f t="shared" si="5"/>
        <v>25764.687869162488</v>
      </c>
      <c r="J53" s="110">
        <f t="shared" si="5"/>
        <v>26022.334747854111</v>
      </c>
      <c r="K53" s="110">
        <f t="shared" si="5"/>
        <v>26282.558095332657</v>
      </c>
      <c r="L53" s="110">
        <f t="shared" si="5"/>
        <v>26545.383676285986</v>
      </c>
      <c r="M53" s="110">
        <f t="shared" si="5"/>
        <v>26810.837513048849</v>
      </c>
      <c r="N53" s="223">
        <f t="shared" si="5"/>
        <v>27078.945888179333</v>
      </c>
    </row>
    <row r="54" spans="1:14">
      <c r="A54" s="116"/>
      <c r="B54" s="14"/>
      <c r="C54" s="202"/>
      <c r="D54" s="202"/>
      <c r="E54" s="110"/>
      <c r="F54" s="110"/>
      <c r="G54" s="110"/>
      <c r="H54" s="110"/>
      <c r="I54" s="110"/>
      <c r="J54" s="110"/>
      <c r="K54" s="110"/>
      <c r="L54" s="110"/>
      <c r="M54" s="110"/>
      <c r="N54" s="223"/>
    </row>
    <row r="55" spans="1:14" ht="13.8" thickBot="1">
      <c r="A55" s="225" t="s">
        <v>387</v>
      </c>
      <c r="B55" s="231"/>
      <c r="C55" s="228"/>
      <c r="D55" s="228"/>
      <c r="E55" s="227">
        <f>E49+E51+E53</f>
        <v>71347.344258666664</v>
      </c>
      <c r="F55" s="227">
        <f t="shared" ref="F55:N55" si="6">F49+F51+F53</f>
        <v>72060.817701253342</v>
      </c>
      <c r="G55" s="227">
        <f t="shared" si="6"/>
        <v>72781.425878265873</v>
      </c>
      <c r="H55" s="227">
        <f t="shared" si="6"/>
        <v>73509.240137048546</v>
      </c>
      <c r="I55" s="227">
        <f t="shared" si="6"/>
        <v>74244.332538419025</v>
      </c>
      <c r="J55" s="227">
        <f t="shared" si="6"/>
        <v>74986.775863803225</v>
      </c>
      <c r="K55" s="227">
        <f t="shared" si="6"/>
        <v>75736.643622441261</v>
      </c>
      <c r="L55" s="227">
        <f t="shared" si="6"/>
        <v>76494.010058665677</v>
      </c>
      <c r="M55" s="227">
        <f t="shared" si="6"/>
        <v>77258.950159252345</v>
      </c>
      <c r="N55" s="229">
        <f t="shared" si="6"/>
        <v>78031.539660844865</v>
      </c>
    </row>
  </sheetData>
  <sheetProtection algorithmName="SHA-512" hashValue="eHtaFtVLqu/uWAqwmX7vSxWLmVGD5FBWjJ683NOjgTtXzY7Oj2uIY3ZHcUqWFBJYCXLLgfU1qr2R3PLyv9d5+A==" saltValue="45sUV+SWliXTF5vnK+ywqw==" spinCount="100000" sheet="1" formatColumns="0"/>
  <mergeCells count="4">
    <mergeCell ref="A1:E1"/>
    <mergeCell ref="A2:E2"/>
    <mergeCell ref="A3:E3"/>
    <mergeCell ref="A4:E4"/>
  </mergeCells>
  <phoneticPr fontId="0" type="noConversion"/>
  <hyperlinks>
    <hyperlink ref="A2:E2" location="'Input Value'!A1" display="BACK TO INPUTS" xr:uid="{00000000-0004-0000-0400-000000000000}"/>
    <hyperlink ref="A3:E3" location="'Return On Investment'!A1" display="FORWARD TO RETURN ON INVESTMENT" xr:uid="{00000000-0004-0000-0400-000001000000}"/>
    <hyperlink ref="A4:E4" location="'Operations Summary'!A1" display="FORWARD TO OPERATIONS SUMMARY" xr:uid="{00000000-0004-0000-0400-000002000000}"/>
  </hyperlink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9"/>
  <sheetViews>
    <sheetView showGridLines="0" zoomScaleNormal="100" workbookViewId="0">
      <selection activeCell="A3" sqref="A3:C3"/>
    </sheetView>
  </sheetViews>
  <sheetFormatPr defaultColWidth="8.88671875" defaultRowHeight="13.2"/>
  <cols>
    <col min="1" max="1" width="36.88671875" style="1" customWidth="1"/>
    <col min="2" max="2" width="12.44140625" bestFit="1" customWidth="1"/>
    <col min="3" max="3" width="14" customWidth="1"/>
    <col min="4" max="7" width="12.6640625" bestFit="1" customWidth="1"/>
    <col min="8" max="8" width="12.109375" customWidth="1"/>
    <col min="9" max="11" width="12.6640625" bestFit="1" customWidth="1"/>
    <col min="12" max="12" width="12.6640625" style="6" bestFit="1" customWidth="1"/>
  </cols>
  <sheetData>
    <row r="1" spans="1:13" ht="13.8" thickBot="1">
      <c r="A1" s="466" t="s">
        <v>146</v>
      </c>
      <c r="B1" s="467"/>
      <c r="C1" s="468"/>
    </row>
    <row r="2" spans="1:13" ht="13.8" thickBot="1">
      <c r="A2" s="469" t="s">
        <v>153</v>
      </c>
      <c r="B2" s="470"/>
      <c r="C2" s="471"/>
    </row>
    <row r="3" spans="1:13" ht="13.8" thickBot="1">
      <c r="A3" s="469" t="s">
        <v>151</v>
      </c>
      <c r="B3" s="470"/>
      <c r="C3" s="471"/>
    </row>
    <row r="4" spans="1:13" ht="13.8" thickBot="1">
      <c r="A4" s="469" t="s">
        <v>150</v>
      </c>
      <c r="B4" s="470"/>
      <c r="C4" s="471"/>
    </row>
    <row r="6" spans="1:13">
      <c r="A6" s="1" t="s">
        <v>112</v>
      </c>
    </row>
    <row r="7" spans="1:13" ht="13.8" thickBot="1"/>
    <row r="8" spans="1:13">
      <c r="A8" s="379" t="s">
        <v>28</v>
      </c>
      <c r="B8" s="380" t="s">
        <v>12</v>
      </c>
      <c r="C8" s="380" t="s">
        <v>0</v>
      </c>
      <c r="D8" s="380" t="s">
        <v>1</v>
      </c>
      <c r="E8" s="380" t="s">
        <v>2</v>
      </c>
      <c r="F8" s="380" t="s">
        <v>3</v>
      </c>
      <c r="G8" s="380" t="s">
        <v>4</v>
      </c>
      <c r="H8" s="380" t="s">
        <v>5</v>
      </c>
      <c r="I8" s="380" t="s">
        <v>6</v>
      </c>
      <c r="J8" s="380" t="s">
        <v>7</v>
      </c>
      <c r="K8" s="380" t="s">
        <v>8</v>
      </c>
      <c r="L8" s="381" t="s">
        <v>9</v>
      </c>
    </row>
    <row r="9" spans="1:13">
      <c r="A9" s="114" t="s">
        <v>32</v>
      </c>
      <c r="B9" s="235"/>
      <c r="C9" s="235">
        <f>'Personnel Expenses'!D21</f>
        <v>290000</v>
      </c>
      <c r="D9" s="235">
        <f>C9*(1+'Input Value'!$B$44)</f>
        <v>292900</v>
      </c>
      <c r="E9" s="235">
        <f>D9*(1+'Input Value'!$B$44)</f>
        <v>295829</v>
      </c>
      <c r="F9" s="235">
        <f>E9*(1+'Input Value'!$B$44)</f>
        <v>298787.28999999998</v>
      </c>
      <c r="G9" s="235">
        <f>F9*(1+'Input Value'!$B$44)</f>
        <v>301775.1629</v>
      </c>
      <c r="H9" s="235">
        <f>G9*(1+'Input Value'!$B$44)</f>
        <v>304792.914529</v>
      </c>
      <c r="I9" s="235">
        <f>H9*(1+'Input Value'!$B$44)</f>
        <v>307840.84367428999</v>
      </c>
      <c r="J9" s="235">
        <f>I9*(1+'Input Value'!$B$44)</f>
        <v>310919.2521110329</v>
      </c>
      <c r="K9" s="235">
        <f>J9*(1+'Input Value'!$B$44)</f>
        <v>314028.44463214325</v>
      </c>
      <c r="L9" s="332">
        <f>K9*(1+'Input Value'!$B$44)</f>
        <v>317168.72907846468</v>
      </c>
      <c r="M9" s="17"/>
    </row>
    <row r="10" spans="1:13">
      <c r="A10" s="114" t="s">
        <v>31</v>
      </c>
      <c r="B10" s="235"/>
      <c r="C10" s="235">
        <f>'Personnel Expenses'!E21</f>
        <v>87000.000000000015</v>
      </c>
      <c r="D10" s="235">
        <f>C10*(1+'Input Value'!$B$44)</f>
        <v>87870.000000000015</v>
      </c>
      <c r="E10" s="235">
        <f>D10*(1+'Input Value'!$B$44)</f>
        <v>88748.700000000012</v>
      </c>
      <c r="F10" s="235">
        <f>E10*(1+'Input Value'!$B$44)</f>
        <v>89636.187000000005</v>
      </c>
      <c r="G10" s="235">
        <f>F10*(1+'Input Value'!$B$44)</f>
        <v>90532.548870000013</v>
      </c>
      <c r="H10" s="235">
        <f>G10*(1+'Input Value'!$B$44)</f>
        <v>91437.874358700021</v>
      </c>
      <c r="I10" s="235">
        <f>H10*(1+'Input Value'!$B$44)</f>
        <v>92352.253102287024</v>
      </c>
      <c r="J10" s="235">
        <f>I10*(1+'Input Value'!$B$44)</f>
        <v>93275.775633309895</v>
      </c>
      <c r="K10" s="235">
        <f>J10*(1+'Input Value'!$B$44)</f>
        <v>94208.533389642995</v>
      </c>
      <c r="L10" s="332">
        <f>K10*(1+'Input Value'!$B$44)</f>
        <v>95150.618723539432</v>
      </c>
      <c r="M10" s="17"/>
    </row>
    <row r="11" spans="1:13">
      <c r="A11" s="114" t="s">
        <v>30</v>
      </c>
      <c r="B11" s="235"/>
      <c r="C11" s="235">
        <f>'Personnel Expenses'!G21</f>
        <v>0</v>
      </c>
      <c r="D11" s="235">
        <f>C11*(1+'Input Value'!$B$44)</f>
        <v>0</v>
      </c>
      <c r="E11" s="235">
        <f>D11*(1+'Input Value'!$B$44)</f>
        <v>0</v>
      </c>
      <c r="F11" s="235">
        <f>E11*(1+'Input Value'!$B$44)</f>
        <v>0</v>
      </c>
      <c r="G11" s="235">
        <f>F11*(1+'Input Value'!$B$44)</f>
        <v>0</v>
      </c>
      <c r="H11" s="235">
        <f>G11*(1+'Input Value'!$B$44)</f>
        <v>0</v>
      </c>
      <c r="I11" s="235">
        <f>H11*(1+'Input Value'!$B$44)</f>
        <v>0</v>
      </c>
      <c r="J11" s="235">
        <f>I11*(1+'Input Value'!$B$44)</f>
        <v>0</v>
      </c>
      <c r="K11" s="235">
        <f>J11*(1+'Input Value'!$B$44)</f>
        <v>0</v>
      </c>
      <c r="L11" s="332">
        <f>K11*(1+'Input Value'!$B$44)</f>
        <v>0</v>
      </c>
      <c r="M11" s="17"/>
    </row>
    <row r="12" spans="1:13">
      <c r="A12" s="114" t="str">
        <f>'Personnel Expenses'!A55</f>
        <v>Other Labor Cost Total</v>
      </c>
      <c r="B12" s="235"/>
      <c r="C12" s="235">
        <f>'Personnel Expenses'!E55</f>
        <v>71347.344258666664</v>
      </c>
      <c r="D12" s="235">
        <f>'Personnel Expenses'!F55</f>
        <v>72060.817701253342</v>
      </c>
      <c r="E12" s="235">
        <f>'Personnel Expenses'!G55</f>
        <v>72781.425878265873</v>
      </c>
      <c r="F12" s="235">
        <f>'Personnel Expenses'!H55</f>
        <v>73509.240137048546</v>
      </c>
      <c r="G12" s="235">
        <f>'Personnel Expenses'!I55</f>
        <v>74244.332538419025</v>
      </c>
      <c r="H12" s="235">
        <f>'Personnel Expenses'!J55</f>
        <v>74986.775863803225</v>
      </c>
      <c r="I12" s="235">
        <f>'Personnel Expenses'!K55</f>
        <v>75736.643622441261</v>
      </c>
      <c r="J12" s="235">
        <f>'Personnel Expenses'!L55</f>
        <v>76494.010058665677</v>
      </c>
      <c r="K12" s="235">
        <f>'Personnel Expenses'!M55</f>
        <v>77258.950159252345</v>
      </c>
      <c r="L12" s="332">
        <f>'Personnel Expenses'!N55</f>
        <v>78031.539660844865</v>
      </c>
      <c r="M12" s="17"/>
    </row>
    <row r="13" spans="1:13">
      <c r="A13" s="114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332"/>
      <c r="M13" s="17"/>
    </row>
    <row r="14" spans="1:13">
      <c r="A14" s="114" t="s">
        <v>36</v>
      </c>
      <c r="B14" s="330">
        <f>SUM(B9,B10,B11,B12)</f>
        <v>0</v>
      </c>
      <c r="C14" s="330">
        <f t="shared" ref="C14:L14" si="0">SUM(C9,C10,C11,C12)</f>
        <v>448347.34425866668</v>
      </c>
      <c r="D14" s="330">
        <f t="shared" si="0"/>
        <v>452830.81770125334</v>
      </c>
      <c r="E14" s="330">
        <f t="shared" si="0"/>
        <v>457359.12587826588</v>
      </c>
      <c r="F14" s="330">
        <f t="shared" si="0"/>
        <v>461932.71713704849</v>
      </c>
      <c r="G14" s="330">
        <f t="shared" si="0"/>
        <v>466552.04430841899</v>
      </c>
      <c r="H14" s="330">
        <f t="shared" si="0"/>
        <v>471217.56475150323</v>
      </c>
      <c r="I14" s="330">
        <f t="shared" si="0"/>
        <v>475929.74039901828</v>
      </c>
      <c r="J14" s="330">
        <f t="shared" si="0"/>
        <v>480689.03780300845</v>
      </c>
      <c r="K14" s="330">
        <f t="shared" si="0"/>
        <v>485495.92818103859</v>
      </c>
      <c r="L14" s="333">
        <f t="shared" si="0"/>
        <v>490350.88746284891</v>
      </c>
      <c r="M14" s="17"/>
    </row>
    <row r="15" spans="1:13">
      <c r="A15" s="114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332"/>
      <c r="M15" s="17"/>
    </row>
    <row r="16" spans="1:13" s="3" customFormat="1">
      <c r="A16" s="232" t="s">
        <v>243</v>
      </c>
      <c r="B16" s="334"/>
      <c r="C16" s="334">
        <f>+'Market Projection'!C101</f>
        <v>1215744.6543075806</v>
      </c>
      <c r="D16" s="334">
        <f>+'Market Projection'!D101</f>
        <v>1227902.1008506564</v>
      </c>
      <c r="E16" s="334">
        <f>+'Market Projection'!E101</f>
        <v>1240181.121859163</v>
      </c>
      <c r="F16" s="334">
        <f>+'Market Projection'!F101</f>
        <v>1252582.9330777547</v>
      </c>
      <c r="G16" s="334">
        <f>+'Market Projection'!G101</f>
        <v>1265108.7624085322</v>
      </c>
      <c r="H16" s="334">
        <f>+'Market Projection'!H101</f>
        <v>1277759.8500326178</v>
      </c>
      <c r="I16" s="334">
        <f>+'Market Projection'!I101</f>
        <v>1290537.4485329438</v>
      </c>
      <c r="J16" s="334">
        <f>+'Market Projection'!J101</f>
        <v>1303442.8230182736</v>
      </c>
      <c r="K16" s="334">
        <f>+'Market Projection'!K101</f>
        <v>1316477.2512484563</v>
      </c>
      <c r="L16" s="335">
        <f>+'Market Projection'!L101</f>
        <v>1329642.0237609409</v>
      </c>
      <c r="M16" s="37"/>
    </row>
    <row r="17" spans="1:13">
      <c r="A17" s="114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332"/>
      <c r="M17" s="17"/>
    </row>
    <row r="18" spans="1:13" s="3" customFormat="1">
      <c r="A18" s="232" t="s">
        <v>38</v>
      </c>
      <c r="B18" s="334"/>
      <c r="C18" s="334">
        <f>'Input Value'!G97+'Input Value'!C51</f>
        <v>84967.799999999988</v>
      </c>
      <c r="D18" s="334">
        <f>C18</f>
        <v>84967.799999999988</v>
      </c>
      <c r="E18" s="334">
        <f t="shared" ref="E18:L18" si="1">D18</f>
        <v>84967.799999999988</v>
      </c>
      <c r="F18" s="334">
        <f t="shared" si="1"/>
        <v>84967.799999999988</v>
      </c>
      <c r="G18" s="334">
        <f t="shared" si="1"/>
        <v>84967.799999999988</v>
      </c>
      <c r="H18" s="334">
        <f t="shared" si="1"/>
        <v>84967.799999999988</v>
      </c>
      <c r="I18" s="334">
        <f t="shared" si="1"/>
        <v>84967.799999999988</v>
      </c>
      <c r="J18" s="334">
        <f t="shared" si="1"/>
        <v>84967.799999999988</v>
      </c>
      <c r="K18" s="334">
        <f t="shared" si="1"/>
        <v>84967.799999999988</v>
      </c>
      <c r="L18" s="335">
        <f t="shared" si="1"/>
        <v>84967.799999999988</v>
      </c>
      <c r="M18" s="37"/>
    </row>
    <row r="19" spans="1:13">
      <c r="A19" s="114"/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332"/>
      <c r="M19" s="17"/>
    </row>
    <row r="20" spans="1:13">
      <c r="A20" s="114" t="s">
        <v>456</v>
      </c>
      <c r="B20" s="330">
        <f>+B14+B16+B18</f>
        <v>0</v>
      </c>
      <c r="C20" s="330">
        <f>+C14+C16+C18+C19</f>
        <v>1749059.7985662473</v>
      </c>
      <c r="D20" s="330">
        <f t="shared" ref="D20:L20" si="2">+D14+D16+D18+D19</f>
        <v>1765700.7185519098</v>
      </c>
      <c r="E20" s="330">
        <f t="shared" si="2"/>
        <v>1782508.0477374289</v>
      </c>
      <c r="F20" s="330">
        <f t="shared" si="2"/>
        <v>1799483.4502148032</v>
      </c>
      <c r="G20" s="330">
        <f t="shared" si="2"/>
        <v>1816628.6067169511</v>
      </c>
      <c r="H20" s="330">
        <f t="shared" si="2"/>
        <v>1833945.2147841211</v>
      </c>
      <c r="I20" s="330">
        <f t="shared" si="2"/>
        <v>1851434.9889319621</v>
      </c>
      <c r="J20" s="330">
        <f t="shared" si="2"/>
        <v>1869099.6608212821</v>
      </c>
      <c r="K20" s="330">
        <f t="shared" si="2"/>
        <v>1886940.9794294948</v>
      </c>
      <c r="L20" s="333">
        <f t="shared" si="2"/>
        <v>1904960.7112237897</v>
      </c>
      <c r="M20" s="17"/>
    </row>
    <row r="21" spans="1:13">
      <c r="A21" s="114"/>
      <c r="B21" s="235"/>
      <c r="C21" s="336"/>
      <c r="D21" s="235"/>
      <c r="E21" s="235"/>
      <c r="F21" s="235"/>
      <c r="G21" s="235"/>
      <c r="H21" s="235"/>
      <c r="I21" s="235"/>
      <c r="J21" s="235"/>
      <c r="K21" s="235"/>
      <c r="L21" s="332"/>
      <c r="M21" s="17"/>
    </row>
    <row r="22" spans="1:13">
      <c r="A22" s="203" t="s">
        <v>39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332"/>
      <c r="M22" s="17"/>
    </row>
    <row r="23" spans="1:13">
      <c r="A23" s="114" t="s">
        <v>40</v>
      </c>
      <c r="B23" s="235"/>
      <c r="C23" s="235">
        <f>+'Input Value'!B59*'Equip and Depreciation'!C40</f>
        <v>22439.759999999998</v>
      </c>
      <c r="D23" s="235">
        <f>C23*(1+'Input Value'!$B$58)</f>
        <v>22664.157599999999</v>
      </c>
      <c r="E23" s="235">
        <f>D23*(1+'Input Value'!$B$58)</f>
        <v>22890.799176</v>
      </c>
      <c r="F23" s="235">
        <f>E23*(1+'Input Value'!$B$58)</f>
        <v>23119.70716776</v>
      </c>
      <c r="G23" s="235">
        <f>F23*(1+'Input Value'!$B$58)</f>
        <v>23350.904239437601</v>
      </c>
      <c r="H23" s="235">
        <f>G23*(1+'Input Value'!$B$58)</f>
        <v>23584.413281831978</v>
      </c>
      <c r="I23" s="235">
        <f>H23*(1+'Input Value'!$B$58)</f>
        <v>23820.257414650299</v>
      </c>
      <c r="J23" s="235">
        <f>I23*(1+'Input Value'!$B$58)</f>
        <v>24058.459988796803</v>
      </c>
      <c r="K23" s="235">
        <f>J23*(1+'Input Value'!$B$58)</f>
        <v>24299.04458868477</v>
      </c>
      <c r="L23" s="332">
        <f>K23*(1+'Input Value'!$B$58)</f>
        <v>24542.035034571618</v>
      </c>
      <c r="M23" s="17"/>
    </row>
    <row r="24" spans="1:13">
      <c r="A24" s="114"/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332"/>
      <c r="M24" s="17"/>
    </row>
    <row r="25" spans="1:13">
      <c r="A25" s="114" t="s">
        <v>42</v>
      </c>
      <c r="B25" s="235"/>
      <c r="C25" s="235">
        <f>+'Input Value'!B60*'Equip and Depreciation'!C40</f>
        <v>14959.84</v>
      </c>
      <c r="D25" s="235">
        <f>C25*(1+'Input Value'!$B$58)</f>
        <v>15109.438400000001</v>
      </c>
      <c r="E25" s="235">
        <f>D25*(1+'Input Value'!$B$58)</f>
        <v>15260.532784000001</v>
      </c>
      <c r="F25" s="235">
        <f>E25*(1+'Input Value'!$B$58)</f>
        <v>15413.13811184</v>
      </c>
      <c r="G25" s="235">
        <f>F25*(1+'Input Value'!$B$58)</f>
        <v>15567.269492958401</v>
      </c>
      <c r="H25" s="235">
        <f>G25*(1+'Input Value'!$B$58)</f>
        <v>15722.942187887986</v>
      </c>
      <c r="I25" s="235">
        <f>H25*(1+'Input Value'!$B$58)</f>
        <v>15880.171609766865</v>
      </c>
      <c r="J25" s="235">
        <f>I25*(1+'Input Value'!$B$58)</f>
        <v>16038.973325864534</v>
      </c>
      <c r="K25" s="235">
        <f>J25*(1+'Input Value'!$B$58)</f>
        <v>16199.363059123179</v>
      </c>
      <c r="L25" s="332">
        <f>K25*(1+'Input Value'!$B$58)</f>
        <v>16361.356689714412</v>
      </c>
      <c r="M25" s="17"/>
    </row>
    <row r="26" spans="1:13">
      <c r="A26" s="114"/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332"/>
      <c r="M26" s="17"/>
    </row>
    <row r="27" spans="1:13">
      <c r="A27" s="114" t="s">
        <v>41</v>
      </c>
      <c r="B27" s="235"/>
      <c r="C27" s="235">
        <f>'Input Value'!B33*'Equip and Depreciation'!C42</f>
        <v>4614.96</v>
      </c>
      <c r="D27" s="235">
        <f>C27*(1+'Input Value'!$B$58)</f>
        <v>4661.1095999999998</v>
      </c>
      <c r="E27" s="235">
        <f>D27*(1+'Input Value'!$B$58)</f>
        <v>4707.7206959999994</v>
      </c>
      <c r="F27" s="235">
        <f>E27*(1+'Input Value'!$B$58)</f>
        <v>4754.7979029599992</v>
      </c>
      <c r="G27" s="235">
        <f>F27*(1+'Input Value'!$B$58)</f>
        <v>4802.3458819895995</v>
      </c>
      <c r="H27" s="235">
        <f>G27*(1+'Input Value'!$B$58)</f>
        <v>4850.369340809496</v>
      </c>
      <c r="I27" s="235">
        <f>H27*(1+'Input Value'!$B$58)</f>
        <v>4898.8730342175913</v>
      </c>
      <c r="J27" s="235">
        <f>I27*(1+'Input Value'!$B$58)</f>
        <v>4947.8617645597669</v>
      </c>
      <c r="K27" s="235">
        <f>J27*(1+'Input Value'!$B$58)</f>
        <v>4997.3403822053642</v>
      </c>
      <c r="L27" s="332">
        <f>K27*(1+'Input Value'!$B$58)</f>
        <v>5047.3137860274182</v>
      </c>
      <c r="M27" s="17"/>
    </row>
    <row r="28" spans="1:13">
      <c r="A28" s="114"/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332"/>
      <c r="M28" s="17"/>
    </row>
    <row r="29" spans="1:13">
      <c r="A29" s="114" t="s">
        <v>48</v>
      </c>
      <c r="B29" s="235"/>
      <c r="C29" s="235">
        <f>'Equip and Depreciation'!B54</f>
        <v>86248.003174358979</v>
      </c>
      <c r="D29" s="235">
        <f>'Equip and Depreciation'!C54</f>
        <v>139402.55917435896</v>
      </c>
      <c r="E29" s="235">
        <f>'Equip and Depreciation'!D54</f>
        <v>99203.699174358975</v>
      </c>
      <c r="F29" s="235">
        <f>'Equip and Depreciation'!E54</f>
        <v>72318.799174358981</v>
      </c>
      <c r="G29" s="235">
        <f>'Equip and Depreciation'!F54</f>
        <v>60011.950374358974</v>
      </c>
      <c r="H29" s="235">
        <f>'Equip and Depreciation'!G54</f>
        <v>52777.380574358976</v>
      </c>
      <c r="I29" s="235">
        <f>'Equip and Depreciation'!H54</f>
        <v>45611.950374358974</v>
      </c>
      <c r="J29" s="235">
        <f>'Equip and Depreciation'!I54</f>
        <v>30159.249774358977</v>
      </c>
      <c r="K29" s="235">
        <f>'Equip and Depreciation'!J54</f>
        <v>14741.118974358975</v>
      </c>
      <c r="L29" s="332">
        <f>'Equip and Depreciation'!K54</f>
        <v>14741.118974358975</v>
      </c>
      <c r="M29" s="17"/>
    </row>
    <row r="30" spans="1:13">
      <c r="A30" s="114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332"/>
      <c r="M30" s="17"/>
    </row>
    <row r="31" spans="1:13">
      <c r="A31" s="114" t="s">
        <v>21</v>
      </c>
      <c r="B31" s="235"/>
      <c r="C31" s="235">
        <f>+'Loan Amortization'!B32</f>
        <v>46704.119999999995</v>
      </c>
      <c r="D31" s="235">
        <f>+'Loan Amortization'!C32</f>
        <v>44257.524542741565</v>
      </c>
      <c r="E31" s="235">
        <f>+'Loan Amortization'!D32</f>
        <v>41627.43442618876</v>
      </c>
      <c r="F31" s="235">
        <f>+'Loan Amortization'!E32</f>
        <v>38800.087550894488</v>
      </c>
      <c r="G31" s="235">
        <f>+'Loan Amortization'!F32</f>
        <v>35760.689659953139</v>
      </c>
      <c r="H31" s="235">
        <f>+'Loan Amortization'!G32</f>
        <v>32493.336927191194</v>
      </c>
      <c r="I31" s="235">
        <f>+'Loan Amortization'!H32</f>
        <v>28980.932739472104</v>
      </c>
      <c r="J31" s="235">
        <f>+'Loan Amortization'!I32</f>
        <v>25205.098237674079</v>
      </c>
      <c r="K31" s="235">
        <f>+'Loan Amortization'!J32</f>
        <v>21146.076148241205</v>
      </c>
      <c r="L31" s="332">
        <f>+'Loan Amortization'!K32</f>
        <v>16782.627402100865</v>
      </c>
      <c r="M31" s="17"/>
    </row>
    <row r="32" spans="1:13">
      <c r="A32" s="114"/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332"/>
      <c r="M32" s="17"/>
    </row>
    <row r="33" spans="1:13">
      <c r="A33" s="114" t="s">
        <v>457</v>
      </c>
      <c r="B33" s="330">
        <f t="shared" ref="B33:K33" si="3">SUM(B23,B25,B27,B29,B31)</f>
        <v>0</v>
      </c>
      <c r="C33" s="330">
        <f t="shared" si="3"/>
        <v>174966.68317435897</v>
      </c>
      <c r="D33" s="330">
        <f t="shared" si="3"/>
        <v>226094.78931710051</v>
      </c>
      <c r="E33" s="330">
        <f t="shared" si="3"/>
        <v>183690.18625654775</v>
      </c>
      <c r="F33" s="330">
        <f t="shared" si="3"/>
        <v>154406.52990781347</v>
      </c>
      <c r="G33" s="330">
        <f t="shared" si="3"/>
        <v>139493.15964869771</v>
      </c>
      <c r="H33" s="330">
        <f t="shared" si="3"/>
        <v>129428.44231207964</v>
      </c>
      <c r="I33" s="330">
        <f t="shared" si="3"/>
        <v>119192.18517246583</v>
      </c>
      <c r="J33" s="330">
        <f t="shared" si="3"/>
        <v>100409.64309125417</v>
      </c>
      <c r="K33" s="330">
        <f t="shared" si="3"/>
        <v>81382.943152613501</v>
      </c>
      <c r="L33" s="333">
        <f>SUM(L23,L25,L27,L29,L31)</f>
        <v>77474.451886773284</v>
      </c>
      <c r="M33" s="17"/>
    </row>
    <row r="34" spans="1:13">
      <c r="A34" s="114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332"/>
      <c r="M34" s="17"/>
    </row>
    <row r="35" spans="1:13">
      <c r="A35" s="203" t="s">
        <v>49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332"/>
      <c r="M35" s="17"/>
    </row>
    <row r="36" spans="1:13">
      <c r="A36" s="114" t="s">
        <v>43</v>
      </c>
      <c r="B36" s="337"/>
      <c r="C36" s="337">
        <v>10000</v>
      </c>
      <c r="D36" s="338">
        <f>+C36*(1+'Input Value'!$B$58)</f>
        <v>10100</v>
      </c>
      <c r="E36" s="338">
        <f>+D36*(1+'Input Value'!$B$58)</f>
        <v>10201</v>
      </c>
      <c r="F36" s="338">
        <f>+E36*(1+'Input Value'!$B$58)</f>
        <v>10303.01</v>
      </c>
      <c r="G36" s="338">
        <f>+F36*(1+'Input Value'!$B$58)</f>
        <v>10406.0401</v>
      </c>
      <c r="H36" s="338">
        <f>+G36*(1+'Input Value'!$B$58)</f>
        <v>10510.100501000001</v>
      </c>
      <c r="I36" s="338">
        <f>+H36*(1+'Input Value'!$B$58)</f>
        <v>10615.20150601</v>
      </c>
      <c r="J36" s="338">
        <f>+I36*(1+'Input Value'!$B$58)</f>
        <v>10721.353521070101</v>
      </c>
      <c r="K36" s="338">
        <f>+J36*(1+'Input Value'!$B$58)</f>
        <v>10828.567056280803</v>
      </c>
      <c r="L36" s="339">
        <f>+K36*(1+'Input Value'!$B$58)</f>
        <v>10936.85272684361</v>
      </c>
      <c r="M36" s="17"/>
    </row>
    <row r="37" spans="1:13">
      <c r="A37" s="114"/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9"/>
      <c r="M37" s="17"/>
    </row>
    <row r="38" spans="1:13">
      <c r="A38" s="114" t="s">
        <v>157</v>
      </c>
      <c r="B38" s="337"/>
      <c r="C38" s="337">
        <v>15000</v>
      </c>
      <c r="D38" s="338">
        <f>+C38*(1+'Input Value'!$B$58)</f>
        <v>15150</v>
      </c>
      <c r="E38" s="338">
        <f>+D38*(1+'Input Value'!$B$58)</f>
        <v>15301.5</v>
      </c>
      <c r="F38" s="338">
        <f>+E38*(1+'Input Value'!$B$58)</f>
        <v>15454.514999999999</v>
      </c>
      <c r="G38" s="338">
        <f>+F38*(1+'Input Value'!$B$58)</f>
        <v>15609.060149999999</v>
      </c>
      <c r="H38" s="338">
        <f>+G38*(1+'Input Value'!$B$58)</f>
        <v>15765.150751499999</v>
      </c>
      <c r="I38" s="338">
        <f>+H38*(1+'Input Value'!$B$58)</f>
        <v>15922.802259014999</v>
      </c>
      <c r="J38" s="338">
        <f>+I38*(1+'Input Value'!$B$58)</f>
        <v>16082.03028160515</v>
      </c>
      <c r="K38" s="338">
        <f>+J38*(1+'Input Value'!$B$58)</f>
        <v>16242.850584421201</v>
      </c>
      <c r="L38" s="339">
        <f>+K38*(1+'Input Value'!$B$58)</f>
        <v>16405.279090265412</v>
      </c>
      <c r="M38" s="17"/>
    </row>
    <row r="39" spans="1:13">
      <c r="A39" s="114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332"/>
      <c r="M39" s="17"/>
    </row>
    <row r="40" spans="1:13">
      <c r="A40" s="114" t="s">
        <v>50</v>
      </c>
      <c r="B40" s="330">
        <f t="shared" ref="B40:K40" si="4">SUM(B36,B38)</f>
        <v>0</v>
      </c>
      <c r="C40" s="330">
        <f t="shared" si="4"/>
        <v>25000</v>
      </c>
      <c r="D40" s="330">
        <f t="shared" si="4"/>
        <v>25250</v>
      </c>
      <c r="E40" s="330">
        <f t="shared" si="4"/>
        <v>25502.5</v>
      </c>
      <c r="F40" s="330">
        <f t="shared" si="4"/>
        <v>25757.525000000001</v>
      </c>
      <c r="G40" s="330">
        <f t="shared" si="4"/>
        <v>26015.10025</v>
      </c>
      <c r="H40" s="330">
        <f t="shared" si="4"/>
        <v>26275.251252499998</v>
      </c>
      <c r="I40" s="330">
        <f t="shared" si="4"/>
        <v>26538.003765025001</v>
      </c>
      <c r="J40" s="330">
        <f t="shared" si="4"/>
        <v>26803.383802675249</v>
      </c>
      <c r="K40" s="330">
        <f t="shared" si="4"/>
        <v>27071.417640702006</v>
      </c>
      <c r="L40" s="333">
        <f>SUM(L36,L38)</f>
        <v>27342.131817109024</v>
      </c>
      <c r="M40" s="17"/>
    </row>
    <row r="41" spans="1:13">
      <c r="A41" s="114"/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332"/>
      <c r="M41" s="17"/>
    </row>
    <row r="42" spans="1:13">
      <c r="A42" s="114" t="s">
        <v>209</v>
      </c>
      <c r="B42" s="106"/>
      <c r="C42" s="235">
        <f>+'Statement of Operations'!C37</f>
        <v>9944.1873221090427</v>
      </c>
      <c r="D42" s="235">
        <f>+'Statement of Operations'!D37</f>
        <v>2764.3149986804701</v>
      </c>
      <c r="E42" s="235">
        <f>+'Statement of Operations'!E37</f>
        <v>9619.2424917258213</v>
      </c>
      <c r="F42" s="235">
        <f>+'Statement of Operations'!F37</f>
        <v>14510.970348338022</v>
      </c>
      <c r="G42" s="235">
        <f>+'Statement of Operations'!G37</f>
        <v>17252.147085550547</v>
      </c>
      <c r="H42" s="235">
        <f>+'Statement of Operations'!H37</f>
        <v>10321.29900647358</v>
      </c>
      <c r="I42" s="235">
        <f>+'Statement of Operations'!I37</f>
        <v>18832.927707933301</v>
      </c>
      <c r="J42" s="235">
        <f>+'Statement of Operations'!J37</f>
        <v>16000.322366200266</v>
      </c>
      <c r="K42" s="235">
        <f>+'Statement of Operations'!K37</f>
        <v>14976.414856769868</v>
      </c>
      <c r="L42" s="332">
        <f>+'Statement of Operations'!L37</f>
        <v>13625.518479586222</v>
      </c>
      <c r="M42" s="17"/>
    </row>
    <row r="43" spans="1:13">
      <c r="A43" s="114"/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332"/>
      <c r="M43" s="17"/>
    </row>
    <row r="44" spans="1:13" ht="13.8" thickBot="1">
      <c r="A44" s="225" t="s">
        <v>51</v>
      </c>
      <c r="B44" s="340">
        <f>SUM(B20,B33,B40)</f>
        <v>0</v>
      </c>
      <c r="C44" s="340">
        <f>SUM(C20,C33,C40,C42)</f>
        <v>1958970.6690627153</v>
      </c>
      <c r="D44" s="340">
        <f t="shared" ref="D44:L44" si="5">SUM(D20,D33,D40,D42)</f>
        <v>2019809.8228676908</v>
      </c>
      <c r="E44" s="340">
        <f t="shared" si="5"/>
        <v>2001319.9764857024</v>
      </c>
      <c r="F44" s="340">
        <f t="shared" si="5"/>
        <v>1994158.4754709548</v>
      </c>
      <c r="G44" s="340">
        <f t="shared" si="5"/>
        <v>1999389.0137011991</v>
      </c>
      <c r="H44" s="340">
        <f t="shared" si="5"/>
        <v>1999970.2073551745</v>
      </c>
      <c r="I44" s="340">
        <f t="shared" si="5"/>
        <v>2015998.1055773862</v>
      </c>
      <c r="J44" s="340">
        <f t="shared" si="5"/>
        <v>2012313.0100814116</v>
      </c>
      <c r="K44" s="340">
        <f t="shared" si="5"/>
        <v>2010371.7550795802</v>
      </c>
      <c r="L44" s="341">
        <f t="shared" si="5"/>
        <v>2023402.8134072581</v>
      </c>
      <c r="M44" s="17"/>
    </row>
    <row r="46" spans="1:13">
      <c r="A46" s="30" t="s">
        <v>156</v>
      </c>
    </row>
    <row r="47" spans="1:13">
      <c r="L47" s="6">
        <f>'Input Value'!X50</f>
        <v>0</v>
      </c>
    </row>
    <row r="49" spans="12:12">
      <c r="L49" s="6">
        <f>'Input Value'!X51</f>
        <v>0</v>
      </c>
    </row>
  </sheetData>
  <sheetProtection algorithmName="SHA-512" hashValue="LcNmvcdR6eXNcSxV41DVqktZTnYYqMPyTs8DONsePNA3m+yqzrMTfKEuL3uAVEwSDAtMjC3i574C3W3WYEIWhw==" saltValue="LFMFIzdV/kx9y9Ftm5YBlw==" spinCount="100000" sheet="1" formatColumns="0"/>
  <mergeCells count="4">
    <mergeCell ref="A1:C1"/>
    <mergeCell ref="A2:C2"/>
    <mergeCell ref="A3:C3"/>
    <mergeCell ref="A4:C4"/>
  </mergeCells>
  <phoneticPr fontId="0" type="noConversion"/>
  <hyperlinks>
    <hyperlink ref="A2:C2" location="'Input Value'!A1" display="BACK TO INPUTS" xr:uid="{00000000-0004-0000-0500-000000000000}"/>
    <hyperlink ref="A3:C3" location="'Return On Investment'!A1" display="FORWARD TO RETURN ON INVESTMENT" xr:uid="{00000000-0004-0000-0500-000001000000}"/>
    <hyperlink ref="A4:C4" location="'Operations Summary'!A1" display="FORWARD TO OPERATIONS SUMMARY" xr:uid="{00000000-0004-0000-0500-000002000000}"/>
  </hyperlink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5"/>
  <sheetViews>
    <sheetView showGridLines="0" zoomScale="115" zoomScaleNormal="115" workbookViewId="0">
      <selection sqref="A1:C1"/>
    </sheetView>
  </sheetViews>
  <sheetFormatPr defaultColWidth="8.88671875" defaultRowHeight="13.2"/>
  <cols>
    <col min="1" max="1" width="24.109375" customWidth="1"/>
    <col min="2" max="2" width="12.6640625" customWidth="1"/>
    <col min="3" max="3" width="14.6640625" customWidth="1"/>
    <col min="4" max="12" width="12.6640625" customWidth="1"/>
    <col min="13" max="13" width="11.6640625" bestFit="1" customWidth="1"/>
    <col min="14" max="14" width="8.88671875" customWidth="1"/>
    <col min="15" max="15" width="12.33203125" bestFit="1" customWidth="1"/>
  </cols>
  <sheetData>
    <row r="1" spans="1:15" ht="13.8" thickBot="1">
      <c r="A1" s="466" t="s">
        <v>146</v>
      </c>
      <c r="B1" s="467"/>
      <c r="C1" s="468"/>
    </row>
    <row r="2" spans="1:15" ht="13.8" thickBot="1">
      <c r="A2" s="469" t="s">
        <v>153</v>
      </c>
      <c r="B2" s="470"/>
      <c r="C2" s="471"/>
    </row>
    <row r="3" spans="1:15" ht="13.8" thickBot="1">
      <c r="A3" s="469" t="s">
        <v>151</v>
      </c>
      <c r="B3" s="470"/>
      <c r="C3" s="471"/>
    </row>
    <row r="4" spans="1:15">
      <c r="A4" s="472"/>
      <c r="B4" s="472"/>
      <c r="C4" s="472"/>
    </row>
    <row r="5" spans="1:15">
      <c r="A5" s="1" t="s">
        <v>113</v>
      </c>
    </row>
    <row r="6" spans="1:15" ht="13.8" thickBot="1"/>
    <row r="7" spans="1:1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3"/>
    </row>
    <row r="8" spans="1:15">
      <c r="A8" s="387" t="s">
        <v>131</v>
      </c>
      <c r="B8" s="384" t="s">
        <v>12</v>
      </c>
      <c r="C8" s="384" t="s">
        <v>0</v>
      </c>
      <c r="D8" s="384" t="s">
        <v>1</v>
      </c>
      <c r="E8" s="384" t="s">
        <v>2</v>
      </c>
      <c r="F8" s="384" t="s">
        <v>3</v>
      </c>
      <c r="G8" s="384" t="s">
        <v>4</v>
      </c>
      <c r="H8" s="384" t="s">
        <v>5</v>
      </c>
      <c r="I8" s="384" t="s">
        <v>6</v>
      </c>
      <c r="J8" s="384" t="s">
        <v>7</v>
      </c>
      <c r="K8" s="384" t="s">
        <v>8</v>
      </c>
      <c r="L8" s="384" t="s">
        <v>9</v>
      </c>
      <c r="M8" s="384" t="s">
        <v>459</v>
      </c>
      <c r="N8" s="385"/>
      <c r="O8" s="386"/>
    </row>
    <row r="9" spans="1:15">
      <c r="A9" s="114" t="str">
        <f>'Market Projection'!A74</f>
        <v>Snack Halves (Wholesale)</v>
      </c>
      <c r="B9" s="106">
        <f>'Market Projection'!B74</f>
        <v>0</v>
      </c>
      <c r="C9" s="106">
        <f>'Market Projection'!C74</f>
        <v>708445.60202240013</v>
      </c>
      <c r="D9" s="106">
        <f>'Market Projection'!D74</f>
        <v>715530.05804262403</v>
      </c>
      <c r="E9" s="106">
        <f>'Market Projection'!E74</f>
        <v>722685.35862305039</v>
      </c>
      <c r="F9" s="106">
        <f>'Market Projection'!F74</f>
        <v>729912.21220928093</v>
      </c>
      <c r="G9" s="106">
        <f>'Market Projection'!G74</f>
        <v>737211.33433137368</v>
      </c>
      <c r="H9" s="106">
        <f>'Market Projection'!H74</f>
        <v>744583.44767468749</v>
      </c>
      <c r="I9" s="106">
        <f>'Market Projection'!I74</f>
        <v>752029.28215143434</v>
      </c>
      <c r="J9" s="106">
        <f>'Market Projection'!J74</f>
        <v>759549.57497294876</v>
      </c>
      <c r="K9" s="106">
        <f>'Market Projection'!K74</f>
        <v>767145.07072267809</v>
      </c>
      <c r="L9" s="106">
        <f>'Market Projection'!L74</f>
        <v>774816.52142990485</v>
      </c>
      <c r="M9" s="202"/>
      <c r="N9" s="14"/>
      <c r="O9" s="115"/>
    </row>
    <row r="10" spans="1:15">
      <c r="A10" s="114" t="str">
        <f>'Market Projection'!A75</f>
        <v>Snack Halves (retail)</v>
      </c>
      <c r="B10" s="106"/>
      <c r="C10" s="106">
        <f>'Market Projection'!C75</f>
        <v>678171.82121039974</v>
      </c>
      <c r="D10" s="106">
        <f>'Market Projection'!D75</f>
        <v>684953.53942250379</v>
      </c>
      <c r="E10" s="106">
        <f>'Market Projection'!E75</f>
        <v>691803.07481672883</v>
      </c>
      <c r="F10" s="106">
        <f>'Market Projection'!F75</f>
        <v>698721.10556489625</v>
      </c>
      <c r="G10" s="106">
        <f>'Market Projection'!G75</f>
        <v>705708.31662054523</v>
      </c>
      <c r="H10" s="106">
        <f>'Market Projection'!H75</f>
        <v>712765.39978675055</v>
      </c>
      <c r="I10" s="106">
        <f>'Market Projection'!I75</f>
        <v>719893.05378461815</v>
      </c>
      <c r="J10" s="106">
        <f>'Market Projection'!J75</f>
        <v>727091.98432246433</v>
      </c>
      <c r="K10" s="106">
        <f>'Market Projection'!K75</f>
        <v>734362.9041656889</v>
      </c>
      <c r="L10" s="106">
        <f>'Market Projection'!L75</f>
        <v>741706.53320734575</v>
      </c>
      <c r="M10" s="202"/>
      <c r="N10" s="14"/>
      <c r="O10" s="115"/>
    </row>
    <row r="11" spans="1:15">
      <c r="A11" s="114" t="str">
        <f>'Market Projection'!A76</f>
        <v>Cracked Shells</v>
      </c>
      <c r="B11" s="106">
        <f>'Market Projection'!B76</f>
        <v>0</v>
      </c>
      <c r="C11" s="106">
        <f>'Market Projection'!C76</f>
        <v>22299.406219200006</v>
      </c>
      <c r="D11" s="106">
        <f>'Market Projection'!D76</f>
        <v>22522.400281392005</v>
      </c>
      <c r="E11" s="106">
        <f>'Market Projection'!E76</f>
        <v>22747.624284205926</v>
      </c>
      <c r="F11" s="106">
        <f>'Market Projection'!F76</f>
        <v>22975.100527047987</v>
      </c>
      <c r="G11" s="106">
        <f>'Market Projection'!G76</f>
        <v>23204.851532318466</v>
      </c>
      <c r="H11" s="106">
        <f>'Market Projection'!H76</f>
        <v>23436.900047641651</v>
      </c>
      <c r="I11" s="106">
        <f>'Market Projection'!I76</f>
        <v>23671.269048118069</v>
      </c>
      <c r="J11" s="106">
        <f>'Market Projection'!J76</f>
        <v>23907.98173859925</v>
      </c>
      <c r="K11" s="106">
        <f>'Market Projection'!K76</f>
        <v>24147.061555985245</v>
      </c>
      <c r="L11" s="106">
        <f>'Market Projection'!L76</f>
        <v>24388.532171545099</v>
      </c>
      <c r="M11" s="202"/>
      <c r="N11" s="14"/>
      <c r="O11" s="115"/>
    </row>
    <row r="12" spans="1:15">
      <c r="A12" s="114" t="str">
        <f>'Market Projection'!A77</f>
        <v>Pecan Meal</v>
      </c>
      <c r="B12" s="106">
        <f>'Market Projection'!B77</f>
        <v>0</v>
      </c>
      <c r="C12" s="106">
        <f>'Market Projection'!C77</f>
        <v>606404.234436</v>
      </c>
      <c r="D12" s="106">
        <f>'Market Projection'!D77</f>
        <v>612468.27678036003</v>
      </c>
      <c r="E12" s="106">
        <f>'Market Projection'!E77</f>
        <v>618592.95954816358</v>
      </c>
      <c r="F12" s="106">
        <f>'Market Projection'!F77</f>
        <v>624778.8891436453</v>
      </c>
      <c r="G12" s="106">
        <f>'Market Projection'!G77</f>
        <v>631026.67803508171</v>
      </c>
      <c r="H12" s="106">
        <f>'Market Projection'!H77</f>
        <v>637336.94481543254</v>
      </c>
      <c r="I12" s="106">
        <f>'Market Projection'!I77</f>
        <v>643710.31426358689</v>
      </c>
      <c r="J12" s="106">
        <f>'Market Projection'!J77</f>
        <v>650147.41740622278</v>
      </c>
      <c r="K12" s="106">
        <f>'Market Projection'!K77</f>
        <v>656648.89158028504</v>
      </c>
      <c r="L12" s="106">
        <f>'Market Projection'!L77</f>
        <v>663215.38049608783</v>
      </c>
      <c r="M12" s="202"/>
      <c r="N12" s="14"/>
      <c r="O12" s="115"/>
    </row>
    <row r="13" spans="1:15">
      <c r="A13" s="114" t="s">
        <v>244</v>
      </c>
      <c r="B13" s="106">
        <f>SUM(B9:B12)</f>
        <v>0</v>
      </c>
      <c r="C13" s="106">
        <f t="shared" ref="C13:L13" si="0">SUM(C9:C12)</f>
        <v>2015321.0638879999</v>
      </c>
      <c r="D13" s="106">
        <f t="shared" si="0"/>
        <v>2035474.2745268797</v>
      </c>
      <c r="E13" s="106">
        <f t="shared" si="0"/>
        <v>2055829.0172721487</v>
      </c>
      <c r="F13" s="106">
        <f t="shared" si="0"/>
        <v>2076387.3074448702</v>
      </c>
      <c r="G13" s="106">
        <f t="shared" si="0"/>
        <v>2097151.1805193191</v>
      </c>
      <c r="H13" s="106">
        <f t="shared" si="0"/>
        <v>2118122.6923245122</v>
      </c>
      <c r="I13" s="106">
        <f t="shared" si="0"/>
        <v>2139303.9192477576</v>
      </c>
      <c r="J13" s="106">
        <f t="shared" si="0"/>
        <v>2160696.9584402349</v>
      </c>
      <c r="K13" s="106">
        <f t="shared" si="0"/>
        <v>2182303.9280246375</v>
      </c>
      <c r="L13" s="106">
        <f t="shared" si="0"/>
        <v>2204126.9673048835</v>
      </c>
      <c r="M13" s="14"/>
      <c r="N13" s="14"/>
      <c r="O13" s="115"/>
    </row>
    <row r="14" spans="1:15">
      <c r="A14" s="114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4"/>
      <c r="N14" s="14"/>
      <c r="O14" s="115"/>
    </row>
    <row r="15" spans="1:15">
      <c r="A15" s="114" t="s">
        <v>244</v>
      </c>
      <c r="B15" s="326">
        <f>SUM(B9:B13)</f>
        <v>0</v>
      </c>
      <c r="C15" s="326">
        <f>'Market Projection'!C79</f>
        <v>2015321.0638879999</v>
      </c>
      <c r="D15" s="326">
        <f>'Market Projection'!D79</f>
        <v>2035474.2745268801</v>
      </c>
      <c r="E15" s="326">
        <f>'Market Projection'!E79</f>
        <v>2055829.0172721487</v>
      </c>
      <c r="F15" s="326">
        <f>'Market Projection'!F79</f>
        <v>2076387.3074448702</v>
      </c>
      <c r="G15" s="326">
        <f>'Market Projection'!G79</f>
        <v>2097151.1805193191</v>
      </c>
      <c r="H15" s="326">
        <f>'Market Projection'!H79</f>
        <v>2118122.6923245122</v>
      </c>
      <c r="I15" s="326">
        <f>'Market Projection'!I79</f>
        <v>2139303.9192477576</v>
      </c>
      <c r="J15" s="326">
        <f>'Market Projection'!J79</f>
        <v>2160696.9584402349</v>
      </c>
      <c r="K15" s="326">
        <f>'Market Projection'!K79</f>
        <v>2182303.9280246375</v>
      </c>
      <c r="L15" s="326">
        <f>'Market Projection'!L79</f>
        <v>2204126.9673048835</v>
      </c>
      <c r="M15" s="202">
        <f>AVERAGE(C15:L15)/'Input Value'!$G$8</f>
        <v>3.2609603311258066</v>
      </c>
      <c r="N15" s="14"/>
      <c r="O15" s="115"/>
    </row>
    <row r="16" spans="1:15">
      <c r="A16" s="114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14"/>
      <c r="N16" s="14"/>
      <c r="O16" s="115"/>
    </row>
    <row r="17" spans="1:15">
      <c r="A17" s="114" t="s">
        <v>243</v>
      </c>
      <c r="B17" s="106"/>
      <c r="C17" s="235">
        <f>'Market Projection'!C101</f>
        <v>1215744.6543075806</v>
      </c>
      <c r="D17" s="235">
        <f>'Market Projection'!D101</f>
        <v>1227902.1008506564</v>
      </c>
      <c r="E17" s="235">
        <f>'Market Projection'!E101</f>
        <v>1240181.121859163</v>
      </c>
      <c r="F17" s="235">
        <f>'Market Projection'!F101</f>
        <v>1252582.9330777547</v>
      </c>
      <c r="G17" s="235">
        <f>'Market Projection'!G101</f>
        <v>1265108.7624085322</v>
      </c>
      <c r="H17" s="235">
        <f>'Market Projection'!H101</f>
        <v>1277759.8500326178</v>
      </c>
      <c r="I17" s="235">
        <f>'Market Projection'!I101</f>
        <v>1290537.4485329438</v>
      </c>
      <c r="J17" s="235">
        <f>'Market Projection'!J101</f>
        <v>1303442.8230182736</v>
      </c>
      <c r="K17" s="235">
        <f>'Market Projection'!K101</f>
        <v>1316477.2512484563</v>
      </c>
      <c r="L17" s="235">
        <f>'Market Projection'!L101</f>
        <v>1329642.0237609409</v>
      </c>
      <c r="M17" s="202">
        <f>AVERAGE(C17:L17)/'Input Value'!$G$8</f>
        <v>1.9671779159727982</v>
      </c>
      <c r="N17" s="14"/>
      <c r="O17" s="115"/>
    </row>
    <row r="18" spans="1:15">
      <c r="A18" s="114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4"/>
      <c r="N18" s="14"/>
      <c r="O18" s="115"/>
    </row>
    <row r="19" spans="1:15">
      <c r="A19" s="114" t="s">
        <v>246</v>
      </c>
      <c r="B19" s="106"/>
      <c r="C19" s="106">
        <f>C15-C17</f>
        <v>799576.40958041931</v>
      </c>
      <c r="D19" s="106">
        <f t="shared" ref="D19:L19" si="1">D15-D17</f>
        <v>807572.17367622373</v>
      </c>
      <c r="E19" s="106">
        <f t="shared" si="1"/>
        <v>815647.8954129857</v>
      </c>
      <c r="F19" s="106">
        <f t="shared" si="1"/>
        <v>823804.37436711555</v>
      </c>
      <c r="G19" s="106">
        <f t="shared" si="1"/>
        <v>832042.41811078694</v>
      </c>
      <c r="H19" s="106">
        <f t="shared" si="1"/>
        <v>840362.84229189437</v>
      </c>
      <c r="I19" s="106">
        <f t="shared" si="1"/>
        <v>848766.4707148138</v>
      </c>
      <c r="J19" s="106">
        <f t="shared" si="1"/>
        <v>857254.13542196131</v>
      </c>
      <c r="K19" s="106">
        <f t="shared" si="1"/>
        <v>865826.67677618121</v>
      </c>
      <c r="L19" s="106">
        <f t="shared" si="1"/>
        <v>874484.94354394265</v>
      </c>
      <c r="M19" s="202">
        <f>AVERAGE(C19:L19)/'Input Value'!$G$8</f>
        <v>1.2937824151530091</v>
      </c>
      <c r="N19" s="14"/>
      <c r="O19" s="115"/>
    </row>
    <row r="20" spans="1:15">
      <c r="A20" s="114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4"/>
      <c r="N20" s="14"/>
      <c r="O20" s="115"/>
    </row>
    <row r="21" spans="1:15">
      <c r="A21" s="234" t="s">
        <v>247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4"/>
      <c r="N21" s="14"/>
      <c r="O21" s="115"/>
    </row>
    <row r="22" spans="1:15">
      <c r="A22" s="114" t="s">
        <v>37</v>
      </c>
      <c r="B22" s="106">
        <f>'Expense Projection'!B20</f>
        <v>0</v>
      </c>
      <c r="C22" s="106">
        <f>'Expense Projection'!C20-'Expense Projection'!C16</f>
        <v>533315.14425866678</v>
      </c>
      <c r="D22" s="106">
        <f>'Expense Projection'!D20-'Expense Projection'!D16</f>
        <v>537798.61770125339</v>
      </c>
      <c r="E22" s="106">
        <f>'Expense Projection'!E20-'Expense Projection'!E16</f>
        <v>542326.92587826587</v>
      </c>
      <c r="F22" s="106">
        <f>'Expense Projection'!F20-'Expense Projection'!F16</f>
        <v>546900.51713704853</v>
      </c>
      <c r="G22" s="106">
        <f>'Expense Projection'!G20-'Expense Projection'!G16</f>
        <v>551519.84430841892</v>
      </c>
      <c r="H22" s="106">
        <f>'Expense Projection'!H20-'Expense Projection'!H16</f>
        <v>556185.36475150334</v>
      </c>
      <c r="I22" s="106">
        <f>'Expense Projection'!I20-'Expense Projection'!I16</f>
        <v>560897.54039901821</v>
      </c>
      <c r="J22" s="106">
        <f>'Expense Projection'!J20-'Expense Projection'!J16</f>
        <v>565656.8378030085</v>
      </c>
      <c r="K22" s="106">
        <f>'Expense Projection'!K20-'Expense Projection'!K16</f>
        <v>570463.72818103852</v>
      </c>
      <c r="L22" s="106">
        <f>'Expense Projection'!L20-'Expense Projection'!L16</f>
        <v>575318.68746284884</v>
      </c>
      <c r="M22" s="202">
        <f>AVERAGE(C22:L22)/'Input Value'!$G$8</f>
        <v>0.85687512881330541</v>
      </c>
      <c r="N22" s="14"/>
      <c r="O22" s="115"/>
    </row>
    <row r="23" spans="1:15">
      <c r="A23" s="114" t="s">
        <v>39</v>
      </c>
      <c r="B23" s="106">
        <f>'Expense Projection'!B33</f>
        <v>0</v>
      </c>
      <c r="C23" s="106">
        <f>'Expense Projection'!C33</f>
        <v>174966.68317435897</v>
      </c>
      <c r="D23" s="106">
        <f>'Expense Projection'!D33</f>
        <v>226094.78931710051</v>
      </c>
      <c r="E23" s="106">
        <f>'Expense Projection'!E33</f>
        <v>183690.18625654775</v>
      </c>
      <c r="F23" s="106">
        <f>'Expense Projection'!F33</f>
        <v>154406.52990781347</v>
      </c>
      <c r="G23" s="106">
        <f>'Expense Projection'!G33</f>
        <v>139493.15964869771</v>
      </c>
      <c r="H23" s="106">
        <f>'Expense Projection'!H33</f>
        <v>129428.44231207964</v>
      </c>
      <c r="I23" s="106">
        <f>'Expense Projection'!I33</f>
        <v>119192.18517246583</v>
      </c>
      <c r="J23" s="106">
        <f>'Expense Projection'!J33</f>
        <v>100409.64309125417</v>
      </c>
      <c r="K23" s="106">
        <f>'Expense Projection'!K33</f>
        <v>81382.943152613501</v>
      </c>
      <c r="L23" s="106">
        <f>'Expense Projection'!L33</f>
        <v>77474.451886773284</v>
      </c>
      <c r="M23" s="202">
        <f>AVERAGE(C23:L23)/'Input Value'!$G$8</f>
        <v>0.21444198922325233</v>
      </c>
      <c r="N23" s="14"/>
      <c r="O23" s="115"/>
    </row>
    <row r="24" spans="1:15">
      <c r="A24" s="114" t="s">
        <v>49</v>
      </c>
      <c r="B24" s="106">
        <f>'Expense Projection'!B40</f>
        <v>0</v>
      </c>
      <c r="C24" s="106">
        <f>'Expense Projection'!C40</f>
        <v>25000</v>
      </c>
      <c r="D24" s="106">
        <f>'Expense Projection'!D40</f>
        <v>25250</v>
      </c>
      <c r="E24" s="106">
        <f>'Expense Projection'!E40</f>
        <v>25502.5</v>
      </c>
      <c r="F24" s="106">
        <f>'Expense Projection'!F40</f>
        <v>25757.525000000001</v>
      </c>
      <c r="G24" s="106">
        <f>'Expense Projection'!G40</f>
        <v>26015.10025</v>
      </c>
      <c r="H24" s="106">
        <f>'Expense Projection'!H40</f>
        <v>26275.251252499998</v>
      </c>
      <c r="I24" s="106">
        <f>'Expense Projection'!I40</f>
        <v>26538.003765025001</v>
      </c>
      <c r="J24" s="106">
        <f>'Expense Projection'!J40</f>
        <v>26803.383802675249</v>
      </c>
      <c r="K24" s="106">
        <f>'Expense Projection'!K40</f>
        <v>27071.417640702006</v>
      </c>
      <c r="L24" s="106">
        <f>'Expense Projection'!L40</f>
        <v>27342.131817109024</v>
      </c>
      <c r="M24" s="202">
        <f>AVERAGE(C24:L24)/'Input Value'!$G$8</f>
        <v>4.0452119386311255E-2</v>
      </c>
      <c r="N24" s="14"/>
      <c r="O24" s="115"/>
    </row>
    <row r="25" spans="1:15">
      <c r="A25" s="114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4"/>
      <c r="N25" s="14"/>
      <c r="O25" s="115"/>
    </row>
    <row r="26" spans="1:15">
      <c r="A26" s="114" t="s">
        <v>248</v>
      </c>
      <c r="B26" s="326">
        <f>SUM(B22:B24)</f>
        <v>0</v>
      </c>
      <c r="C26" s="326">
        <f t="shared" ref="C26:K26" si="2">SUM(C22:C24)</f>
        <v>733281.8274330257</v>
      </c>
      <c r="D26" s="326">
        <f t="shared" si="2"/>
        <v>789143.40701835393</v>
      </c>
      <c r="E26" s="326">
        <f t="shared" si="2"/>
        <v>751519.61213481356</v>
      </c>
      <c r="F26" s="326">
        <f t="shared" si="2"/>
        <v>727064.57204486209</v>
      </c>
      <c r="G26" s="326">
        <f t="shared" si="2"/>
        <v>717028.10420711664</v>
      </c>
      <c r="H26" s="326">
        <f t="shared" si="2"/>
        <v>711889.05831608293</v>
      </c>
      <c r="I26" s="326">
        <f t="shared" si="2"/>
        <v>706627.72933650902</v>
      </c>
      <c r="J26" s="326">
        <f t="shared" si="2"/>
        <v>692869.86469693796</v>
      </c>
      <c r="K26" s="326">
        <f t="shared" si="2"/>
        <v>678918.08897435397</v>
      </c>
      <c r="L26" s="326">
        <f>SUM(L22:L24)</f>
        <v>680135.27116673125</v>
      </c>
      <c r="M26" s="202">
        <f>AVERAGE(C26:L26)/'Input Value'!$G$8</f>
        <v>1.1117692374228689</v>
      </c>
      <c r="N26" s="14"/>
      <c r="O26" s="115"/>
    </row>
    <row r="27" spans="1:15">
      <c r="A27" s="114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14"/>
      <c r="N27" s="14"/>
      <c r="O27" s="115" t="s">
        <v>170</v>
      </c>
    </row>
    <row r="28" spans="1:15">
      <c r="A28" s="114" t="s">
        <v>169</v>
      </c>
      <c r="B28" s="326">
        <f>+B31+'Expense Projection'!B31</f>
        <v>0</v>
      </c>
      <c r="C28" s="326">
        <f>+C31+'Expense Projection'!C31+'Expense Projection'!C42</f>
        <v>122942.88946950264</v>
      </c>
      <c r="D28" s="326">
        <f>+D31+'Expense Projection'!D31+'Expense Projection'!D42</f>
        <v>65450.606199291833</v>
      </c>
      <c r="E28" s="326">
        <f>+E31+'Expense Projection'!E31+'Expense Projection'!E42</f>
        <v>115374.96019608671</v>
      </c>
      <c r="F28" s="326">
        <f>+F31+'Expense Projection'!F31+'Expense Projection'!F42</f>
        <v>150050.86022148596</v>
      </c>
      <c r="G28" s="326">
        <f>+G31+'Expense Projection'!G31+'Expense Projection'!G42</f>
        <v>168027.150649174</v>
      </c>
      <c r="H28" s="326">
        <f>+H31+'Expense Projection'!H31+'Expense Projection'!H42</f>
        <v>171288.41990947622</v>
      </c>
      <c r="I28" s="326">
        <f>+I31+'Expense Projection'!I31+'Expense Projection'!I42</f>
        <v>189952.60182571018</v>
      </c>
      <c r="J28" s="326">
        <f>+J31+'Expense Projection'!J31+'Expense Projection'!J42</f>
        <v>205589.69132889769</v>
      </c>
      <c r="K28" s="326">
        <f>+K31+'Expense Projection'!K31+'Expense Projection'!K42</f>
        <v>223031.07880683831</v>
      </c>
      <c r="L28" s="326">
        <f>+L31+'Expense Projection'!L31+'Expense Projection'!L42</f>
        <v>224757.81825889848</v>
      </c>
      <c r="M28" s="202">
        <f>AVERAGE(C28:L28)/'Input Value'!$G$8</f>
        <v>0.25309568450390701</v>
      </c>
      <c r="N28" s="14"/>
      <c r="O28" s="223">
        <f>AVERAGE(C28:L28)</f>
        <v>163646.60768653621</v>
      </c>
    </row>
    <row r="29" spans="1:15">
      <c r="A29" s="114" t="s">
        <v>256</v>
      </c>
      <c r="B29" s="326"/>
      <c r="C29" s="235">
        <f>+'Input Value'!$B$25*('Owners Equity'!B$7+'Owners Equity'!B$8+'Owners Equity'!B$11)</f>
        <v>0</v>
      </c>
      <c r="D29" s="235">
        <f>+'Input Value'!$B$25*('Owners Equity'!C$7+'Owners Equity'!C$8+'Owners Equity'!C$11)</f>
        <v>0</v>
      </c>
      <c r="E29" s="235">
        <f>+'Input Value'!$B$25*('Owners Equity'!D$7+'Owners Equity'!D$8+'Owners Equity'!D$11)</f>
        <v>0</v>
      </c>
      <c r="F29" s="235">
        <f>+'Input Value'!$B$25*('Owners Equity'!E$7+'Owners Equity'!E$8+'Owners Equity'!E$11)</f>
        <v>0</v>
      </c>
      <c r="G29" s="235">
        <f>+'Input Value'!$B$25*('Owners Equity'!F$7+'Owners Equity'!F$8+'Owners Equity'!F$11)</f>
        <v>0</v>
      </c>
      <c r="H29" s="235">
        <f>+'Input Value'!$B$25*('Owners Equity'!G$7+'Owners Equity'!G$8+'Owners Equity'!G$11)</f>
        <v>0</v>
      </c>
      <c r="I29" s="235">
        <f>+'Input Value'!$B$25*('Owners Equity'!H$7+'Owners Equity'!H$8+'Owners Equity'!H$11)</f>
        <v>0</v>
      </c>
      <c r="J29" s="235">
        <f>+'Input Value'!$B$25*('Owners Equity'!I$7+'Owners Equity'!I$8+'Owners Equity'!I$11)</f>
        <v>0</v>
      </c>
      <c r="K29" s="235">
        <f>+'Input Value'!$B$25*('Owners Equity'!J$7+'Owners Equity'!J$8+'Owners Equity'!J$11)</f>
        <v>0</v>
      </c>
      <c r="L29" s="235">
        <f>+'Input Value'!$B$25*('Owners Equity'!K$7+'Owners Equity'!K$8+'Owners Equity'!K$11)</f>
        <v>0</v>
      </c>
      <c r="M29" s="202">
        <f>AVERAGE(C29:L29)/'Input Value'!$G$8</f>
        <v>0</v>
      </c>
      <c r="N29" s="14"/>
      <c r="O29" s="115"/>
    </row>
    <row r="30" spans="1:15">
      <c r="A30" s="114" t="s">
        <v>257</v>
      </c>
      <c r="B30" s="326"/>
      <c r="C30" s="235">
        <f>+'Input Value'!$B$27*'Owners Equity'!B$14</f>
        <v>0</v>
      </c>
      <c r="D30" s="235">
        <f>+'Input Value'!$B$27*'Owners Equity'!C$14</f>
        <v>0</v>
      </c>
      <c r="E30" s="235">
        <f>+'Input Value'!$B$27*'Owners Equity'!D$14</f>
        <v>0</v>
      </c>
      <c r="F30" s="235">
        <f>+'Input Value'!$B$27*'Owners Equity'!E$14</f>
        <v>0</v>
      </c>
      <c r="G30" s="235">
        <f>+'Input Value'!$B$27*'Owners Equity'!F$14</f>
        <v>0</v>
      </c>
      <c r="H30" s="235">
        <f>+'Input Value'!$B$27*'Owners Equity'!G$14</f>
        <v>0</v>
      </c>
      <c r="I30" s="235">
        <f>+'Input Value'!$B$27*'Owners Equity'!H$14</f>
        <v>0</v>
      </c>
      <c r="J30" s="235">
        <f>+'Input Value'!$B$27*'Owners Equity'!I$14</f>
        <v>0</v>
      </c>
      <c r="K30" s="235">
        <f>+'Input Value'!$B$27*'Owners Equity'!J$14</f>
        <v>0</v>
      </c>
      <c r="L30" s="235">
        <f>+'Input Value'!$B$27*'Owners Equity'!K$14</f>
        <v>0</v>
      </c>
      <c r="M30" s="202">
        <f>AVERAGE(C30:L30)/'Input Value'!$G$8</f>
        <v>0</v>
      </c>
      <c r="N30" s="14"/>
      <c r="O30" s="115"/>
    </row>
    <row r="31" spans="1:15">
      <c r="A31" s="114" t="s">
        <v>204</v>
      </c>
      <c r="B31" s="106">
        <f>+B15-B26</f>
        <v>0</v>
      </c>
      <c r="C31" s="106">
        <f>+C19-C26-C29-C30</f>
        <v>66294.582147393608</v>
      </c>
      <c r="D31" s="106">
        <f t="shared" ref="D31:L31" si="3">+D19-D26-D29-D30</f>
        <v>18428.766657869797</v>
      </c>
      <c r="E31" s="106">
        <f t="shared" si="3"/>
        <v>64128.283278172137</v>
      </c>
      <c r="F31" s="106">
        <f t="shared" si="3"/>
        <v>96739.802322253468</v>
      </c>
      <c r="G31" s="106">
        <f t="shared" si="3"/>
        <v>115014.31390367029</v>
      </c>
      <c r="H31" s="106">
        <f t="shared" si="3"/>
        <v>128473.78397581144</v>
      </c>
      <c r="I31" s="106">
        <f t="shared" si="3"/>
        <v>142138.74137830478</v>
      </c>
      <c r="J31" s="106">
        <f t="shared" si="3"/>
        <v>164384.27072502335</v>
      </c>
      <c r="K31" s="106">
        <f t="shared" si="3"/>
        <v>186908.58780182723</v>
      </c>
      <c r="L31" s="106">
        <f t="shared" si="3"/>
        <v>194349.67237721139</v>
      </c>
      <c r="M31" s="202">
        <f>AVERAGE(C31:L31)/'Input Value'!$G$8</f>
        <v>0.18201317773013975</v>
      </c>
      <c r="N31" s="14"/>
      <c r="O31" s="115"/>
    </row>
    <row r="32" spans="1:15">
      <c r="A32" s="114" t="s">
        <v>206</v>
      </c>
      <c r="B32" s="106"/>
      <c r="C32" s="106">
        <f>IF(C31&gt;0,(C31*'Input Value'!$C$66*'Input Value'!$C$70),0)</f>
        <v>33147.291073696797</v>
      </c>
      <c r="D32" s="106">
        <f>IF(D31&gt;0,(D31*'Input Value'!$C$66*'Input Value'!$C$70),0)</f>
        <v>9214.3833289348968</v>
      </c>
      <c r="E32" s="106">
        <f>IF(E31&gt;0,(E31*'Input Value'!$C$66*'Input Value'!$C$70),0)</f>
        <v>32064.141639086065</v>
      </c>
      <c r="F32" s="106">
        <f>IF(F31&gt;0,(F31*'Input Value'!$C$66*'Input Value'!$C$70),0)</f>
        <v>48369.901161126727</v>
      </c>
      <c r="G32" s="106">
        <f>IF(G31&gt;0,(G31*'Input Value'!$C$66*'Input Value'!$C$70),0)</f>
        <v>57507.156951835139</v>
      </c>
      <c r="H32" s="106">
        <f>IF(H31&gt;0,(H31*'Input Value'!$C$66*'Input Value'!$C$70),0)</f>
        <v>64236.891987905714</v>
      </c>
      <c r="I32" s="106">
        <f>IF(I31&gt;0,(I31*'Input Value'!$C$66*'Input Value'!$C$70),0)</f>
        <v>71069.370689152376</v>
      </c>
      <c r="J32" s="106">
        <f>IF(J31&gt;0,(J31*'Input Value'!$C$66*'Input Value'!$C$70),0)</f>
        <v>82192.135362511661</v>
      </c>
      <c r="K32" s="106">
        <f>IF(K31&gt;0,(K31*'Input Value'!$C$66*'Input Value'!$C$70),0)</f>
        <v>93454.293900913603</v>
      </c>
      <c r="L32" s="106">
        <f>IF(L31&gt;0,(L31*'Input Value'!$C$66*'Input Value'!$C$70),0)</f>
        <v>97174.836188605681</v>
      </c>
      <c r="M32" s="202">
        <f>AVERAGE(C32:L32)/'Input Value'!$G$8</f>
        <v>9.1006588865069848E-2</v>
      </c>
      <c r="N32" s="14"/>
      <c r="O32" s="115"/>
    </row>
    <row r="33" spans="1:15">
      <c r="A33" s="114" t="s">
        <v>207</v>
      </c>
      <c r="B33" s="106"/>
      <c r="C33" s="106">
        <f>+'Owners Equity'!C26</f>
        <v>0</v>
      </c>
      <c r="D33" s="106">
        <f>+'Owners Equity'!D26</f>
        <v>0</v>
      </c>
      <c r="E33" s="106">
        <f>+'Owners Equity'!E26</f>
        <v>0</v>
      </c>
      <c r="F33" s="106">
        <f>+'Owners Equity'!F26</f>
        <v>0</v>
      </c>
      <c r="G33" s="106">
        <f>+'Owners Equity'!G26</f>
        <v>0</v>
      </c>
      <c r="H33" s="106">
        <f>+'Owners Equity'!H26</f>
        <v>0</v>
      </c>
      <c r="I33" s="106">
        <f>+'Owners Equity'!I26</f>
        <v>0</v>
      </c>
      <c r="J33" s="106">
        <f>+'Owners Equity'!J26</f>
        <v>0</v>
      </c>
      <c r="K33" s="106">
        <f>+'Owners Equity'!K26</f>
        <v>0</v>
      </c>
      <c r="L33" s="106">
        <f>+'Owners Equity'!L26</f>
        <v>0</v>
      </c>
      <c r="M33" s="202">
        <f>AVERAGE(C33:L33)/'Input Value'!$G$8</f>
        <v>0</v>
      </c>
      <c r="N33" s="14"/>
      <c r="O33" s="115"/>
    </row>
    <row r="34" spans="1:15">
      <c r="A34" s="114" t="s">
        <v>320</v>
      </c>
      <c r="B34" s="106"/>
      <c r="C34" s="106">
        <f>'Owners Equity'!C11</f>
        <v>29832.561966327125</v>
      </c>
      <c r="D34" s="106">
        <f>'Owners Equity'!D11</f>
        <v>8292.9449960414095</v>
      </c>
      <c r="E34" s="106">
        <f>'Owners Equity'!E11</f>
        <v>28857.727475177464</v>
      </c>
      <c r="F34" s="106">
        <f>'Owners Equity'!F11</f>
        <v>43532.911045014065</v>
      </c>
      <c r="G34" s="106">
        <f>'Owners Equity'!G11</f>
        <v>51756.441256651633</v>
      </c>
      <c r="H34" s="106">
        <f>'Owners Equity'!H11</f>
        <v>57813.202789115152</v>
      </c>
      <c r="I34" s="106">
        <f>'Owners Equity'!I11</f>
        <v>63962.433620237156</v>
      </c>
      <c r="J34" s="106">
        <f>'Owners Equity'!J11</f>
        <v>73972.921826260514</v>
      </c>
      <c r="K34" s="106">
        <f>'Owners Equity'!K11</f>
        <v>84108.864510822255</v>
      </c>
      <c r="L34" s="106">
        <f>'Owners Equity'!L11</f>
        <v>87457.352569745126</v>
      </c>
      <c r="M34" s="202">
        <f>AVERAGE(C34:L34)/'Input Value'!$G$8</f>
        <v>8.1905929978562872E-2</v>
      </c>
      <c r="N34" s="14"/>
      <c r="O34" s="115"/>
    </row>
    <row r="35" spans="1:15">
      <c r="A35" s="114" t="s">
        <v>205</v>
      </c>
      <c r="B35" s="106"/>
      <c r="C35" s="106">
        <f>+'Owners Equity'!C51</f>
        <v>0</v>
      </c>
      <c r="D35" s="106">
        <f>+'Owners Equity'!D51</f>
        <v>0</v>
      </c>
      <c r="E35" s="106">
        <f>+'Owners Equity'!E51</f>
        <v>0</v>
      </c>
      <c r="F35" s="106">
        <f>+'Owners Equity'!F51</f>
        <v>0</v>
      </c>
      <c r="G35" s="106">
        <f>+'Owners Equity'!G51</f>
        <v>0</v>
      </c>
      <c r="H35" s="106">
        <f>+'Owners Equity'!H51</f>
        <v>29832.561966327125</v>
      </c>
      <c r="I35" s="106">
        <f>+'Owners Equity'!I51</f>
        <v>8292.9449960414095</v>
      </c>
      <c r="J35" s="106">
        <f>+'Owners Equity'!J51</f>
        <v>28857.727475177464</v>
      </c>
      <c r="K35" s="106">
        <f>+'Owners Equity'!K51</f>
        <v>43532.911045014065</v>
      </c>
      <c r="L35" s="106">
        <f>+'Owners Equity'!L51</f>
        <v>51756.441256651633</v>
      </c>
      <c r="M35" s="202">
        <f>AVERAGE(C35:L35)/'Input Value'!$G$8</f>
        <v>2.5097062504131226E-2</v>
      </c>
      <c r="N35" s="14"/>
      <c r="O35" s="115"/>
    </row>
    <row r="36" spans="1:15">
      <c r="A36" s="114" t="s">
        <v>208</v>
      </c>
      <c r="B36" s="106"/>
      <c r="C36" s="106">
        <f>C31-C32-C33-C35</f>
        <v>33147.291073696812</v>
      </c>
      <c r="D36" s="106">
        <f t="shared" ref="D36:L36" si="4">D31-D32-D33-D35</f>
        <v>9214.3833289349004</v>
      </c>
      <c r="E36" s="106">
        <f t="shared" si="4"/>
        <v>32064.141639086072</v>
      </c>
      <c r="F36" s="106">
        <f t="shared" si="4"/>
        <v>48369.901161126741</v>
      </c>
      <c r="G36" s="106">
        <f t="shared" si="4"/>
        <v>57507.156951835153</v>
      </c>
      <c r="H36" s="106">
        <f t="shared" si="4"/>
        <v>34404.3300215786</v>
      </c>
      <c r="I36" s="106">
        <f t="shared" si="4"/>
        <v>62776.425693110999</v>
      </c>
      <c r="J36" s="106">
        <f t="shared" si="4"/>
        <v>53334.407887334222</v>
      </c>
      <c r="K36" s="106">
        <f t="shared" si="4"/>
        <v>49921.382855899566</v>
      </c>
      <c r="L36" s="106">
        <f t="shared" si="4"/>
        <v>45418.394931954077</v>
      </c>
      <c r="M36" s="202">
        <f>AVERAGE(C36:L36)/'Input Value'!$G$8</f>
        <v>6.5909526360938664E-2</v>
      </c>
      <c r="N36" s="14"/>
      <c r="O36" s="115"/>
    </row>
    <row r="37" spans="1:15">
      <c r="A37" s="114" t="s">
        <v>114</v>
      </c>
      <c r="B37" s="235">
        <f>IF(B31&gt;0, ('Input Value'!$B$34*B31), 0)</f>
        <v>0</v>
      </c>
      <c r="C37" s="235">
        <f>IF(C36&gt;0, ('Input Value'!$B$34*C36), 0)</f>
        <v>9944.1873221090427</v>
      </c>
      <c r="D37" s="235">
        <f>IF(D31&gt;0, ('Input Value'!$B$34*D36), 0)</f>
        <v>2764.3149986804701</v>
      </c>
      <c r="E37" s="235">
        <f>IF(E31&gt;0, ('Input Value'!$B$34*E36), 0)</f>
        <v>9619.2424917258213</v>
      </c>
      <c r="F37" s="235">
        <f>IF(F31&gt;0, ('Input Value'!$B$34*F36), 0)</f>
        <v>14510.970348338022</v>
      </c>
      <c r="G37" s="235">
        <f>IF(G31&gt;0, ('Input Value'!$B$34*G36), 0)</f>
        <v>17252.147085550547</v>
      </c>
      <c r="H37" s="235">
        <f>IF(H31&gt;0, ('Input Value'!$B$34*H36), 0)</f>
        <v>10321.29900647358</v>
      </c>
      <c r="I37" s="235">
        <f>IF(I31&gt;0, ('Input Value'!$B$34*I36), 0)</f>
        <v>18832.927707933301</v>
      </c>
      <c r="J37" s="235">
        <f>IF(J31&gt;0, ('Input Value'!$B$34*J36), 0)</f>
        <v>16000.322366200266</v>
      </c>
      <c r="K37" s="235">
        <f>IF(K31&gt;0, ('Input Value'!$B$34*K36), 0)</f>
        <v>14976.414856769868</v>
      </c>
      <c r="L37" s="235">
        <f>IF(L31&gt;0, ('Input Value'!$B$34*L36), 0)</f>
        <v>13625.518479586222</v>
      </c>
      <c r="M37" s="202">
        <f>AVERAGE(C37:L37)/'Input Value'!$G$8</f>
        <v>1.9772857908281597E-2</v>
      </c>
      <c r="N37" s="14"/>
      <c r="O37" s="115"/>
    </row>
    <row r="38" spans="1:15">
      <c r="A38" s="114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4"/>
      <c r="N38" s="14"/>
      <c r="O38" s="115"/>
    </row>
    <row r="39" spans="1:15">
      <c r="A39" s="114" t="s">
        <v>115</v>
      </c>
      <c r="B39" s="326">
        <f>+B31-B37</f>
        <v>0</v>
      </c>
      <c r="C39" s="326">
        <f>+C36-C37</f>
        <v>23203.103751587769</v>
      </c>
      <c r="D39" s="326">
        <f t="shared" ref="D39:L39" si="5">+D36-D37</f>
        <v>6450.0683302544303</v>
      </c>
      <c r="E39" s="326">
        <f t="shared" si="5"/>
        <v>22444.899147360251</v>
      </c>
      <c r="F39" s="326">
        <f t="shared" si="5"/>
        <v>33858.93081278872</v>
      </c>
      <c r="G39" s="326">
        <f t="shared" si="5"/>
        <v>40255.009866284607</v>
      </c>
      <c r="H39" s="326">
        <f t="shared" si="5"/>
        <v>24083.031015105022</v>
      </c>
      <c r="I39" s="326">
        <f t="shared" si="5"/>
        <v>43943.497985177703</v>
      </c>
      <c r="J39" s="326">
        <f t="shared" si="5"/>
        <v>37334.085521133959</v>
      </c>
      <c r="K39" s="326">
        <f t="shared" si="5"/>
        <v>34944.967999129702</v>
      </c>
      <c r="L39" s="326">
        <f t="shared" si="5"/>
        <v>31792.876452367855</v>
      </c>
      <c r="M39" s="202">
        <f>AVERAGE(C39:L39)/'Input Value'!$G$8</f>
        <v>4.6136668452657063E-2</v>
      </c>
      <c r="N39" s="14"/>
      <c r="O39" s="115"/>
    </row>
    <row r="40" spans="1:15">
      <c r="A40" s="11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4"/>
      <c r="N40" s="14"/>
      <c r="O40" s="115"/>
    </row>
    <row r="41" spans="1:15">
      <c r="A41" s="234" t="s">
        <v>139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4"/>
      <c r="N41" s="14"/>
      <c r="O41" s="115"/>
    </row>
    <row r="42" spans="1:15">
      <c r="A42" s="116"/>
      <c r="B42" s="329" t="str">
        <f t="shared" ref="B42:L42" si="6">B8</f>
        <v>Year 0</v>
      </c>
      <c r="C42" s="329" t="str">
        <f t="shared" si="6"/>
        <v>Year 1</v>
      </c>
      <c r="D42" s="329" t="str">
        <f t="shared" si="6"/>
        <v>Year 2</v>
      </c>
      <c r="E42" s="329" t="str">
        <f t="shared" si="6"/>
        <v>Year 3</v>
      </c>
      <c r="F42" s="329" t="str">
        <f t="shared" si="6"/>
        <v>Year 4</v>
      </c>
      <c r="G42" s="329" t="str">
        <f t="shared" si="6"/>
        <v>Year 5</v>
      </c>
      <c r="H42" s="329" t="str">
        <f t="shared" si="6"/>
        <v>Year 6</v>
      </c>
      <c r="I42" s="329" t="str">
        <f t="shared" si="6"/>
        <v>Year 7</v>
      </c>
      <c r="J42" s="329" t="str">
        <f t="shared" si="6"/>
        <v>Year 8</v>
      </c>
      <c r="K42" s="329" t="str">
        <f t="shared" si="6"/>
        <v>Year 9</v>
      </c>
      <c r="L42" s="329" t="str">
        <f t="shared" si="6"/>
        <v>Year 10</v>
      </c>
      <c r="M42" s="14"/>
      <c r="N42" s="14"/>
      <c r="O42" s="115"/>
    </row>
    <row r="43" spans="1:15">
      <c r="A43" s="116" t="s">
        <v>135</v>
      </c>
      <c r="B43" s="235">
        <f t="shared" ref="B43:L43" si="7">B39</f>
        <v>0</v>
      </c>
      <c r="C43" s="235">
        <f t="shared" si="7"/>
        <v>23203.103751587769</v>
      </c>
      <c r="D43" s="235">
        <f t="shared" si="7"/>
        <v>6450.0683302544303</v>
      </c>
      <c r="E43" s="235">
        <f t="shared" si="7"/>
        <v>22444.899147360251</v>
      </c>
      <c r="F43" s="235">
        <f t="shared" si="7"/>
        <v>33858.93081278872</v>
      </c>
      <c r="G43" s="235">
        <f t="shared" si="7"/>
        <v>40255.009866284607</v>
      </c>
      <c r="H43" s="235">
        <f t="shared" si="7"/>
        <v>24083.031015105022</v>
      </c>
      <c r="I43" s="235">
        <f t="shared" si="7"/>
        <v>43943.497985177703</v>
      </c>
      <c r="J43" s="235">
        <f t="shared" si="7"/>
        <v>37334.085521133959</v>
      </c>
      <c r="K43" s="235">
        <f t="shared" si="7"/>
        <v>34944.967999129702</v>
      </c>
      <c r="L43" s="235">
        <f t="shared" si="7"/>
        <v>31792.876452367855</v>
      </c>
      <c r="M43" s="202">
        <f>AVERAGE(C43:L43)/'Input Value'!$G$8</f>
        <v>4.6136668452657063E-2</v>
      </c>
      <c r="N43" s="14"/>
      <c r="O43" s="115"/>
    </row>
    <row r="44" spans="1:15">
      <c r="A44" s="116" t="s">
        <v>48</v>
      </c>
      <c r="B44" s="235">
        <v>0</v>
      </c>
      <c r="C44" s="235">
        <f>'Equip and Depreciation'!B54</f>
        <v>86248.003174358979</v>
      </c>
      <c r="D44" s="235">
        <f>'Equip and Depreciation'!C54</f>
        <v>139402.55917435896</v>
      </c>
      <c r="E44" s="235">
        <f>'Equip and Depreciation'!D54</f>
        <v>99203.699174358975</v>
      </c>
      <c r="F44" s="235">
        <f>'Equip and Depreciation'!E54</f>
        <v>72318.799174358981</v>
      </c>
      <c r="G44" s="235">
        <f>'Equip and Depreciation'!F54</f>
        <v>60011.950374358974</v>
      </c>
      <c r="H44" s="235">
        <f>'Equip and Depreciation'!G54</f>
        <v>52777.380574358976</v>
      </c>
      <c r="I44" s="235">
        <f>'Equip and Depreciation'!H54</f>
        <v>45611.950374358974</v>
      </c>
      <c r="J44" s="235">
        <f>'Equip and Depreciation'!I54</f>
        <v>30159.249774358977</v>
      </c>
      <c r="K44" s="235">
        <f>'Equip and Depreciation'!J54</f>
        <v>14741.118974358975</v>
      </c>
      <c r="L44" s="235">
        <f>'Equip and Depreciation'!K54</f>
        <v>14741.118974358975</v>
      </c>
      <c r="M44" s="202">
        <f>AVERAGE(C44:L44)/'Input Value'!$G$8</f>
        <v>9.5149220474433124E-2</v>
      </c>
      <c r="N44" s="14"/>
      <c r="O44" s="115"/>
    </row>
    <row r="45" spans="1:15">
      <c r="A45" s="116" t="s">
        <v>136</v>
      </c>
      <c r="B45" s="235">
        <v>0</v>
      </c>
      <c r="C45" s="235">
        <f>'Loan Amortization'!B23</f>
        <v>32621.272763445741</v>
      </c>
      <c r="D45" s="235">
        <f>'Loan Amortization'!C23</f>
        <v>35067.868220704171</v>
      </c>
      <c r="E45" s="235">
        <f>'Loan Amortization'!D23</f>
        <v>37697.958337256976</v>
      </c>
      <c r="F45" s="235">
        <f>'Loan Amortization'!E23</f>
        <v>40525.305212551248</v>
      </c>
      <c r="G45" s="235">
        <f>'Loan Amortization'!F23</f>
        <v>43564.703103492597</v>
      </c>
      <c r="H45" s="235">
        <f>'Loan Amortization'!G23</f>
        <v>46832.055836254542</v>
      </c>
      <c r="I45" s="235">
        <f>'Loan Amortization'!H23</f>
        <v>50344.460023973632</v>
      </c>
      <c r="J45" s="235">
        <f>'Loan Amortization'!I23</f>
        <v>54120.294525771656</v>
      </c>
      <c r="K45" s="235">
        <f>'Loan Amortization'!J23</f>
        <v>58179.316615204531</v>
      </c>
      <c r="L45" s="235">
        <f>'Loan Amortization'!K23</f>
        <v>62542.765361344871</v>
      </c>
      <c r="M45" s="202">
        <f>AVERAGE(C45:L45)/'Input Value'!$G$8</f>
        <v>7.1374926536546118E-2</v>
      </c>
      <c r="N45" s="14"/>
      <c r="O45" s="115"/>
    </row>
    <row r="46" spans="1:15">
      <c r="A46" s="116" t="s">
        <v>230</v>
      </c>
      <c r="B46" s="235"/>
      <c r="C46" s="235">
        <f>+'Equip and Depreciation'!B45</f>
        <v>0</v>
      </c>
      <c r="D46" s="235">
        <f>+'Equip and Depreciation'!C45</f>
        <v>0</v>
      </c>
      <c r="E46" s="235">
        <f>+'Equip and Depreciation'!D45</f>
        <v>0</v>
      </c>
      <c r="F46" s="235">
        <f>+'Equip and Depreciation'!E45</f>
        <v>0</v>
      </c>
      <c r="G46" s="235">
        <f>+'Equip and Depreciation'!F45</f>
        <v>0</v>
      </c>
      <c r="H46" s="235">
        <f>+'Equip and Depreciation'!G45</f>
        <v>0</v>
      </c>
      <c r="I46" s="235">
        <f>+'Equip and Depreciation'!H45</f>
        <v>0</v>
      </c>
      <c r="J46" s="235">
        <f>+'Equip and Depreciation'!I45</f>
        <v>0</v>
      </c>
      <c r="K46" s="235">
        <f>+'Equip and Depreciation'!J45</f>
        <v>0</v>
      </c>
      <c r="L46" s="235">
        <f>+'Equip and Depreciation'!K45</f>
        <v>0</v>
      </c>
      <c r="M46" s="202">
        <f>AVERAGE(C46:L46)/'Input Value'!$G$8</f>
        <v>0</v>
      </c>
      <c r="N46" s="14"/>
      <c r="O46" s="115"/>
    </row>
    <row r="47" spans="1:15">
      <c r="A47" s="116" t="s">
        <v>224</v>
      </c>
      <c r="B47" s="235"/>
      <c r="C47" s="235">
        <f>C43+C44-C45</f>
        <v>76829.834162501007</v>
      </c>
      <c r="D47" s="235">
        <f t="shared" ref="D47:L47" si="8">D43+D44-D45</f>
        <v>110784.75928390922</v>
      </c>
      <c r="E47" s="235">
        <f t="shared" si="8"/>
        <v>83950.63998446225</v>
      </c>
      <c r="F47" s="235">
        <f t="shared" si="8"/>
        <v>65652.424774596453</v>
      </c>
      <c r="G47" s="235">
        <f t="shared" si="8"/>
        <v>56702.257137150991</v>
      </c>
      <c r="H47" s="235">
        <f t="shared" si="8"/>
        <v>30028.355753209456</v>
      </c>
      <c r="I47" s="235">
        <f t="shared" si="8"/>
        <v>39210.988335563045</v>
      </c>
      <c r="J47" s="235">
        <f t="shared" si="8"/>
        <v>13373.040769721272</v>
      </c>
      <c r="K47" s="235">
        <f t="shared" si="8"/>
        <v>-8493.2296417158504</v>
      </c>
      <c r="L47" s="235">
        <f t="shared" si="8"/>
        <v>-16008.769934618038</v>
      </c>
      <c r="M47" s="202">
        <f>AVERAGE(C47:L47)/'Input Value'!$G$8</f>
        <v>6.9910962390544062E-2</v>
      </c>
      <c r="N47" s="14"/>
      <c r="O47" s="115"/>
    </row>
    <row r="48" spans="1:15">
      <c r="A48" s="116" t="s">
        <v>172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14"/>
      <c r="N48" s="14"/>
      <c r="O48" s="115"/>
    </row>
    <row r="49" spans="1:15">
      <c r="A49" s="116" t="s">
        <v>202</v>
      </c>
      <c r="B49" s="235"/>
      <c r="C49" s="235">
        <f>'Owners Equity'!C9</f>
        <v>0</v>
      </c>
      <c r="D49" s="235">
        <f>'Owners Equity'!D9</f>
        <v>0</v>
      </c>
      <c r="E49" s="235">
        <f>'Owners Equity'!E9</f>
        <v>0</v>
      </c>
      <c r="F49" s="235">
        <f>'Owners Equity'!F9</f>
        <v>0</v>
      </c>
      <c r="G49" s="235">
        <f>'Owners Equity'!G9</f>
        <v>0</v>
      </c>
      <c r="H49" s="235">
        <f>'Owners Equity'!H9</f>
        <v>0</v>
      </c>
      <c r="I49" s="235">
        <f>'Owners Equity'!I9</f>
        <v>0</v>
      </c>
      <c r="J49" s="235">
        <f>'Owners Equity'!J9</f>
        <v>0</v>
      </c>
      <c r="K49" s="235">
        <f>'Owners Equity'!K9</f>
        <v>0</v>
      </c>
      <c r="L49" s="235">
        <f>'Owners Equity'!L9</f>
        <v>0</v>
      </c>
      <c r="M49" s="202">
        <f>AVERAGE(C49:L49)/'Input Value'!$G$8</f>
        <v>0</v>
      </c>
      <c r="N49" s="14"/>
      <c r="O49" s="115"/>
    </row>
    <row r="50" spans="1:15">
      <c r="A50" s="116" t="s">
        <v>203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14"/>
      <c r="N50" s="14"/>
      <c r="O50" s="115"/>
    </row>
    <row r="51" spans="1:15">
      <c r="A51" s="217" t="s">
        <v>137</v>
      </c>
      <c r="B51" s="331">
        <f>B43+B44-SUM(B45:B50)</f>
        <v>0</v>
      </c>
      <c r="C51" s="331">
        <f t="shared" ref="C51:L51" si="9">+C33+C43+C44-C45-C46-C48-C49</f>
        <v>76829.834162501007</v>
      </c>
      <c r="D51" s="331">
        <f t="shared" si="9"/>
        <v>110784.75928390922</v>
      </c>
      <c r="E51" s="331">
        <f t="shared" si="9"/>
        <v>83950.63998446225</v>
      </c>
      <c r="F51" s="331">
        <f t="shared" si="9"/>
        <v>65652.424774596453</v>
      </c>
      <c r="G51" s="331">
        <f t="shared" si="9"/>
        <v>56702.257137150991</v>
      </c>
      <c r="H51" s="331">
        <f t="shared" si="9"/>
        <v>30028.355753209456</v>
      </c>
      <c r="I51" s="331">
        <f t="shared" si="9"/>
        <v>39210.988335563045</v>
      </c>
      <c r="J51" s="331">
        <f t="shared" si="9"/>
        <v>13373.040769721272</v>
      </c>
      <c r="K51" s="331">
        <f t="shared" si="9"/>
        <v>-8493.2296417158504</v>
      </c>
      <c r="L51" s="331">
        <f t="shared" si="9"/>
        <v>-16008.769934618038</v>
      </c>
      <c r="M51" s="13">
        <f>AVERAGE(C51:L51)/'Input Value'!$G$8</f>
        <v>6.9910962390544062E-2</v>
      </c>
      <c r="N51" s="105"/>
      <c r="O51" s="124"/>
    </row>
    <row r="52" spans="1:15">
      <c r="A52" s="114" t="s">
        <v>234</v>
      </c>
      <c r="B52" s="326"/>
      <c r="C52" s="326">
        <f>SUM($B51:C51)</f>
        <v>76829.834162501007</v>
      </c>
      <c r="D52" s="326">
        <f>SUM($B51:D51)</f>
        <v>187614.59344641023</v>
      </c>
      <c r="E52" s="326">
        <f>SUM($B51:E51)</f>
        <v>271565.2334308725</v>
      </c>
      <c r="F52" s="326">
        <f>SUM($B51:F51)</f>
        <v>337217.65820546896</v>
      </c>
      <c r="G52" s="326">
        <f>SUM($B51:G51)</f>
        <v>393919.91534261993</v>
      </c>
      <c r="H52" s="326">
        <f>SUM($B51:H51)</f>
        <v>423948.27109582938</v>
      </c>
      <c r="I52" s="326">
        <f>SUM($B51:I51)</f>
        <v>463159.25943139242</v>
      </c>
      <c r="J52" s="326">
        <f>SUM($B51:J51)</f>
        <v>476532.30020111369</v>
      </c>
      <c r="K52" s="326">
        <f>SUM($B51:K51)</f>
        <v>468039.07055939781</v>
      </c>
      <c r="L52" s="326">
        <f>SUM($B51:L51)</f>
        <v>452030.30062477977</v>
      </c>
      <c r="M52" s="202">
        <f>AVERAGE(C52:L52)/'Input Value'!$G$8</f>
        <v>0.54917511158717958</v>
      </c>
      <c r="N52" s="14"/>
      <c r="O52" s="115"/>
    </row>
    <row r="53" spans="1:15" ht="13.8" thickBot="1">
      <c r="A53" s="222" t="s">
        <v>141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238"/>
    </row>
    <row r="54" spans="1:15">
      <c r="J54" s="18"/>
      <c r="L54" s="41"/>
    </row>
    <row r="55" spans="1:15">
      <c r="C55" s="4"/>
    </row>
  </sheetData>
  <sheetProtection algorithmName="SHA-512" hashValue="4RSMcE1lNwRghHbd9nUtLFciYq9kpC73uyP7oIcIjCrQikDQuELIvpxuvIlajpjA8nAprM+ECANHAquvftc+1g==" saltValue="faW4Qai+IiFbr/izJtY4fA==" spinCount="100000" sheet="1" formatRows="0"/>
  <mergeCells count="4">
    <mergeCell ref="A1:C1"/>
    <mergeCell ref="A2:C2"/>
    <mergeCell ref="A3:C3"/>
    <mergeCell ref="A4:C4"/>
  </mergeCells>
  <phoneticPr fontId="0" type="noConversion"/>
  <hyperlinks>
    <hyperlink ref="A2:C2" location="'Input Value'!A1" display="BACK TO INPUTS" xr:uid="{00000000-0004-0000-0600-000000000000}"/>
    <hyperlink ref="A3:C3" location="'Return On Investment'!A1" display="FORWARD TO RETURN ON INVESTMENT" xr:uid="{00000000-0004-0000-0600-000001000000}"/>
  </hyperlink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3"/>
  <sheetViews>
    <sheetView showGridLines="0" zoomScaleNormal="100" workbookViewId="0">
      <selection sqref="A1:C1"/>
    </sheetView>
  </sheetViews>
  <sheetFormatPr defaultColWidth="8.88671875" defaultRowHeight="13.2"/>
  <cols>
    <col min="1" max="1" width="37.44140625" customWidth="1"/>
    <col min="2" max="4" width="12.44140625" bestFit="1" customWidth="1"/>
    <col min="5" max="5" width="11.6640625" customWidth="1"/>
    <col min="6" max="8" width="12.33203125" bestFit="1" customWidth="1"/>
    <col min="9" max="9" width="11.33203125" customWidth="1"/>
    <col min="10" max="10" width="11.44140625" customWidth="1"/>
    <col min="11" max="11" width="12.6640625" bestFit="1" customWidth="1"/>
    <col min="12" max="12" width="12.33203125" bestFit="1" customWidth="1"/>
  </cols>
  <sheetData>
    <row r="1" spans="1:13" ht="13.8" thickBot="1">
      <c r="A1" s="466" t="s">
        <v>146</v>
      </c>
      <c r="B1" s="467"/>
      <c r="C1" s="468"/>
    </row>
    <row r="2" spans="1:13" ht="13.8" thickBot="1">
      <c r="A2" s="469" t="s">
        <v>153</v>
      </c>
      <c r="B2" s="470"/>
      <c r="C2" s="471"/>
    </row>
    <row r="3" spans="1:13" ht="13.8" thickBot="1">
      <c r="A3" s="469" t="s">
        <v>151</v>
      </c>
      <c r="B3" s="470"/>
      <c r="C3" s="471"/>
    </row>
    <row r="5" spans="1:13" ht="13.8" thickBot="1">
      <c r="A5" s="1" t="s">
        <v>467</v>
      </c>
    </row>
    <row r="6" spans="1:13">
      <c r="A6" s="367"/>
      <c r="B6" s="388" t="s">
        <v>12</v>
      </c>
      <c r="C6" s="368" t="s">
        <v>0</v>
      </c>
      <c r="D6" s="368" t="s">
        <v>1</v>
      </c>
      <c r="E6" s="368" t="s">
        <v>2</v>
      </c>
      <c r="F6" s="368" t="s">
        <v>3</v>
      </c>
      <c r="G6" s="368" t="s">
        <v>4</v>
      </c>
      <c r="H6" s="368" t="s">
        <v>5</v>
      </c>
      <c r="I6" s="368" t="s">
        <v>6</v>
      </c>
      <c r="J6" s="368" t="s">
        <v>7</v>
      </c>
      <c r="K6" s="368" t="s">
        <v>8</v>
      </c>
      <c r="L6" s="368" t="s">
        <v>9</v>
      </c>
      <c r="M6" s="370"/>
    </row>
    <row r="7" spans="1:13">
      <c r="A7" s="117" t="s">
        <v>236</v>
      </c>
      <c r="B7" s="325">
        <f>IF('Input Value'!B23=1,'Input Value'!B22,0)</f>
        <v>461496</v>
      </c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115"/>
    </row>
    <row r="8" spans="1:13">
      <c r="A8" s="117" t="s">
        <v>238</v>
      </c>
      <c r="B8" s="325">
        <f>IF('Input Value'!B23=0,'Input Value'!B22,0)</f>
        <v>0</v>
      </c>
      <c r="C8" s="325">
        <f>C26</f>
        <v>0</v>
      </c>
      <c r="D8" s="325">
        <f t="shared" ref="D8:L8" si="0">D26</f>
        <v>0</v>
      </c>
      <c r="E8" s="325">
        <f t="shared" si="0"/>
        <v>0</v>
      </c>
      <c r="F8" s="325">
        <f t="shared" si="0"/>
        <v>0</v>
      </c>
      <c r="G8" s="325">
        <f t="shared" si="0"/>
        <v>0</v>
      </c>
      <c r="H8" s="325">
        <f t="shared" si="0"/>
        <v>0</v>
      </c>
      <c r="I8" s="325">
        <f t="shared" si="0"/>
        <v>0</v>
      </c>
      <c r="J8" s="325">
        <f t="shared" si="0"/>
        <v>0</v>
      </c>
      <c r="K8" s="325">
        <f t="shared" si="0"/>
        <v>0</v>
      </c>
      <c r="L8" s="325">
        <f t="shared" si="0"/>
        <v>0</v>
      </c>
      <c r="M8" s="115"/>
    </row>
    <row r="9" spans="1:13">
      <c r="A9" s="117" t="s">
        <v>216</v>
      </c>
      <c r="B9" s="325">
        <f>B37+IF('Input Value'!B23=0,('Owners Equity'!B8/'Input Value'!$B$24),0)</f>
        <v>0</v>
      </c>
      <c r="C9" s="325">
        <f>C37+IF(AND(C21&lt;='Input Value'!$B$24,'Input Value'!$B$23=0),('Owners Equity'!$B$8/'Input Value'!$B$24),0)</f>
        <v>0</v>
      </c>
      <c r="D9" s="325">
        <f>D37+IF(AND(D21&lt;='Input Value'!$B$24,'Input Value'!$B$23=0),('Owners Equity'!$B$8/'Input Value'!$B$24),0)</f>
        <v>0</v>
      </c>
      <c r="E9" s="325">
        <f>E37+IF(AND(E21&lt;='Input Value'!$B$24,'Input Value'!$B$23=0),('Owners Equity'!$B$8/'Input Value'!$B$24),0)</f>
        <v>0</v>
      </c>
      <c r="F9" s="325">
        <f>F37+IF(AND(F21&lt;='Input Value'!$B$24,'Input Value'!$B$23=0),('Owners Equity'!$B$8/'Input Value'!$B$24),0)</f>
        <v>0</v>
      </c>
      <c r="G9" s="325">
        <f>G37+IF(AND(G21&lt;='Input Value'!$B$24,'Input Value'!$B$23=0),('Owners Equity'!$B$8/'Input Value'!$B$24),0)</f>
        <v>0</v>
      </c>
      <c r="H9" s="325">
        <f>H37+IF(AND(H21&lt;='Input Value'!$B$24,'Input Value'!$B$23=0),('Owners Equity'!$B$8/'Input Value'!$B$24),0)</f>
        <v>0</v>
      </c>
      <c r="I9" s="325">
        <f>I37+IF(AND(I21&lt;='Input Value'!$B$24,'Input Value'!$B$23=0),('Owners Equity'!$B$8/'Input Value'!$B$24),0)</f>
        <v>0</v>
      </c>
      <c r="J9" s="325">
        <f>J37+IF(AND(J21&lt;='Input Value'!$B$24,'Input Value'!$B$23=0),('Owners Equity'!$B$8/'Input Value'!$B$24),0)</f>
        <v>0</v>
      </c>
      <c r="K9" s="325">
        <f>K37+IF(AND(K21&lt;='Input Value'!$B$24,'Input Value'!$B$23=0),('Owners Equity'!$B$8/'Input Value'!$B$24),0)</f>
        <v>0</v>
      </c>
      <c r="L9" s="325">
        <f>L37+IF(AND(L21&lt;='Input Value'!$B$24,'Input Value'!$B$23=0),('Owners Equity'!$B$8/'Input Value'!$B$24),0)</f>
        <v>0</v>
      </c>
      <c r="M9" s="115"/>
    </row>
    <row r="10" spans="1:13">
      <c r="A10" s="117" t="s">
        <v>235</v>
      </c>
      <c r="B10" s="325"/>
      <c r="C10" s="325">
        <f>C8+B8-C9</f>
        <v>0</v>
      </c>
      <c r="D10" s="325">
        <f>D8+C10-D9</f>
        <v>0</v>
      </c>
      <c r="E10" s="325">
        <f t="shared" ref="E10:L10" si="1">E8+D10-E9</f>
        <v>0</v>
      </c>
      <c r="F10" s="325">
        <f t="shared" si="1"/>
        <v>0</v>
      </c>
      <c r="G10" s="325">
        <f t="shared" si="1"/>
        <v>0</v>
      </c>
      <c r="H10" s="325">
        <f t="shared" si="1"/>
        <v>0</v>
      </c>
      <c r="I10" s="325">
        <f t="shared" si="1"/>
        <v>0</v>
      </c>
      <c r="J10" s="325">
        <f t="shared" si="1"/>
        <v>0</v>
      </c>
      <c r="K10" s="325">
        <f t="shared" si="1"/>
        <v>0</v>
      </c>
      <c r="L10" s="325">
        <f t="shared" si="1"/>
        <v>0</v>
      </c>
      <c r="M10" s="115"/>
    </row>
    <row r="11" spans="1:13">
      <c r="A11" s="117" t="s">
        <v>237</v>
      </c>
      <c r="B11" s="325">
        <f>+B40</f>
        <v>0</v>
      </c>
      <c r="C11" s="325">
        <f t="shared" ref="C11:L11" si="2">+C40</f>
        <v>29832.561966327125</v>
      </c>
      <c r="D11" s="325">
        <f t="shared" si="2"/>
        <v>8292.9449960414095</v>
      </c>
      <c r="E11" s="325">
        <f t="shared" si="2"/>
        <v>28857.727475177464</v>
      </c>
      <c r="F11" s="325">
        <f t="shared" si="2"/>
        <v>43532.911045014065</v>
      </c>
      <c r="G11" s="325">
        <f t="shared" si="2"/>
        <v>51756.441256651633</v>
      </c>
      <c r="H11" s="325">
        <f t="shared" si="2"/>
        <v>57813.202789115152</v>
      </c>
      <c r="I11" s="325">
        <f t="shared" si="2"/>
        <v>63962.433620237156</v>
      </c>
      <c r="J11" s="325">
        <f t="shared" si="2"/>
        <v>73972.921826260514</v>
      </c>
      <c r="K11" s="325">
        <f t="shared" si="2"/>
        <v>84108.864510822255</v>
      </c>
      <c r="L11" s="325">
        <f t="shared" si="2"/>
        <v>87457.352569745126</v>
      </c>
      <c r="M11" s="115"/>
    </row>
    <row r="12" spans="1:13">
      <c r="A12" s="117" t="s">
        <v>239</v>
      </c>
      <c r="B12" s="325"/>
      <c r="C12" s="325">
        <f>C51</f>
        <v>0</v>
      </c>
      <c r="D12" s="325">
        <f t="shared" ref="D12:L12" si="3">D51</f>
        <v>0</v>
      </c>
      <c r="E12" s="325">
        <f t="shared" si="3"/>
        <v>0</v>
      </c>
      <c r="F12" s="325">
        <f t="shared" si="3"/>
        <v>0</v>
      </c>
      <c r="G12" s="325">
        <f t="shared" si="3"/>
        <v>0</v>
      </c>
      <c r="H12" s="325">
        <f t="shared" si="3"/>
        <v>29832.561966327125</v>
      </c>
      <c r="I12" s="325">
        <f t="shared" si="3"/>
        <v>8292.9449960414095</v>
      </c>
      <c r="J12" s="325">
        <f t="shared" si="3"/>
        <v>28857.727475177464</v>
      </c>
      <c r="K12" s="325">
        <f t="shared" si="3"/>
        <v>43532.911045014065</v>
      </c>
      <c r="L12" s="325">
        <f t="shared" si="3"/>
        <v>51756.441256651633</v>
      </c>
      <c r="M12" s="115"/>
    </row>
    <row r="13" spans="1:13">
      <c r="A13" s="117" t="s">
        <v>240</v>
      </c>
      <c r="B13" s="325"/>
      <c r="C13" s="325">
        <f>C11+B13-C12</f>
        <v>29832.561966327125</v>
      </c>
      <c r="D13" s="325">
        <f>D11+C13-D12</f>
        <v>38125.506962368534</v>
      </c>
      <c r="E13" s="325">
        <f t="shared" ref="E13:L13" si="4">E11+D13-E12</f>
        <v>66983.234437545994</v>
      </c>
      <c r="F13" s="325">
        <f t="shared" si="4"/>
        <v>110516.14548256007</v>
      </c>
      <c r="G13" s="325">
        <f t="shared" si="4"/>
        <v>162272.58673921169</v>
      </c>
      <c r="H13" s="325">
        <f t="shared" si="4"/>
        <v>190253.22756199969</v>
      </c>
      <c r="I13" s="325">
        <f t="shared" si="4"/>
        <v>245922.71618619544</v>
      </c>
      <c r="J13" s="325">
        <f t="shared" si="4"/>
        <v>291037.91053727851</v>
      </c>
      <c r="K13" s="325">
        <f t="shared" si="4"/>
        <v>331613.8640030867</v>
      </c>
      <c r="L13" s="325">
        <f t="shared" si="4"/>
        <v>367314.7753161802</v>
      </c>
      <c r="M13" s="115"/>
    </row>
    <row r="14" spans="1:13">
      <c r="A14" s="116" t="s">
        <v>173</v>
      </c>
      <c r="B14" s="235">
        <f>+'Input Value'!B26</f>
        <v>0</v>
      </c>
      <c r="C14" s="235">
        <f>+B14</f>
        <v>0</v>
      </c>
      <c r="D14" s="235">
        <f t="shared" ref="D14:L14" si="5">+C14</f>
        <v>0</v>
      </c>
      <c r="E14" s="235">
        <f t="shared" si="5"/>
        <v>0</v>
      </c>
      <c r="F14" s="235">
        <f t="shared" si="5"/>
        <v>0</v>
      </c>
      <c r="G14" s="235">
        <f t="shared" si="5"/>
        <v>0</v>
      </c>
      <c r="H14" s="235">
        <f t="shared" si="5"/>
        <v>0</v>
      </c>
      <c r="I14" s="235">
        <f t="shared" si="5"/>
        <v>0</v>
      </c>
      <c r="J14" s="235">
        <f t="shared" si="5"/>
        <v>0</v>
      </c>
      <c r="K14" s="235">
        <f t="shared" si="5"/>
        <v>0</v>
      </c>
      <c r="L14" s="235">
        <f t="shared" si="5"/>
        <v>0</v>
      </c>
      <c r="M14" s="115"/>
    </row>
    <row r="15" spans="1:13">
      <c r="A15" s="116" t="s">
        <v>200</v>
      </c>
      <c r="B15" s="326"/>
      <c r="C15" s="327">
        <f>('Statement of Operations'!C31-'Statement of Operations'!C32-'Owners Equity'!C26-C46-C40)*(1-'Input Value'!$B$34)</f>
        <v>2320.3103751587805</v>
      </c>
      <c r="D15" s="327">
        <f>C15+('Statement of Operations'!D31-'Statement of Operations'!D32-'Owners Equity'!D26-D46-D40)*(1-'Input Value'!$B$34)</f>
        <v>2965.317208184224</v>
      </c>
      <c r="E15" s="327">
        <f>D15+('Statement of Operations'!E31-'Statement of Operations'!E32-'Owners Equity'!E26-E46-E40)*(1-'Input Value'!$B$34)</f>
        <v>5209.8071229202496</v>
      </c>
      <c r="F15" s="327">
        <f>E15+('Statement of Operations'!F31-'Statement of Operations'!F32-'Owners Equity'!F26-F46-F40)*(1-'Input Value'!$B$34)</f>
        <v>8595.7002041991218</v>
      </c>
      <c r="G15" s="327">
        <f>F15+('Statement of Operations'!G31-'Statement of Operations'!G32-'Owners Equity'!G26-G46-G40)*(1-'Input Value'!$B$34)</f>
        <v>12621.201190827585</v>
      </c>
      <c r="H15" s="327">
        <f>G15+('Statement of Operations'!H31-'Statement of Operations'!H32-'Owners Equity'!H26-H46-H40)*(1-'Input Value'!$B$34)</f>
        <v>17117.78362998099</v>
      </c>
      <c r="I15" s="327">
        <f>H15+('Statement of Operations'!I31-'Statement of Operations'!I32-'Owners Equity'!I26-I46-I40)*(1-'Input Value'!$B$34)</f>
        <v>22092.639578221664</v>
      </c>
      <c r="J15" s="327">
        <f>I15+('Statement of Operations'!J31-'Statement of Operations'!J32-'Owners Equity'!J26-J46-J40)*(1-'Input Value'!$B$34)</f>
        <v>27846.089053597487</v>
      </c>
      <c r="K15" s="327">
        <f>J15+('Statement of Operations'!K31-'Statement of Operations'!K32-'Owners Equity'!K26-K46-K40)*(1-'Input Value'!$B$34)</f>
        <v>34387.889626661447</v>
      </c>
      <c r="L15" s="327">
        <f>K15+('Statement of Operations'!L31-'Statement of Operations'!L32-'Owners Equity'!L26-L46-L40)*(1-'Input Value'!$B$34)</f>
        <v>41190.128159863852</v>
      </c>
      <c r="M15" s="242">
        <f>+L15/L17</f>
        <v>0.10083141673299244</v>
      </c>
    </row>
    <row r="16" spans="1:13">
      <c r="A16" s="116"/>
      <c r="B16" s="326"/>
      <c r="C16" s="328"/>
      <c r="D16" s="329"/>
      <c r="E16" s="329"/>
      <c r="F16" s="329"/>
      <c r="G16" s="329"/>
      <c r="H16" s="329"/>
      <c r="I16" s="329"/>
      <c r="J16" s="329"/>
      <c r="K16" s="329"/>
      <c r="L16" s="329"/>
      <c r="M16" s="115"/>
    </row>
    <row r="17" spans="1:13">
      <c r="A17" s="114" t="s">
        <v>201</v>
      </c>
      <c r="B17" s="330">
        <f>B7+B10+B13+B14+B15</f>
        <v>461496</v>
      </c>
      <c r="C17" s="330">
        <f t="shared" ref="C17:L17" si="6">C7+C10+C13+C14+C15</f>
        <v>32152.872341485905</v>
      </c>
      <c r="D17" s="330">
        <f t="shared" si="6"/>
        <v>41090.824170552762</v>
      </c>
      <c r="E17" s="330">
        <f t="shared" si="6"/>
        <v>72193.041560466241</v>
      </c>
      <c r="F17" s="330">
        <f t="shared" si="6"/>
        <v>119111.84568675919</v>
      </c>
      <c r="G17" s="330">
        <f t="shared" si="6"/>
        <v>174893.78793003928</v>
      </c>
      <c r="H17" s="330">
        <f t="shared" si="6"/>
        <v>207371.01119198068</v>
      </c>
      <c r="I17" s="330">
        <f t="shared" si="6"/>
        <v>268015.35576441709</v>
      </c>
      <c r="J17" s="330">
        <f t="shared" si="6"/>
        <v>318883.99959087599</v>
      </c>
      <c r="K17" s="330">
        <f t="shared" si="6"/>
        <v>366001.75362974813</v>
      </c>
      <c r="L17" s="330">
        <f t="shared" si="6"/>
        <v>408504.90347604407</v>
      </c>
      <c r="M17" s="115"/>
    </row>
    <row r="18" spans="1:13">
      <c r="A18" s="116"/>
      <c r="B18" s="16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115"/>
    </row>
    <row r="19" spans="1:13">
      <c r="A19" s="114"/>
      <c r="B19" s="16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115"/>
    </row>
    <row r="20" spans="1:13">
      <c r="A20" s="117"/>
      <c r="B20" s="110"/>
      <c r="C20" s="110"/>
      <c r="D20" s="14"/>
      <c r="E20" s="14"/>
      <c r="F20" s="14"/>
      <c r="G20" s="14"/>
      <c r="H20" s="14"/>
      <c r="I20" s="14"/>
      <c r="J20" s="14"/>
      <c r="K20" s="14"/>
      <c r="L20" s="14"/>
      <c r="M20" s="115"/>
    </row>
    <row r="21" spans="1:13">
      <c r="A21" s="117"/>
      <c r="B21" s="14"/>
      <c r="C21" s="244">
        <v>1</v>
      </c>
      <c r="D21" s="245">
        <v>2</v>
      </c>
      <c r="E21" s="245">
        <v>3</v>
      </c>
      <c r="F21" s="245">
        <v>4</v>
      </c>
      <c r="G21" s="245">
        <v>5</v>
      </c>
      <c r="H21" s="245">
        <v>6</v>
      </c>
      <c r="I21" s="245">
        <v>7</v>
      </c>
      <c r="J21" s="245">
        <v>8</v>
      </c>
      <c r="K21" s="245">
        <v>9</v>
      </c>
      <c r="L21" s="245">
        <v>10</v>
      </c>
      <c r="M21" s="115"/>
    </row>
    <row r="22" spans="1:13">
      <c r="A22" s="116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5"/>
    </row>
    <row r="23" spans="1:13">
      <c r="A23" s="114" t="s">
        <v>250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15"/>
    </row>
    <row r="24" spans="1:13">
      <c r="A24" s="1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15"/>
    </row>
    <row r="25" spans="1:13">
      <c r="A25" s="11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15"/>
    </row>
    <row r="26" spans="1:13">
      <c r="A26" s="116" t="s">
        <v>174</v>
      </c>
      <c r="B26" s="14"/>
      <c r="C26" s="110">
        <f>IF('Statement of Operations'!C31&gt;0,'Statement of Operations'!C31*'Input Value'!$C$67*'Input Value'!$C$70,0)</f>
        <v>0</v>
      </c>
      <c r="D26" s="110">
        <f>IF('Statement of Operations'!D31&gt;0,'Statement of Operations'!D31*'Input Value'!$C$67*'Input Value'!$C$70,0)</f>
        <v>0</v>
      </c>
      <c r="E26" s="110">
        <f>IF('Statement of Operations'!E31&gt;0,'Statement of Operations'!E31*'Input Value'!$C$67*'Input Value'!$C$70,0)</f>
        <v>0</v>
      </c>
      <c r="F26" s="110">
        <f>IF('Statement of Operations'!F31&gt;0,'Statement of Operations'!F31*'Input Value'!$C$67*'Input Value'!$C$70,0)</f>
        <v>0</v>
      </c>
      <c r="G26" s="110">
        <f>IF('Statement of Operations'!G31&gt;0,'Statement of Operations'!G31*'Input Value'!$C$67*'Input Value'!$C$70,0)</f>
        <v>0</v>
      </c>
      <c r="H26" s="110">
        <f>IF('Statement of Operations'!H31&gt;0,'Statement of Operations'!H31*'Input Value'!$C$67*'Input Value'!$C$70,0)</f>
        <v>0</v>
      </c>
      <c r="I26" s="110">
        <f>IF('Statement of Operations'!I31&gt;0,'Statement of Operations'!I31*'Input Value'!$C$67*'Input Value'!$C$70,0)</f>
        <v>0</v>
      </c>
      <c r="J26" s="110">
        <f>IF('Statement of Operations'!J31&gt;0,'Statement of Operations'!J31*'Input Value'!$C$67*'Input Value'!$C$70,0)</f>
        <v>0</v>
      </c>
      <c r="K26" s="110">
        <f>IF('Statement of Operations'!K31&gt;0,'Statement of Operations'!K31*'Input Value'!$C$67*'Input Value'!$C$70,0)</f>
        <v>0</v>
      </c>
      <c r="L26" s="110">
        <f>IF('Statement of Operations'!L31&gt;0,'Statement of Operations'!L31*'Input Value'!$C$67*'Input Value'!$C$70,0)</f>
        <v>0</v>
      </c>
      <c r="M26" s="115"/>
    </row>
    <row r="27" spans="1:13">
      <c r="A27" s="116" t="s">
        <v>176</v>
      </c>
      <c r="B27" s="14"/>
      <c r="C27" s="210"/>
      <c r="D27" s="235">
        <f>IF('Input Value'!$B$24=1,+C26,0)</f>
        <v>0</v>
      </c>
      <c r="E27" s="235">
        <f>IF('Input Value'!$B$24=1,+D26,0)</f>
        <v>0</v>
      </c>
      <c r="F27" s="235">
        <f>IF('Input Value'!$B$24=1,+E26,0)</f>
        <v>0</v>
      </c>
      <c r="G27" s="235">
        <f>IF('Input Value'!$B$24=1,+F26,0)</f>
        <v>0</v>
      </c>
      <c r="H27" s="235">
        <f>IF('Input Value'!$B$24=1,+G26,0)</f>
        <v>0</v>
      </c>
      <c r="I27" s="235">
        <f>IF('Input Value'!$B$24=1,+H26,0)</f>
        <v>0</v>
      </c>
      <c r="J27" s="235">
        <f>IF('Input Value'!$B$24=1,+I26,0)</f>
        <v>0</v>
      </c>
      <c r="K27" s="235">
        <f>IF('Input Value'!$B$24=1,+J26,0)</f>
        <v>0</v>
      </c>
      <c r="L27" s="235">
        <f>IF('Input Value'!$B$24=1,+K26,0)</f>
        <v>0</v>
      </c>
      <c r="M27" s="115"/>
    </row>
    <row r="28" spans="1:13">
      <c r="A28" s="116" t="s">
        <v>177</v>
      </c>
      <c r="B28" s="14"/>
      <c r="C28" s="210"/>
      <c r="D28" s="235"/>
      <c r="E28" s="235">
        <f>IF('Input Value'!$B$24=2,+C26,0)</f>
        <v>0</v>
      </c>
      <c r="F28" s="235">
        <f>IF('Input Value'!$B$24=2,+D26,0)</f>
        <v>0</v>
      </c>
      <c r="G28" s="235">
        <f>IF('Input Value'!$B$24=2,+E26,0)</f>
        <v>0</v>
      </c>
      <c r="H28" s="235">
        <f>IF('Input Value'!$B$24=2,+F26,0)</f>
        <v>0</v>
      </c>
      <c r="I28" s="235">
        <f>IF('Input Value'!$B$24=2,+G26,0)</f>
        <v>0</v>
      </c>
      <c r="J28" s="235">
        <f>IF('Input Value'!$B$24=2,+H26,0)</f>
        <v>0</v>
      </c>
      <c r="K28" s="235">
        <f>IF('Input Value'!$B$24=2,+I26,0)</f>
        <v>0</v>
      </c>
      <c r="L28" s="235">
        <f>IF('Input Value'!$B$24=2,+J26,0)</f>
        <v>0</v>
      </c>
      <c r="M28" s="115"/>
    </row>
    <row r="29" spans="1:13">
      <c r="A29" s="116" t="s">
        <v>178</v>
      </c>
      <c r="B29" s="14"/>
      <c r="C29" s="210"/>
      <c r="D29" s="235"/>
      <c r="E29" s="235"/>
      <c r="F29" s="235">
        <f>IF('Input Value'!$B$24=3,+C26,0)</f>
        <v>0</v>
      </c>
      <c r="G29" s="235">
        <f>IF('Input Value'!$B$24=3,+D26,0)</f>
        <v>0</v>
      </c>
      <c r="H29" s="235">
        <f>IF('Input Value'!$B$24=3,+E26,0)</f>
        <v>0</v>
      </c>
      <c r="I29" s="235">
        <f>IF('Input Value'!$B$24=3,+F26,0)</f>
        <v>0</v>
      </c>
      <c r="J29" s="235">
        <f>IF('Input Value'!$B$24=3,+G26,0)</f>
        <v>0</v>
      </c>
      <c r="K29" s="235">
        <f>IF('Input Value'!$B$24=3,+H26,0)</f>
        <v>0</v>
      </c>
      <c r="L29" s="235">
        <f>IF('Input Value'!$B$24=3,+I26,0)</f>
        <v>0</v>
      </c>
      <c r="M29" s="115"/>
    </row>
    <row r="30" spans="1:13">
      <c r="A30" s="116" t="s">
        <v>179</v>
      </c>
      <c r="B30" s="14"/>
      <c r="C30" s="210"/>
      <c r="D30" s="235"/>
      <c r="E30" s="235"/>
      <c r="F30" s="235"/>
      <c r="G30" s="235">
        <f>IF('Input Value'!$B$24=4,+C26,0)</f>
        <v>0</v>
      </c>
      <c r="H30" s="235">
        <f>IF('Input Value'!$B$24=4,+D26,0)</f>
        <v>0</v>
      </c>
      <c r="I30" s="235">
        <f>IF('Input Value'!$B$24=4,+E26,0)</f>
        <v>0</v>
      </c>
      <c r="J30" s="235">
        <f>IF('Input Value'!$B$24=4,+F26,0)</f>
        <v>0</v>
      </c>
      <c r="K30" s="235">
        <f>IF('Input Value'!$B$24=4,+G26,0)</f>
        <v>0</v>
      </c>
      <c r="L30" s="235">
        <f>IF('Input Value'!$B$24=4,+H26,0)</f>
        <v>0</v>
      </c>
      <c r="M30" s="115"/>
    </row>
    <row r="31" spans="1:13">
      <c r="A31" s="116" t="s">
        <v>180</v>
      </c>
      <c r="B31" s="14"/>
      <c r="C31" s="210"/>
      <c r="D31" s="235"/>
      <c r="E31" s="235"/>
      <c r="F31" s="235"/>
      <c r="G31" s="235"/>
      <c r="H31" s="235">
        <f>IF('Input Value'!$B$24=5,+C26,0)</f>
        <v>0</v>
      </c>
      <c r="I31" s="235">
        <f>IF('Input Value'!$B$24=5,+D26,0)</f>
        <v>0</v>
      </c>
      <c r="J31" s="235">
        <f>IF('Input Value'!$B$24=5,+E26,0)</f>
        <v>0</v>
      </c>
      <c r="K31" s="235">
        <f>IF('Input Value'!$B$24=5,+F26,0)</f>
        <v>0</v>
      </c>
      <c r="L31" s="235">
        <f>IF('Input Value'!$B$24=5,+G26,0)</f>
        <v>0</v>
      </c>
      <c r="M31" s="115"/>
    </row>
    <row r="32" spans="1:13">
      <c r="A32" s="116" t="s">
        <v>181</v>
      </c>
      <c r="B32" s="14"/>
      <c r="C32" s="210"/>
      <c r="D32" s="235"/>
      <c r="E32" s="235"/>
      <c r="F32" s="235"/>
      <c r="G32" s="235"/>
      <c r="H32" s="235"/>
      <c r="I32" s="235">
        <f>IF('Input Value'!$B$24=6,+C26,0)</f>
        <v>0</v>
      </c>
      <c r="J32" s="235">
        <f>IF('Input Value'!$B$24=6,+D26,0)</f>
        <v>0</v>
      </c>
      <c r="K32" s="235">
        <f>IF('Input Value'!$B$24=6,+E26,0)</f>
        <v>0</v>
      </c>
      <c r="L32" s="235">
        <f>IF('Input Value'!$B$24=6,+F26,0)</f>
        <v>0</v>
      </c>
      <c r="M32" s="115"/>
    </row>
    <row r="33" spans="1:13">
      <c r="A33" s="116" t="s">
        <v>182</v>
      </c>
      <c r="B33" s="14"/>
      <c r="C33" s="210"/>
      <c r="D33" s="235"/>
      <c r="E33" s="235"/>
      <c r="F33" s="235"/>
      <c r="G33" s="235"/>
      <c r="H33" s="235"/>
      <c r="I33" s="235"/>
      <c r="J33" s="235">
        <f>IF('Input Value'!$B$24=7,+C26,0)</f>
        <v>0</v>
      </c>
      <c r="K33" s="235">
        <f>IF('Input Value'!$B$24=7,+D26,0)</f>
        <v>0</v>
      </c>
      <c r="L33" s="235">
        <f>IF('Input Value'!$B$24=7,+E26,0)</f>
        <v>0</v>
      </c>
      <c r="M33" s="115"/>
    </row>
    <row r="34" spans="1:13">
      <c r="A34" s="116" t="s">
        <v>183</v>
      </c>
      <c r="B34" s="14"/>
      <c r="C34" s="210"/>
      <c r="D34" s="235"/>
      <c r="E34" s="235"/>
      <c r="F34" s="235"/>
      <c r="G34" s="235"/>
      <c r="H34" s="235"/>
      <c r="I34" s="235"/>
      <c r="J34" s="235"/>
      <c r="K34" s="235">
        <f>IF('Input Value'!$B$24=8,+C26,0)</f>
        <v>0</v>
      </c>
      <c r="L34" s="235">
        <f>IF('Input Value'!$B$24=8,+D26,0)</f>
        <v>0</v>
      </c>
      <c r="M34" s="115"/>
    </row>
    <row r="35" spans="1:13">
      <c r="A35" s="116" t="s">
        <v>184</v>
      </c>
      <c r="B35" s="14"/>
      <c r="C35" s="210"/>
      <c r="D35" s="235"/>
      <c r="E35" s="235"/>
      <c r="F35" s="235"/>
      <c r="G35" s="235"/>
      <c r="H35" s="235"/>
      <c r="I35" s="235"/>
      <c r="J35" s="235"/>
      <c r="K35" s="235"/>
      <c r="L35" s="235">
        <f>IF('Input Value'!$B$24=9,+C26,0)</f>
        <v>0</v>
      </c>
      <c r="M35" s="115"/>
    </row>
    <row r="36" spans="1:13">
      <c r="A36" s="116" t="s">
        <v>185</v>
      </c>
      <c r="B36" s="14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115"/>
    </row>
    <row r="37" spans="1:13">
      <c r="A37" s="116" t="s">
        <v>186</v>
      </c>
      <c r="B37" s="14"/>
      <c r="C37" s="235">
        <f>SUM(C27:C36)</f>
        <v>0</v>
      </c>
      <c r="D37" s="235">
        <f t="shared" ref="D37:L37" si="7">SUM(D27:D36)</f>
        <v>0</v>
      </c>
      <c r="E37" s="235">
        <f t="shared" si="7"/>
        <v>0</v>
      </c>
      <c r="F37" s="235">
        <f t="shared" si="7"/>
        <v>0</v>
      </c>
      <c r="G37" s="235">
        <f t="shared" si="7"/>
        <v>0</v>
      </c>
      <c r="H37" s="235">
        <f t="shared" si="7"/>
        <v>0</v>
      </c>
      <c r="I37" s="235">
        <f t="shared" si="7"/>
        <v>0</v>
      </c>
      <c r="J37" s="235">
        <f t="shared" si="7"/>
        <v>0</v>
      </c>
      <c r="K37" s="235">
        <f t="shared" si="7"/>
        <v>0</v>
      </c>
      <c r="L37" s="235">
        <f t="shared" si="7"/>
        <v>0</v>
      </c>
      <c r="M37" s="115"/>
    </row>
    <row r="38" spans="1:13">
      <c r="A38" s="116" t="s">
        <v>175</v>
      </c>
      <c r="B38" s="14"/>
      <c r="C38" s="110">
        <f>+C26-C37</f>
        <v>0</v>
      </c>
      <c r="D38" s="110">
        <f>C38+D26-D37</f>
        <v>0</v>
      </c>
      <c r="E38" s="110">
        <f t="shared" ref="E38:L38" si="8">D38+E26-E37</f>
        <v>0</v>
      </c>
      <c r="F38" s="110">
        <f t="shared" si="8"/>
        <v>0</v>
      </c>
      <c r="G38" s="110">
        <f t="shared" si="8"/>
        <v>0</v>
      </c>
      <c r="H38" s="110">
        <f t="shared" si="8"/>
        <v>0</v>
      </c>
      <c r="I38" s="110">
        <f t="shared" si="8"/>
        <v>0</v>
      </c>
      <c r="J38" s="110">
        <f t="shared" si="8"/>
        <v>0</v>
      </c>
      <c r="K38" s="110">
        <f t="shared" si="8"/>
        <v>0</v>
      </c>
      <c r="L38" s="110">
        <f t="shared" si="8"/>
        <v>0</v>
      </c>
      <c r="M38" s="115"/>
    </row>
    <row r="39" spans="1:13">
      <c r="A39" s="116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15"/>
    </row>
    <row r="40" spans="1:13">
      <c r="A40" s="116" t="s">
        <v>199</v>
      </c>
      <c r="B40" s="14"/>
      <c r="C40" s="110">
        <f>IF('Statement of Operations'!C31&gt;0,'Statement of Operations'!C31*(1)*'Input Value'!$C$68*'Input Value'!$C$70,0)</f>
        <v>29832.561966327125</v>
      </c>
      <c r="D40" s="110">
        <f>IF('Statement of Operations'!D31&gt;0,'Statement of Operations'!D31*(1)*'Input Value'!$C$68*'Input Value'!$C$70,0)</f>
        <v>8292.9449960414095</v>
      </c>
      <c r="E40" s="110">
        <f>IF('Statement of Operations'!E31&gt;0,'Statement of Operations'!E31*(1)*'Input Value'!$C$68*'Input Value'!$C$70,0)</f>
        <v>28857.727475177464</v>
      </c>
      <c r="F40" s="110">
        <f>IF('Statement of Operations'!F31&gt;0,'Statement of Operations'!F31*(1)*'Input Value'!$C$68*'Input Value'!$C$70,0)</f>
        <v>43532.911045014065</v>
      </c>
      <c r="G40" s="110">
        <f>IF('Statement of Operations'!G31&gt;0,'Statement of Operations'!G31*(1)*'Input Value'!$C$68*'Input Value'!$C$70,0)</f>
        <v>51756.441256651633</v>
      </c>
      <c r="H40" s="110">
        <f>IF('Statement of Operations'!H31&gt;0,'Statement of Operations'!H31*(1)*'Input Value'!$C$68*'Input Value'!$C$70,0)</f>
        <v>57813.202789115152</v>
      </c>
      <c r="I40" s="110">
        <f>IF('Statement of Operations'!I31&gt;0,'Statement of Operations'!I31*(1)*'Input Value'!$C$68*'Input Value'!$C$70,0)</f>
        <v>63962.433620237156</v>
      </c>
      <c r="J40" s="110">
        <f>IF('Statement of Operations'!J31&gt;0,'Statement of Operations'!J31*(1)*'Input Value'!$C$68*'Input Value'!$C$70,0)</f>
        <v>73972.921826260514</v>
      </c>
      <c r="K40" s="110">
        <f>IF('Statement of Operations'!K31&gt;0,'Statement of Operations'!K31*(1)*'Input Value'!$C$68*'Input Value'!$C$70,0)</f>
        <v>84108.864510822255</v>
      </c>
      <c r="L40" s="110">
        <f>IF('Statement of Operations'!L31&gt;0,'Statement of Operations'!L31*(1)*'Input Value'!$C$68*'Input Value'!$C$70,0)</f>
        <v>87457.352569745126</v>
      </c>
      <c r="M40" s="115"/>
    </row>
    <row r="41" spans="1:13">
      <c r="A41" s="116" t="s">
        <v>187</v>
      </c>
      <c r="B41" s="14"/>
      <c r="C41" s="106"/>
      <c r="D41" s="235">
        <f>IF('Input Value'!$B$24=1,+C40,0)</f>
        <v>0</v>
      </c>
      <c r="E41" s="235">
        <f>IF('Input Value'!$B$24=1,+D40,0)</f>
        <v>0</v>
      </c>
      <c r="F41" s="235">
        <f>IF('Input Value'!$B$24=1,+E40,0)</f>
        <v>0</v>
      </c>
      <c r="G41" s="235">
        <f>IF('Input Value'!$B$24=1,+F40,0)</f>
        <v>0</v>
      </c>
      <c r="H41" s="235">
        <f>IF('Input Value'!$B$24=1,+G40,0)</f>
        <v>0</v>
      </c>
      <c r="I41" s="235">
        <f>IF('Input Value'!$B$24=1,+H40,0)</f>
        <v>0</v>
      </c>
      <c r="J41" s="235">
        <f>IF('Input Value'!$B$24=1,+I40,0)</f>
        <v>0</v>
      </c>
      <c r="K41" s="235">
        <f>IF('Input Value'!$B$24=1,+J40,0)</f>
        <v>0</v>
      </c>
      <c r="L41" s="235">
        <f>IF('Input Value'!$B$24=1,+K40,0)</f>
        <v>0</v>
      </c>
      <c r="M41" s="115"/>
    </row>
    <row r="42" spans="1:13">
      <c r="A42" s="116" t="s">
        <v>188</v>
      </c>
      <c r="B42" s="14"/>
      <c r="C42" s="106"/>
      <c r="D42" s="235"/>
      <c r="E42" s="235">
        <f>IF('Input Value'!$B$24=2,+C40,0)</f>
        <v>0</v>
      </c>
      <c r="F42" s="235">
        <f>IF('Input Value'!$B$24=2,+D40,0)</f>
        <v>0</v>
      </c>
      <c r="G42" s="235">
        <f>IF('Input Value'!$B$24=2,+E40,0)</f>
        <v>0</v>
      </c>
      <c r="H42" s="235">
        <f>IF('Input Value'!$B$24=2,+F40,0)</f>
        <v>0</v>
      </c>
      <c r="I42" s="235">
        <f>IF('Input Value'!$B$24=2,+G40,0)</f>
        <v>0</v>
      </c>
      <c r="J42" s="235">
        <f>IF('Input Value'!$B$24=2,+H40,0)</f>
        <v>0</v>
      </c>
      <c r="K42" s="235">
        <f>IF('Input Value'!$B$24=2,+I40,0)</f>
        <v>0</v>
      </c>
      <c r="L42" s="235">
        <f>IF('Input Value'!$B$24=2,+J40,0)</f>
        <v>0</v>
      </c>
      <c r="M42" s="115"/>
    </row>
    <row r="43" spans="1:13">
      <c r="A43" s="116" t="s">
        <v>189</v>
      </c>
      <c r="B43" s="14"/>
      <c r="C43" s="106"/>
      <c r="D43" s="235"/>
      <c r="E43" s="235"/>
      <c r="F43" s="235">
        <f>IF('Input Value'!$B$24=3,+C40,0)</f>
        <v>0</v>
      </c>
      <c r="G43" s="235">
        <f>IF('Input Value'!$B$24=3,+D40,0)</f>
        <v>0</v>
      </c>
      <c r="H43" s="235">
        <f>IF('Input Value'!$B$24=3,+E40,0)</f>
        <v>0</v>
      </c>
      <c r="I43" s="235">
        <f>IF('Input Value'!$B$24=3,+F40,0)</f>
        <v>0</v>
      </c>
      <c r="J43" s="235">
        <f>IF('Input Value'!$B$24=3,+G40,0)</f>
        <v>0</v>
      </c>
      <c r="K43" s="235">
        <f>IF('Input Value'!$B$24=3,+H40,0)</f>
        <v>0</v>
      </c>
      <c r="L43" s="235">
        <f>IF('Input Value'!$B$24=3,+I40,0)</f>
        <v>0</v>
      </c>
      <c r="M43" s="115"/>
    </row>
    <row r="44" spans="1:13">
      <c r="A44" s="116" t="s">
        <v>190</v>
      </c>
      <c r="B44" s="14"/>
      <c r="C44" s="106"/>
      <c r="D44" s="235"/>
      <c r="E44" s="235"/>
      <c r="F44" s="235"/>
      <c r="G44" s="235">
        <f>IF('Input Value'!$B$24=4,+C40,0)</f>
        <v>0</v>
      </c>
      <c r="H44" s="235">
        <f>IF('Input Value'!$B$24=4,+D40,0)</f>
        <v>0</v>
      </c>
      <c r="I44" s="235">
        <f>IF('Input Value'!$B$24=4,+E40,0)</f>
        <v>0</v>
      </c>
      <c r="J44" s="235">
        <f>IF('Input Value'!$B$24=4,+F40,0)</f>
        <v>0</v>
      </c>
      <c r="K44" s="235">
        <f>IF('Input Value'!$B$24=4,+G40,0)</f>
        <v>0</v>
      </c>
      <c r="L44" s="235">
        <f>IF('Input Value'!$B$24=4,+H40,0)</f>
        <v>0</v>
      </c>
      <c r="M44" s="115"/>
    </row>
    <row r="45" spans="1:13">
      <c r="A45" s="116" t="s">
        <v>191</v>
      </c>
      <c r="B45" s="14"/>
      <c r="C45" s="106"/>
      <c r="D45" s="235"/>
      <c r="E45" s="235"/>
      <c r="F45" s="235"/>
      <c r="G45" s="235"/>
      <c r="H45" s="235">
        <f>IF('Input Value'!$B$24=5,+C40,0)</f>
        <v>29832.561966327125</v>
      </c>
      <c r="I45" s="235">
        <f>IF('Input Value'!$B$24=5,+D40,0)</f>
        <v>8292.9449960414095</v>
      </c>
      <c r="J45" s="235">
        <f>IF('Input Value'!$B$24=5,+E40,0)</f>
        <v>28857.727475177464</v>
      </c>
      <c r="K45" s="235">
        <f>IF('Input Value'!$B$24=5,+F40,0)</f>
        <v>43532.911045014065</v>
      </c>
      <c r="L45" s="235">
        <f>IF('Input Value'!$B$24=5,+G40,0)</f>
        <v>51756.441256651633</v>
      </c>
      <c r="M45" s="115"/>
    </row>
    <row r="46" spans="1:13">
      <c r="A46" s="116" t="s">
        <v>192</v>
      </c>
      <c r="B46" s="14"/>
      <c r="C46" s="106"/>
      <c r="D46" s="235"/>
      <c r="E46" s="235"/>
      <c r="F46" s="235"/>
      <c r="G46" s="235"/>
      <c r="H46" s="235"/>
      <c r="I46" s="235">
        <f>IF('Input Value'!$B$24=6,+C40,0)</f>
        <v>0</v>
      </c>
      <c r="J46" s="235">
        <f>IF('Input Value'!$B$24=6,+D40,0)</f>
        <v>0</v>
      </c>
      <c r="K46" s="235">
        <f>IF('Input Value'!$B$24=6,+E40,0)</f>
        <v>0</v>
      </c>
      <c r="L46" s="235">
        <f>IF('Input Value'!$B$24=6,+F40,0)</f>
        <v>0</v>
      </c>
      <c r="M46" s="115"/>
    </row>
    <row r="47" spans="1:13">
      <c r="A47" s="116" t="s">
        <v>193</v>
      </c>
      <c r="B47" s="14"/>
      <c r="C47" s="106"/>
      <c r="D47" s="235"/>
      <c r="E47" s="235"/>
      <c r="F47" s="235"/>
      <c r="G47" s="235"/>
      <c r="H47" s="235"/>
      <c r="I47" s="235"/>
      <c r="J47" s="235">
        <f>IF('Input Value'!$B$24=7,+C40,0)</f>
        <v>0</v>
      </c>
      <c r="K47" s="235">
        <f>IF('Input Value'!$B$24=7,+D40,0)</f>
        <v>0</v>
      </c>
      <c r="L47" s="235">
        <f>IF('Input Value'!$B$24=7,+E40,0)</f>
        <v>0</v>
      </c>
      <c r="M47" s="115"/>
    </row>
    <row r="48" spans="1:13">
      <c r="A48" s="116" t="s">
        <v>194</v>
      </c>
      <c r="B48" s="14"/>
      <c r="C48" s="106"/>
      <c r="D48" s="235"/>
      <c r="E48" s="235"/>
      <c r="F48" s="235"/>
      <c r="G48" s="235"/>
      <c r="H48" s="235"/>
      <c r="I48" s="235"/>
      <c r="J48" s="235"/>
      <c r="K48" s="235">
        <f>IF('Input Value'!$B$24=8,+C40,0)</f>
        <v>0</v>
      </c>
      <c r="L48" s="235">
        <f>IF('Input Value'!$B$24=8,+D40,0)</f>
        <v>0</v>
      </c>
      <c r="M48" s="115"/>
    </row>
    <row r="49" spans="1:13">
      <c r="A49" s="116" t="s">
        <v>195</v>
      </c>
      <c r="B49" s="14"/>
      <c r="C49" s="106"/>
      <c r="D49" s="235"/>
      <c r="E49" s="235"/>
      <c r="F49" s="235"/>
      <c r="G49" s="235"/>
      <c r="H49" s="235"/>
      <c r="I49" s="235"/>
      <c r="J49" s="235"/>
      <c r="K49" s="235"/>
      <c r="L49" s="235">
        <f>IF('Input Value'!$B$24=9,+C40,0)</f>
        <v>0</v>
      </c>
      <c r="M49" s="115"/>
    </row>
    <row r="50" spans="1:13">
      <c r="A50" s="116" t="s">
        <v>196</v>
      </c>
      <c r="B50" s="14"/>
      <c r="C50" s="106"/>
      <c r="D50" s="235"/>
      <c r="E50" s="235"/>
      <c r="F50" s="235"/>
      <c r="G50" s="235"/>
      <c r="H50" s="235"/>
      <c r="I50" s="235"/>
      <c r="J50" s="235"/>
      <c r="K50" s="235"/>
      <c r="L50" s="235"/>
      <c r="M50" s="115"/>
    </row>
    <row r="51" spans="1:13">
      <c r="A51" s="116" t="s">
        <v>197</v>
      </c>
      <c r="B51" s="14"/>
      <c r="C51" s="235">
        <f>SUM(C41:C50)</f>
        <v>0</v>
      </c>
      <c r="D51" s="235">
        <f t="shared" ref="D51:L51" si="9">SUM(D41:D50)</f>
        <v>0</v>
      </c>
      <c r="E51" s="235">
        <f t="shared" si="9"/>
        <v>0</v>
      </c>
      <c r="F51" s="235">
        <f t="shared" si="9"/>
        <v>0</v>
      </c>
      <c r="G51" s="235">
        <f t="shared" si="9"/>
        <v>0</v>
      </c>
      <c r="H51" s="235">
        <f t="shared" si="9"/>
        <v>29832.561966327125</v>
      </c>
      <c r="I51" s="235">
        <f t="shared" si="9"/>
        <v>8292.9449960414095</v>
      </c>
      <c r="J51" s="235">
        <f t="shared" si="9"/>
        <v>28857.727475177464</v>
      </c>
      <c r="K51" s="235">
        <f t="shared" si="9"/>
        <v>43532.911045014065</v>
      </c>
      <c r="L51" s="235">
        <f t="shared" si="9"/>
        <v>51756.441256651633</v>
      </c>
      <c r="M51" s="115"/>
    </row>
    <row r="52" spans="1:13">
      <c r="A52" s="116" t="s">
        <v>198</v>
      </c>
      <c r="B52" s="14"/>
      <c r="C52" s="110">
        <f>+C40-C51</f>
        <v>29832.561966327125</v>
      </c>
      <c r="D52" s="110">
        <f>C52+D40-D51</f>
        <v>38125.506962368534</v>
      </c>
      <c r="E52" s="110">
        <f t="shared" ref="E52:L52" si="10">D52+E40-E51</f>
        <v>66983.234437545994</v>
      </c>
      <c r="F52" s="110">
        <f t="shared" si="10"/>
        <v>110516.14548256007</v>
      </c>
      <c r="G52" s="110">
        <f t="shared" si="10"/>
        <v>162272.58673921169</v>
      </c>
      <c r="H52" s="110">
        <f t="shared" si="10"/>
        <v>190253.22756199969</v>
      </c>
      <c r="I52" s="110">
        <f t="shared" si="10"/>
        <v>245922.71618619544</v>
      </c>
      <c r="J52" s="110">
        <f t="shared" si="10"/>
        <v>291037.91053727851</v>
      </c>
      <c r="K52" s="110">
        <f t="shared" si="10"/>
        <v>331613.8640030867</v>
      </c>
      <c r="L52" s="110">
        <f t="shared" si="10"/>
        <v>367314.7753161802</v>
      </c>
      <c r="M52" s="115"/>
    </row>
    <row r="53" spans="1:13" ht="13.8" thickBot="1">
      <c r="A53" s="119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238"/>
    </row>
  </sheetData>
  <sheetProtection algorithmName="SHA-512" hashValue="l5F1D36FAHC/SRCAofjc8AIK2UU1Da/u4WHiitN4cHWvlm0xBquY9w1UiMZOakKaCfRLeoWfpXZykFFR1IZYGA==" saltValue="7gMjFtFIg8XHW6cjBKU13g==" spinCount="100000" sheet="1" insertColumns="0"/>
  <mergeCells count="3">
    <mergeCell ref="A1:C1"/>
    <mergeCell ref="A2:C2"/>
    <mergeCell ref="A3:C3"/>
  </mergeCells>
  <phoneticPr fontId="0" type="noConversion"/>
  <hyperlinks>
    <hyperlink ref="A2:C2" location="'Input Value'!A1" display="BACK TO INPUTS" xr:uid="{C626E2A1-89ED-4F20-963A-75CBC38C81B3}"/>
    <hyperlink ref="A3:C3" location="'Return On Investment'!A1" display="FORWARD TO RETURN ON INVESTMENT" xr:uid="{D6936119-B1EB-43AA-9766-F8F331556654}"/>
  </hyperlink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Introduction</vt:lpstr>
      <vt:lpstr>RiskSerializationData8</vt:lpstr>
      <vt:lpstr>Input Value</vt:lpstr>
      <vt:lpstr>Market Projection</vt:lpstr>
      <vt:lpstr>Loan Amortization</vt:lpstr>
      <vt:lpstr>Personnel Expenses</vt:lpstr>
      <vt:lpstr>Expense Projection</vt:lpstr>
      <vt:lpstr>Statement of Operations</vt:lpstr>
      <vt:lpstr>Owners Equity</vt:lpstr>
      <vt:lpstr>Equip and Depreciation</vt:lpstr>
      <vt:lpstr>Return On Investment</vt:lpstr>
      <vt:lpstr>Owners Return</vt:lpstr>
      <vt:lpstr>Balance Sheet</vt:lpstr>
      <vt:lpstr>Cash Flow </vt:lpstr>
      <vt:lpstr>RiskSerializationData8!BrowseRecords</vt:lpstr>
      <vt:lpstr>RiskSerializationData8!SerializationHeader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Pecan Shelling Cooperative Template March 2026</dc:title>
  <dc:creator>OSU Robert M. Kerr Food and Agricultural Products Center</dc:creator>
  <cp:keywords>Pecan, Shelling, Cooperative, Template, OSU, Oklahoma</cp:keywords>
  <cp:lastModifiedBy>Tadajewski, Hallie</cp:lastModifiedBy>
  <dcterms:created xsi:type="dcterms:W3CDTF">2003-07-24T15:07:28Z</dcterms:created>
  <dcterms:modified xsi:type="dcterms:W3CDTF">2026-06-08T15:19:11Z</dcterms:modified>
</cp:coreProperties>
</file>