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5605" windowHeight="13740"/>
  </bookViews>
  <sheets>
    <sheet name="Introduction" sheetId="7" r:id="rId1"/>
    <sheet name="Facilities" sheetId="1" r:id="rId2"/>
    <sheet name="Variable Costs &amp; Pricing" sheetId="2" r:id="rId3"/>
    <sheet name="Net Returns" sheetId="4" r:id="rId4"/>
    <sheet name="Farm Fresh Equiv Pricing" sheetId="5" r:id="rId5"/>
    <sheet name="Sheet1" sheetId="6" r:id="rId6"/>
  </sheets>
  <externalReferences>
    <externalReference r:id="rId7"/>
  </externalReferences>
  <definedNames>
    <definedName name="Classification" localSheetId="0">[1]Facilities!$C$204:$C$210</definedName>
    <definedName name="Classification">Facilities!$C$209:$C$215</definedName>
    <definedName name="Onfarm">'Variable Costs &amp; Pricing'!$C$189:$C$190</definedName>
    <definedName name="Processing" localSheetId="0">[1]Facilities!$B$204:$B$210</definedName>
    <definedName name="Processing">Facilities!$B$209:$B$215</definedName>
  </definedNames>
  <calcPr calcId="145621" calcMode="autoNoTable" concurrentCalc="0"/>
</workbook>
</file>

<file path=xl/calcChain.xml><?xml version="1.0" encoding="utf-8"?>
<calcChain xmlns="http://schemas.openxmlformats.org/spreadsheetml/2006/main">
  <c r="B18" i="2" l="1"/>
  <c r="J15" i="1"/>
  <c r="J11" i="1"/>
  <c r="C24" i="1"/>
  <c r="C23" i="1"/>
  <c r="R8" i="5"/>
  <c r="R9" i="5"/>
  <c r="R10" i="5"/>
  <c r="R26" i="5"/>
  <c r="R30" i="5"/>
  <c r="O8" i="5"/>
  <c r="O9" i="5"/>
  <c r="O10" i="5"/>
  <c r="O11" i="5"/>
  <c r="O12" i="5"/>
  <c r="O26" i="5"/>
  <c r="O30" i="5"/>
  <c r="L8" i="5"/>
  <c r="L9" i="5"/>
  <c r="L10" i="5"/>
  <c r="L11" i="5"/>
  <c r="L26" i="5"/>
  <c r="L30" i="5"/>
  <c r="I8" i="5"/>
  <c r="I9" i="5"/>
  <c r="I10" i="5"/>
  <c r="I26" i="5"/>
  <c r="I30" i="5"/>
  <c r="F8" i="5"/>
  <c r="F9" i="5"/>
  <c r="F10" i="5"/>
  <c r="F26" i="5"/>
  <c r="F30" i="5"/>
  <c r="C8" i="5"/>
  <c r="C9" i="5"/>
  <c r="C10" i="5"/>
  <c r="C11" i="5"/>
  <c r="C26" i="5"/>
  <c r="C30" i="5"/>
  <c r="R36" i="5"/>
  <c r="O36" i="5"/>
  <c r="L36" i="5"/>
  <c r="I36" i="5"/>
  <c r="F36" i="5"/>
  <c r="C36" i="5"/>
  <c r="AA43" i="2"/>
  <c r="AA36" i="2"/>
  <c r="AA45" i="2"/>
  <c r="AA28" i="2"/>
  <c r="AA41" i="2"/>
  <c r="AA47" i="2"/>
  <c r="AA49" i="2"/>
  <c r="AA53" i="2"/>
  <c r="AA55" i="2"/>
  <c r="AA57" i="2"/>
  <c r="W43" i="2"/>
  <c r="W36" i="2"/>
  <c r="W45" i="2"/>
  <c r="W28" i="2"/>
  <c r="W41" i="2"/>
  <c r="W47" i="2"/>
  <c r="W49" i="2"/>
  <c r="W53" i="2"/>
  <c r="W55" i="2"/>
  <c r="W57" i="2"/>
  <c r="S43" i="2"/>
  <c r="S36" i="2"/>
  <c r="S45" i="2"/>
  <c r="S28" i="2"/>
  <c r="S41" i="2"/>
  <c r="S47" i="2"/>
  <c r="S49" i="2"/>
  <c r="S53" i="2"/>
  <c r="S55" i="2"/>
  <c r="S57" i="2"/>
  <c r="O43" i="2"/>
  <c r="O36" i="2"/>
  <c r="O45" i="2"/>
  <c r="O28" i="2"/>
  <c r="O41" i="2"/>
  <c r="O47" i="2"/>
  <c r="O49" i="2"/>
  <c r="O53" i="2"/>
  <c r="O55" i="2"/>
  <c r="O57" i="2"/>
  <c r="K43" i="2"/>
  <c r="K36" i="2"/>
  <c r="K45" i="2"/>
  <c r="K28" i="2"/>
  <c r="K41" i="2"/>
  <c r="K47" i="2"/>
  <c r="K49" i="2"/>
  <c r="K53" i="2"/>
  <c r="K55" i="2"/>
  <c r="K57" i="2"/>
  <c r="G36" i="2"/>
  <c r="G53" i="2"/>
  <c r="G28" i="2"/>
  <c r="G41" i="2"/>
  <c r="G43" i="2"/>
  <c r="G45" i="2"/>
  <c r="G47" i="2"/>
  <c r="G49" i="2"/>
  <c r="G55" i="2"/>
  <c r="G57" i="2"/>
  <c r="W59" i="2"/>
  <c r="S59" i="2"/>
  <c r="O59" i="2"/>
  <c r="K59" i="2"/>
  <c r="G59" i="2"/>
  <c r="AA59" i="2"/>
  <c r="D8" i="4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D45" i="1"/>
  <c r="F45" i="1"/>
  <c r="F46" i="1"/>
  <c r="F47" i="1"/>
  <c r="F48" i="1"/>
  <c r="F49" i="1"/>
  <c r="F50" i="1"/>
  <c r="D51" i="1"/>
  <c r="F51" i="1"/>
  <c r="D52" i="1"/>
  <c r="F52" i="1"/>
  <c r="D53" i="1"/>
  <c r="F53" i="1"/>
  <c r="F54" i="1"/>
  <c r="F55" i="1"/>
  <c r="F56" i="1"/>
  <c r="F57" i="1"/>
  <c r="F58" i="1"/>
  <c r="F59" i="1"/>
  <c r="F60" i="1"/>
  <c r="F61" i="1"/>
  <c r="F62" i="1"/>
  <c r="F71" i="1"/>
  <c r="F72" i="1"/>
  <c r="F73" i="1"/>
  <c r="F74" i="1"/>
  <c r="C21" i="1"/>
  <c r="D11" i="4"/>
  <c r="Q9" i="5"/>
  <c r="Q10" i="5"/>
  <c r="Q11" i="5"/>
  <c r="R11" i="5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8" i="5"/>
  <c r="N9" i="5"/>
  <c r="N10" i="5"/>
  <c r="N11" i="5"/>
  <c r="N12" i="5"/>
  <c r="N13" i="5"/>
  <c r="O13" i="5"/>
  <c r="N14" i="5"/>
  <c r="O14" i="5"/>
  <c r="N15" i="5"/>
  <c r="O15" i="5"/>
  <c r="N16" i="5"/>
  <c r="O16" i="5"/>
  <c r="N17" i="5"/>
  <c r="O17" i="5"/>
  <c r="N18" i="5"/>
  <c r="O18" i="5"/>
  <c r="N19" i="5"/>
  <c r="O19" i="5"/>
  <c r="N20" i="5"/>
  <c r="O20" i="5"/>
  <c r="N21" i="5"/>
  <c r="O21" i="5"/>
  <c r="N22" i="5"/>
  <c r="O22" i="5"/>
  <c r="N23" i="5"/>
  <c r="O23" i="5"/>
  <c r="N24" i="5"/>
  <c r="O24" i="5"/>
  <c r="N25" i="5"/>
  <c r="O25" i="5"/>
  <c r="N8" i="5"/>
  <c r="K9" i="5"/>
  <c r="K10" i="5"/>
  <c r="K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8" i="5"/>
  <c r="H9" i="5"/>
  <c r="H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8" i="5"/>
  <c r="E9" i="5"/>
  <c r="E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8" i="5"/>
  <c r="B9" i="5"/>
  <c r="B10" i="5"/>
  <c r="B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8" i="5"/>
  <c r="Y9" i="2"/>
  <c r="Q7" i="5"/>
  <c r="U9" i="2"/>
  <c r="N7" i="5"/>
  <c r="Q9" i="2"/>
  <c r="K7" i="5"/>
  <c r="M9" i="2"/>
  <c r="H7" i="5"/>
  <c r="I9" i="2"/>
  <c r="E7" i="5"/>
  <c r="E9" i="2"/>
  <c r="B7" i="5"/>
  <c r="D12" i="4"/>
  <c r="D13" i="4"/>
  <c r="D57" i="1"/>
  <c r="D71" i="1"/>
  <c r="D72" i="1"/>
  <c r="D73" i="1"/>
  <c r="D74" i="1"/>
  <c r="D25" i="4"/>
  <c r="C24" i="2"/>
  <c r="B24" i="2"/>
  <c r="B19" i="2"/>
  <c r="B20" i="2"/>
  <c r="B21" i="2"/>
  <c r="B22" i="2"/>
  <c r="B23" i="2"/>
  <c r="D27" i="4"/>
  <c r="E47" i="1"/>
  <c r="G47" i="1"/>
  <c r="H47" i="1"/>
  <c r="I47" i="1"/>
  <c r="J47" i="1"/>
  <c r="E55" i="1"/>
  <c r="G55" i="1"/>
  <c r="H55" i="1"/>
  <c r="I55" i="1"/>
  <c r="J55" i="1"/>
  <c r="E30" i="1"/>
  <c r="G30" i="1"/>
  <c r="H30" i="1"/>
  <c r="I30" i="1"/>
  <c r="J30" i="1"/>
  <c r="E31" i="1"/>
  <c r="G31" i="1"/>
  <c r="H31" i="1"/>
  <c r="I31" i="1"/>
  <c r="J31" i="1"/>
  <c r="E32" i="1"/>
  <c r="G32" i="1"/>
  <c r="H32" i="1"/>
  <c r="I32" i="1"/>
  <c r="J32" i="1"/>
  <c r="G57" i="1"/>
  <c r="J57" i="1"/>
  <c r="E58" i="1"/>
  <c r="G58" i="1"/>
  <c r="H58" i="1"/>
  <c r="I58" i="1"/>
  <c r="J58" i="1"/>
  <c r="E34" i="1"/>
  <c r="G34" i="1"/>
  <c r="H34" i="1"/>
  <c r="I34" i="1"/>
  <c r="J34" i="1"/>
  <c r="E62" i="1"/>
  <c r="G62" i="1"/>
  <c r="H62" i="1"/>
  <c r="I62" i="1"/>
  <c r="J62" i="1"/>
  <c r="E35" i="1"/>
  <c r="G35" i="1"/>
  <c r="H35" i="1"/>
  <c r="I35" i="1"/>
  <c r="J35" i="1"/>
  <c r="E36" i="1"/>
  <c r="G36" i="1"/>
  <c r="H36" i="1"/>
  <c r="I36" i="1"/>
  <c r="J36" i="1"/>
  <c r="E48" i="1"/>
  <c r="G48" i="1"/>
  <c r="H48" i="1"/>
  <c r="I48" i="1"/>
  <c r="J48" i="1"/>
  <c r="E49" i="1"/>
  <c r="G49" i="1"/>
  <c r="H49" i="1"/>
  <c r="I49" i="1"/>
  <c r="J49" i="1"/>
  <c r="E60" i="1"/>
  <c r="G60" i="1"/>
  <c r="H60" i="1"/>
  <c r="I60" i="1"/>
  <c r="J60" i="1"/>
  <c r="E38" i="1"/>
  <c r="G38" i="1"/>
  <c r="H38" i="1"/>
  <c r="I38" i="1"/>
  <c r="J38" i="1"/>
  <c r="E39" i="1"/>
  <c r="G39" i="1"/>
  <c r="H39" i="1"/>
  <c r="I39" i="1"/>
  <c r="J39" i="1"/>
  <c r="E61" i="1"/>
  <c r="G61" i="1"/>
  <c r="H61" i="1"/>
  <c r="I61" i="1"/>
  <c r="J61" i="1"/>
  <c r="E40" i="1"/>
  <c r="G40" i="1"/>
  <c r="H40" i="1"/>
  <c r="I40" i="1"/>
  <c r="J40" i="1"/>
  <c r="E42" i="1"/>
  <c r="G42" i="1"/>
  <c r="H42" i="1"/>
  <c r="I42" i="1"/>
  <c r="J42" i="1"/>
  <c r="E56" i="1"/>
  <c r="G56" i="1"/>
  <c r="H56" i="1"/>
  <c r="I56" i="1"/>
  <c r="J56" i="1"/>
  <c r="E43" i="1"/>
  <c r="G43" i="1"/>
  <c r="H43" i="1"/>
  <c r="I43" i="1"/>
  <c r="J43" i="1"/>
  <c r="E44" i="1"/>
  <c r="G44" i="1"/>
  <c r="H44" i="1"/>
  <c r="I44" i="1"/>
  <c r="J44" i="1"/>
  <c r="E51" i="1"/>
  <c r="G51" i="1"/>
  <c r="I51" i="1"/>
  <c r="E52" i="1"/>
  <c r="G52" i="1"/>
  <c r="I52" i="1"/>
  <c r="E53" i="1"/>
  <c r="G53" i="1"/>
  <c r="I53" i="1"/>
  <c r="E33" i="1"/>
  <c r="G33" i="1"/>
  <c r="H33" i="1"/>
  <c r="I33" i="1"/>
  <c r="J33" i="1"/>
  <c r="E50" i="1"/>
  <c r="G50" i="1"/>
  <c r="H50" i="1"/>
  <c r="I50" i="1"/>
  <c r="J50" i="1"/>
  <c r="E41" i="1"/>
  <c r="G41" i="1"/>
  <c r="H41" i="1"/>
  <c r="I41" i="1"/>
  <c r="J41" i="1"/>
  <c r="E54" i="1"/>
  <c r="G54" i="1"/>
  <c r="H54" i="1"/>
  <c r="I54" i="1"/>
  <c r="J54" i="1"/>
  <c r="E46" i="1"/>
  <c r="G46" i="1"/>
  <c r="H46" i="1"/>
  <c r="I46" i="1"/>
  <c r="J46" i="1"/>
  <c r="E59" i="1"/>
  <c r="G59" i="1"/>
  <c r="H59" i="1"/>
  <c r="I59" i="1"/>
  <c r="J59" i="1"/>
  <c r="E37" i="1"/>
  <c r="J37" i="1"/>
  <c r="I37" i="1"/>
  <c r="H37" i="1"/>
  <c r="G37" i="1"/>
  <c r="I45" i="1"/>
  <c r="E45" i="1"/>
  <c r="J45" i="1"/>
  <c r="E57" i="1"/>
  <c r="I57" i="1"/>
  <c r="H45" i="1"/>
  <c r="H57" i="1"/>
  <c r="G45" i="1"/>
  <c r="G71" i="1"/>
  <c r="G72" i="1"/>
  <c r="G73" i="1"/>
  <c r="E71" i="1"/>
  <c r="I71" i="1"/>
  <c r="G74" i="1"/>
  <c r="I73" i="1"/>
  <c r="I72" i="1"/>
  <c r="I74" i="1"/>
  <c r="E72" i="1"/>
  <c r="E73" i="1"/>
  <c r="H51" i="1"/>
  <c r="J51" i="1"/>
  <c r="H53" i="1"/>
  <c r="J53" i="1"/>
  <c r="H52" i="1"/>
  <c r="J52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E74" i="1"/>
  <c r="J71" i="1"/>
  <c r="H71" i="1"/>
  <c r="A63" i="1"/>
  <c r="A64" i="1"/>
  <c r="A65" i="1"/>
  <c r="A66" i="1"/>
  <c r="A67" i="1"/>
  <c r="A68" i="1"/>
  <c r="A69" i="1"/>
  <c r="H72" i="1"/>
  <c r="H73" i="1"/>
  <c r="J72" i="1"/>
  <c r="J73" i="1"/>
  <c r="J74" i="1"/>
  <c r="H74" i="1"/>
  <c r="C77" i="1"/>
  <c r="E77" i="1"/>
</calcChain>
</file>

<file path=xl/sharedStrings.xml><?xml version="1.0" encoding="utf-8"?>
<sst xmlns="http://schemas.openxmlformats.org/spreadsheetml/2006/main" count="511" uniqueCount="195">
  <si>
    <t>APPROX. PRICE</t>
  </si>
  <si>
    <t>ITEM</t>
  </si>
  <si>
    <t>DESCRIPTION</t>
  </si>
  <si>
    <t>Can opener</t>
  </si>
  <si>
    <t>Hand wash sink</t>
  </si>
  <si>
    <t>Label dispenser</t>
  </si>
  <si>
    <t>Range (6 burners, griddle, two ovens)</t>
  </si>
  <si>
    <t>Scale, ingredient</t>
  </si>
  <si>
    <t xml:space="preserve">Utensils </t>
  </si>
  <si>
    <t>Water bath (for hot-process products)</t>
  </si>
  <si>
    <t>Water softener</t>
  </si>
  <si>
    <t>SUBTOTAL</t>
  </si>
  <si>
    <t>TOTALS</t>
  </si>
  <si>
    <t>Water heater</t>
  </si>
  <si>
    <t>Produce washing sink</t>
  </si>
  <si>
    <t>Storage racks, wire</t>
  </si>
  <si>
    <t>Cooler (refrigerator), reach-in</t>
  </si>
  <si>
    <t>Manual</t>
  </si>
  <si>
    <t>Small meat grinder</t>
  </si>
  <si>
    <t>Small mixer</t>
  </si>
  <si>
    <t>Stovetop unit</t>
  </si>
  <si>
    <t>Pickling/fermentation tank 5 gal</t>
  </si>
  <si>
    <t>Pickling/fermentation tank, 10 gal</t>
  </si>
  <si>
    <t>Pickling/fermentation tank, 30 gal</t>
  </si>
  <si>
    <t>FDA cylincrical polyethylene calibrated tank w/floating cover and spigot</t>
  </si>
  <si>
    <t>Avantco stainless steel cabinet and trays</t>
  </si>
  <si>
    <t>FoodMech, wood frame with 15 sq ft solar collector</t>
  </si>
  <si>
    <t>Dehydrator, solar, 15 sq ft.</t>
  </si>
  <si>
    <t>Store minor ingredients (has temp sensor and alarm)</t>
  </si>
  <si>
    <t>Freezer, chest, 22 cubic ft.</t>
  </si>
  <si>
    <t>Gas or electric</t>
  </si>
  <si>
    <t>Vollarth instaslice and instacut</t>
  </si>
  <si>
    <t>Supply dedicated for processing</t>
  </si>
  <si>
    <t>Treatment for process water</t>
  </si>
  <si>
    <t>30 x 72" NSF stainless with undershelf</t>
  </si>
  <si>
    <t>Mixer (10 qt ), planetary, stand</t>
  </si>
  <si>
    <t>Work tables (2)</t>
  </si>
  <si>
    <t>Dishwasher, commercial</t>
  </si>
  <si>
    <t>Under-counter unit to clean utensils and containers</t>
  </si>
  <si>
    <t>3-compartment sink</t>
  </si>
  <si>
    <t>Required for inspection (check this for on-farm)</t>
  </si>
  <si>
    <t>Mop sink</t>
  </si>
  <si>
    <t>pH meter</t>
  </si>
  <si>
    <t>For checking canning recipes</t>
  </si>
  <si>
    <t>Thermometer, dial</t>
  </si>
  <si>
    <t>For checking product temperatures</t>
  </si>
  <si>
    <t>Bread pans</t>
  </si>
  <si>
    <t>Vacuum packer</t>
  </si>
  <si>
    <t>PURPOSE</t>
  </si>
  <si>
    <t>A</t>
  </si>
  <si>
    <t>ALL           "A"</t>
  </si>
  <si>
    <t>DRYING "D"</t>
  </si>
  <si>
    <t>CANNING "C"</t>
  </si>
  <si>
    <t>BAKING   "B"</t>
  </si>
  <si>
    <t>DRY&amp; CAN "DC"</t>
  </si>
  <si>
    <t>DRY&amp; BAKE "DB"</t>
  </si>
  <si>
    <t>CAN&amp; BAKE "CB"</t>
  </si>
  <si>
    <t>COMMENTS</t>
  </si>
  <si>
    <t>D</t>
  </si>
  <si>
    <t>DC</t>
  </si>
  <si>
    <t>B</t>
  </si>
  <si>
    <t>C</t>
  </si>
  <si>
    <t>For dehydrated product, home-use unit</t>
  </si>
  <si>
    <t>Selection of pans for baking</t>
  </si>
  <si>
    <t>For canning</t>
  </si>
  <si>
    <t>Stock pot, 60 qt stainless</t>
  </si>
  <si>
    <t>General purpose cooking and baking</t>
  </si>
  <si>
    <t>Weigh ingredients</t>
  </si>
  <si>
    <t>Store ingredients and items</t>
  </si>
  <si>
    <t>Store ingredients (has temp sensor)</t>
  </si>
  <si>
    <t>General purpose</t>
  </si>
  <si>
    <t>For fruits and vegetables</t>
  </si>
  <si>
    <t>ALL          "A"</t>
  </si>
  <si>
    <t>DRYING    "D"</t>
  </si>
  <si>
    <t>Stock pot, 60 qt with spigot</t>
  </si>
  <si>
    <t>For hot packing free-flow liquids</t>
  </si>
  <si>
    <t>Slicers, manual for fruit &amp; veg</t>
  </si>
  <si>
    <t>Dough sheeter</t>
  </si>
  <si>
    <t>Countertop, 12"</t>
  </si>
  <si>
    <t>Stainless sink with water spray</t>
  </si>
  <si>
    <t>Oven, double deck for baking</t>
  </si>
  <si>
    <t>Dehydrator cabinets, 15 sq ft. (5)</t>
  </si>
  <si>
    <t>Range of project costs</t>
  </si>
  <si>
    <t>to</t>
  </si>
  <si>
    <t>Freight estimate (%)</t>
  </si>
  <si>
    <t>Installation &amp; contingency estimate (%)</t>
  </si>
  <si>
    <t>A = All</t>
  </si>
  <si>
    <t>B = Baking</t>
  </si>
  <si>
    <t>C = Canning</t>
  </si>
  <si>
    <t>D = Drying</t>
  </si>
  <si>
    <t>CB = Canning/Baking</t>
  </si>
  <si>
    <t>DB = Drying/Baking</t>
  </si>
  <si>
    <t>DC = Drying/Canning</t>
  </si>
  <si>
    <t>Total Processing Equipment Costs</t>
  </si>
  <si>
    <t>Estimated Facility Costs</t>
  </si>
  <si>
    <t>(could be new construction or renovations)</t>
  </si>
  <si>
    <t>CB</t>
  </si>
  <si>
    <t>DB</t>
  </si>
  <si>
    <t>Estimated Days of Use per Year</t>
  </si>
  <si>
    <t>(processing days per year)</t>
  </si>
  <si>
    <t>Estimated Hours of Use per Day</t>
  </si>
  <si>
    <t>(hours of processing per day of use)</t>
  </si>
  <si>
    <t>Facility Overhead Costs/Processing Hour</t>
  </si>
  <si>
    <t>Facility Overhead Costs per Day of Use</t>
  </si>
  <si>
    <t>PRODUCT(S) VARIABLE COSTS &amp; PRICING</t>
  </si>
  <si>
    <t>Product Name</t>
  </si>
  <si>
    <t>Useful Life of Facilities (years)</t>
  </si>
  <si>
    <t>Useful Life of Equipment (years)</t>
  </si>
  <si>
    <t>What type(s) of processing will take place on the farm? (choose one)</t>
  </si>
  <si>
    <t>INGREDIENTS &amp; OTHER VARIABLE COSTS</t>
  </si>
  <si>
    <t>$$$/Batch</t>
  </si>
  <si>
    <t>Units per Day of Production</t>
  </si>
  <si>
    <t>Annual Production Capacity %</t>
  </si>
  <si>
    <t>Average Selling Price</t>
  </si>
  <si>
    <t>Payroll Taxes &amp;/or Benefits Rate</t>
  </si>
  <si>
    <t>(as a percent of wage rate)</t>
  </si>
  <si>
    <t>What is the average hourly wage rate for employees?</t>
  </si>
  <si>
    <t>Revenue from One Day's Production</t>
  </si>
  <si>
    <t>Gross Margin for Production Year</t>
  </si>
  <si>
    <t>Annual costs for maintaining regulatory compliance (e.g. licenses, permits, fees)</t>
  </si>
  <si>
    <t>Annual estimated utilities costs for processing</t>
  </si>
  <si>
    <t>Regulatory Costs per Day of Use</t>
  </si>
  <si>
    <t>Utilities Costs per Day of Use</t>
  </si>
  <si>
    <t>Gross Margins (combined for all products)</t>
  </si>
  <si>
    <t xml:space="preserve">     (i.e. Sales minus COGS and Labor)</t>
  </si>
  <si>
    <t>Facility &amp; Equipment Expenses</t>
  </si>
  <si>
    <t>Licenses, Fees, &amp; Permits</t>
  </si>
  <si>
    <t>Other Expenses:</t>
  </si>
  <si>
    <t>Sales staff (not processing)</t>
  </si>
  <si>
    <t>Give-aways (samples, donations)</t>
  </si>
  <si>
    <t>Damaged products</t>
  </si>
  <si>
    <t>Total Other Expenses:</t>
  </si>
  <si>
    <t>Utilities</t>
  </si>
  <si>
    <t>Supplies (hairnets, gloves, cleaning)</t>
  </si>
  <si>
    <t>Product liability insurance</t>
  </si>
  <si>
    <t>Maintenance/repairs for equipment</t>
  </si>
  <si>
    <t>Produced on the Farm?</t>
  </si>
  <si>
    <t>Yes</t>
  </si>
  <si>
    <t>No</t>
  </si>
  <si>
    <t>Total Ingredients Costs per Processing Batch</t>
  </si>
  <si>
    <t>Number of Employees Needed for Production</t>
  </si>
  <si>
    <t>Units (jars, packages, etc.) Produced per Batch</t>
  </si>
  <si>
    <t>Batches per Day (assume all-day production)</t>
  </si>
  <si>
    <t>Total Packaging Costs per Unit of Product</t>
  </si>
  <si>
    <t>(includes all packaging and label costs)</t>
  </si>
  <si>
    <t>Cost of Goods Sold (COGS) per Unit</t>
  </si>
  <si>
    <t>Labor Cost per Day (assumes full day of production)</t>
  </si>
  <si>
    <t>Labor Cost per Unit of Product</t>
  </si>
  <si>
    <t>COGS and Labor Costs per Day of Production</t>
  </si>
  <si>
    <t>COGS and Labor Costs per Unit of Product</t>
  </si>
  <si>
    <t>Gross Margin per Day of Production</t>
  </si>
  <si>
    <t>Marketing/promotion</t>
  </si>
  <si>
    <t>FARM FRESH EQUIVALENT PRICING FOR ALL PRODUCTS</t>
  </si>
  <si>
    <t>Value of Farm Ingredients per Batch</t>
  </si>
  <si>
    <t>Lbs. of On-Farm Ingredients/Batch</t>
  </si>
  <si>
    <t>/lb</t>
  </si>
  <si>
    <t>For each pound of on-farm ingredient, what amount (%) was lost to cutting, cleaning, etc.?</t>
  </si>
  <si>
    <t>Farm-Fresh Equivalent Price</t>
  </si>
  <si>
    <t>Processed Value of On-Farm Ingred.</t>
  </si>
  <si>
    <t>Notes SB</t>
  </si>
  <si>
    <t>Notes:</t>
  </si>
  <si>
    <t>Developed by:</t>
  </si>
  <si>
    <t>Go to:</t>
  </si>
  <si>
    <t>For comments or suggestions contact:</t>
  </si>
  <si>
    <t>and</t>
  </si>
  <si>
    <t>FACILITIES, EQUIPMENT, &amp; REGULATORY COST ESTIMATES</t>
  </si>
  <si>
    <t>Facilities, Equipment, &amp; Regulatory Costs</t>
  </si>
  <si>
    <t>Product(s) Variable Costs &amp; Pricing</t>
  </si>
  <si>
    <t>Farm Fresh Equivalency Pricing</t>
  </si>
  <si>
    <t>ESTIMATED ANNUAL PRE-TAX RETURNS FROM PROCESSING</t>
  </si>
  <si>
    <t>Annual Pre-Tax Returns from Processing</t>
  </si>
  <si>
    <t>Estimated Annual Pre-Tax Returns</t>
  </si>
  <si>
    <r>
      <rPr>
        <b/>
        <u/>
        <sz val="12"/>
        <rFont val="Arial"/>
        <family val="2"/>
      </rPr>
      <t>Facilities, Equipment, &amp; Regulatory Costs</t>
    </r>
    <r>
      <rPr>
        <b/>
        <sz val="12"/>
        <rFont val="Arial"/>
        <family val="2"/>
      </rPr>
      <t>:  Determination of equipment and facility options, and associated regulatory expenses to be a licensed processor.</t>
    </r>
  </si>
  <si>
    <r>
      <rPr>
        <b/>
        <u/>
        <sz val="12"/>
        <rFont val="Arial"/>
        <family val="2"/>
      </rPr>
      <t>Product(s) Variable Costs &amp; Pricing</t>
    </r>
    <r>
      <rPr>
        <b/>
        <sz val="12"/>
        <rFont val="Arial"/>
        <family val="2"/>
      </rPr>
      <t>:  Values associated with the production of food items, including labor expenses.</t>
    </r>
  </si>
  <si>
    <r>
      <rPr>
        <b/>
        <u/>
        <sz val="12"/>
        <rFont val="Arial"/>
        <family val="2"/>
      </rPr>
      <t>Estimated Annual Pre-Tax Returns</t>
    </r>
    <r>
      <rPr>
        <b/>
        <sz val="12"/>
        <rFont val="Arial"/>
        <family val="2"/>
      </rPr>
      <t>:  Input any additional expenses associated with marketing processed food items.  Net returns to the farm are then calculated.</t>
    </r>
  </si>
  <si>
    <r>
      <rPr>
        <b/>
        <u/>
        <sz val="12"/>
        <rFont val="Arial"/>
        <family val="2"/>
      </rPr>
      <t>Farm Fresh Equivalancy Pricing</t>
    </r>
    <r>
      <rPr>
        <b/>
        <sz val="12"/>
        <rFont val="Arial"/>
        <family val="2"/>
      </rPr>
      <t>:  Values associated with inputs, including processing waste, to determine the "real" value of on-farm ingredients used in processing.</t>
    </r>
  </si>
  <si>
    <t>Gross Margin as a % of Gross Revenue</t>
  </si>
  <si>
    <r>
      <rPr>
        <b/>
        <u/>
        <sz val="13"/>
        <rFont val="Arial"/>
        <family val="2"/>
      </rPr>
      <t>Disclaimer</t>
    </r>
    <r>
      <rPr>
        <b/>
        <sz val="13"/>
        <rFont val="Arial"/>
        <family val="2"/>
      </rPr>
      <t>: This decision-making template helps you compare "what if" scenarios by entering your own numbers and assumptions.  We have made the templates as user-friendly as possible,</t>
    </r>
  </si>
  <si>
    <t>but you do need basic familiarity with Microsoft Excel.  All results are approximate and should be treated with caution.  Even small errors in your assumptions can lead to highly</t>
  </si>
  <si>
    <t>caused or alleged to be caused, directly or indirectly, to any person or entity by the use of this template.</t>
  </si>
  <si>
    <t>To get started go to one of the tab links below.  Your input is required on each of the following tabs:</t>
  </si>
  <si>
    <t>These worksheets provide estimates for discussion purposes only.  Check your own data to be sure that your results make sense for your situation.</t>
  </si>
  <si>
    <t>On-Farm Commercial Kitchen Financial Analysis Template</t>
  </si>
  <si>
    <t>Rodney B. Holcomb &amp; Timothy J. Bowser - Robert M. Kerr Food &amp; Agricultural Products Center, Oklahoma State University</t>
  </si>
  <si>
    <t>misleading conclusions.  While every precaution has been taken in preparing this template, the authors and Oklahoma State University do not assume any liability for any loss or damage</t>
  </si>
  <si>
    <t>The template is a free, "what you see is what you get" (WYSIWYG) tool, but it can be modified with assistance from the authors and the OSU Food &amp; Agricultural Products Center.</t>
  </si>
  <si>
    <t>To protect the many formulas in the model, you can only access the color-shaded cells:</t>
  </si>
  <si>
    <t>These worksheets provide estimates for discussion purposes only.  Modify any/all information in green/tan cells to meet your needs. Check your own data to be sure that your results make sense for your situation.</t>
  </si>
  <si>
    <t>EQUIPMENT (modify color-shaded cells to fit your needs)</t>
  </si>
  <si>
    <t xml:space="preserve"> </t>
  </si>
  <si>
    <t>Transportation/distribution</t>
  </si>
  <si>
    <t>Rodney Holcomb and/or Tim Bowser</t>
  </si>
  <si>
    <t>fapc@okstate.edu</t>
  </si>
  <si>
    <t>(405) 744-6071</t>
  </si>
  <si>
    <t>User's Guide (click PDF icon to open)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</si>
</sst>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u/>
      <sz val="10"/>
      <color rgb="FF00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i/>
      <sz val="11"/>
      <color rgb="FF000000"/>
      <name val="Calibri"/>
      <family val="2"/>
    </font>
    <font>
      <b/>
      <i/>
      <sz val="14"/>
      <name val="Arial"/>
      <family val="2"/>
    </font>
    <font>
      <b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EAEAEA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Fill="0" applyBorder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4" fillId="0" borderId="0" xfId="0" applyFont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165" fontId="4" fillId="3" borderId="12" xfId="0" applyNumberFormat="1" applyFont="1" applyFill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164" fontId="4" fillId="0" borderId="0" xfId="1" applyNumberFormat="1" applyFont="1" applyFill="1" applyBorder="1" applyAlignment="1" applyProtection="1">
      <alignment horizontal="center"/>
      <protection hidden="1"/>
    </xf>
    <xf numFmtId="165" fontId="4" fillId="3" borderId="12" xfId="1" applyNumberFormat="1" applyFont="1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4" fillId="0" borderId="2" xfId="0" applyFont="1" applyBorder="1" applyAlignment="1" applyProtection="1">
      <alignment wrapText="1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0" fillId="0" borderId="4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164" fontId="0" fillId="0" borderId="12" xfId="0" applyNumberFormat="1" applyFill="1" applyBorder="1" applyAlignment="1" applyProtection="1">
      <protection hidden="1"/>
    </xf>
    <xf numFmtId="164" fontId="0" fillId="0" borderId="12" xfId="0" applyNumberFormat="1" applyFill="1" applyBorder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5" xfId="0" applyNumberFormat="1" applyBorder="1" applyAlignment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Alignment="1" applyProtection="1">
      <alignment wrapText="1"/>
      <protection hidden="1"/>
    </xf>
    <xf numFmtId="0" fontId="4" fillId="0" borderId="7" xfId="0" applyFont="1" applyBorder="1" applyAlignment="1" applyProtection="1">
      <alignment horizontal="center"/>
      <protection hidden="1"/>
    </xf>
    <xf numFmtId="164" fontId="4" fillId="0" borderId="7" xfId="0" applyNumberFormat="1" applyFont="1" applyBorder="1" applyProtection="1">
      <protection hidden="1"/>
    </xf>
    <xf numFmtId="164" fontId="4" fillId="0" borderId="8" xfId="0" applyNumberFormat="1" applyFont="1" applyBorder="1" applyProtection="1">
      <protection hidden="1"/>
    </xf>
    <xf numFmtId="3" fontId="0" fillId="0" borderId="0" xfId="0" applyNumberFormat="1" applyBorder="1" applyAlignment="1" applyProtection="1">
      <protection hidden="1"/>
    </xf>
    <xf numFmtId="0" fontId="0" fillId="0" borderId="9" xfId="0" applyBorder="1" applyAlignment="1" applyProtection="1">
      <alignment wrapText="1"/>
      <protection hidden="1"/>
    </xf>
    <xf numFmtId="164" fontId="4" fillId="0" borderId="10" xfId="0" applyNumberFormat="1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164" fontId="4" fillId="0" borderId="11" xfId="0" applyNumberFormat="1" applyFont="1" applyBorder="1" applyProtection="1">
      <protection hidden="1"/>
    </xf>
    <xf numFmtId="0" fontId="0" fillId="2" borderId="12" xfId="0" applyFill="1" applyBorder="1" applyAlignment="1" applyProtection="1">
      <alignment horizontal="center"/>
      <protection locked="0"/>
    </xf>
    <xf numFmtId="164" fontId="0" fillId="2" borderId="12" xfId="1" applyNumberFormat="1" applyFon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0" fontId="0" fillId="4" borderId="12" xfId="0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protection locked="0"/>
    </xf>
    <xf numFmtId="164" fontId="0" fillId="2" borderId="12" xfId="0" applyNumberFormat="1" applyFill="1" applyBorder="1" applyProtection="1">
      <protection locked="0"/>
    </xf>
    <xf numFmtId="9" fontId="0" fillId="2" borderId="12" xfId="2" applyFont="1" applyFill="1" applyBorder="1" applyAlignment="1" applyProtection="1">
      <alignment horizontal="center"/>
      <protection locked="0"/>
    </xf>
    <xf numFmtId="0" fontId="0" fillId="4" borderId="12" xfId="0" applyFill="1" applyBorder="1" applyProtection="1">
      <protection locked="0"/>
    </xf>
    <xf numFmtId="0" fontId="6" fillId="0" borderId="1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0" fillId="0" borderId="0" xfId="0" applyFill="1" applyProtection="1">
      <protection hidden="1"/>
    </xf>
    <xf numFmtId="0" fontId="4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9" fontId="0" fillId="0" borderId="0" xfId="0" applyNumberFormat="1" applyProtection="1"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165" fontId="0" fillId="0" borderId="5" xfId="0" applyNumberFormat="1" applyBorder="1" applyProtection="1">
      <protection hidden="1"/>
    </xf>
    <xf numFmtId="165" fontId="4" fillId="0" borderId="0" xfId="0" applyNumberFormat="1" applyFont="1" applyFill="1" applyBorder="1" applyProtection="1">
      <protection hidden="1"/>
    </xf>
    <xf numFmtId="165" fontId="0" fillId="0" borderId="5" xfId="0" applyNumberFormat="1" applyFill="1" applyBorder="1" applyProtection="1">
      <protection hidden="1"/>
    </xf>
    <xf numFmtId="0" fontId="0" fillId="0" borderId="7" xfId="0" applyBorder="1" applyProtection="1">
      <protection hidden="1"/>
    </xf>
    <xf numFmtId="8" fontId="4" fillId="3" borderId="12" xfId="0" applyNumberFormat="1" applyFont="1" applyFill="1" applyBorder="1" applyProtection="1">
      <protection hidden="1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3" xfId="0" applyFill="1" applyBorder="1" applyProtection="1">
      <protection locked="0"/>
    </xf>
    <xf numFmtId="9" fontId="0" fillId="2" borderId="14" xfId="2" applyFont="1" applyFill="1" applyBorder="1" applyProtection="1">
      <protection locked="0"/>
    </xf>
    <xf numFmtId="9" fontId="0" fillId="2" borderId="15" xfId="2" applyFont="1" applyFill="1" applyBorder="1" applyProtection="1">
      <protection locked="0"/>
    </xf>
    <xf numFmtId="9" fontId="0" fillId="2" borderId="13" xfId="2" applyFont="1" applyFill="1" applyBorder="1" applyProtection="1">
      <protection locked="0"/>
    </xf>
    <xf numFmtId="9" fontId="0" fillId="2" borderId="12" xfId="2" applyFon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15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5" fontId="0" fillId="0" borderId="0" xfId="0" applyNumberForma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8" fontId="0" fillId="3" borderId="12" xfId="0" applyNumberFormat="1" applyFill="1" applyBorder="1" applyProtection="1">
      <protection hidden="1"/>
    </xf>
    <xf numFmtId="0" fontId="6" fillId="0" borderId="0" xfId="0" applyFont="1" applyProtection="1">
      <protection hidden="1"/>
    </xf>
    <xf numFmtId="165" fontId="0" fillId="0" borderId="3" xfId="0" applyNumberFormat="1" applyBorder="1" applyProtection="1">
      <protection hidden="1"/>
    </xf>
    <xf numFmtId="165" fontId="0" fillId="0" borderId="8" xfId="0" applyNumberFormat="1" applyBorder="1" applyProtection="1">
      <protection hidden="1"/>
    </xf>
    <xf numFmtId="0" fontId="0" fillId="0" borderId="0" xfId="0" quotePrefix="1" applyProtection="1">
      <protection hidden="1"/>
    </xf>
    <xf numFmtId="0" fontId="4" fillId="0" borderId="0" xfId="0" quotePrefix="1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3" applyFont="1" applyFill="1" applyBorder="1" applyProtection="1">
      <protection hidden="1"/>
    </xf>
    <xf numFmtId="0" fontId="7" fillId="0" borderId="0" xfId="3" applyFill="1" applyBorder="1" applyProtection="1">
      <protection hidden="1"/>
    </xf>
    <xf numFmtId="0" fontId="7" fillId="0" borderId="0" xfId="3" applyProtection="1">
      <protection hidden="1"/>
    </xf>
    <xf numFmtId="38" fontId="7" fillId="0" borderId="0" xfId="3" applyNumberFormat="1" applyProtection="1">
      <protection hidden="1"/>
    </xf>
    <xf numFmtId="0" fontId="9" fillId="0" borderId="0" xfId="3" applyFont="1" applyFill="1" applyBorder="1" applyProtection="1">
      <protection hidden="1"/>
    </xf>
    <xf numFmtId="0" fontId="10" fillId="0" borderId="0" xfId="3" applyFont="1" applyFill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12" fillId="0" borderId="0" xfId="4" applyFont="1" applyAlignment="1" applyProtection="1">
      <protection locked="0"/>
    </xf>
    <xf numFmtId="0" fontId="10" fillId="0" borderId="0" xfId="3" applyFont="1" applyBorder="1" applyProtection="1">
      <protection hidden="1"/>
    </xf>
    <xf numFmtId="0" fontId="9" fillId="0" borderId="0" xfId="3" applyFont="1" applyBorder="1" applyProtection="1">
      <protection hidden="1"/>
    </xf>
    <xf numFmtId="0" fontId="7" fillId="0" borderId="0" xfId="3" applyFont="1" applyProtection="1">
      <protection hidden="1"/>
    </xf>
    <xf numFmtId="0" fontId="9" fillId="0" borderId="0" xfId="3" applyFont="1" applyProtection="1">
      <protection hidden="1"/>
    </xf>
    <xf numFmtId="0" fontId="9" fillId="5" borderId="0" xfId="3" applyFont="1" applyFill="1" applyBorder="1" applyProtection="1">
      <protection hidden="1"/>
    </xf>
    <xf numFmtId="0" fontId="10" fillId="0" borderId="0" xfId="3" applyFont="1" applyAlignment="1" applyProtection="1">
      <alignment horizontal="center"/>
      <protection hidden="1"/>
    </xf>
    <xf numFmtId="0" fontId="9" fillId="4" borderId="0" xfId="3" applyFont="1" applyFill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8" fontId="0" fillId="0" borderId="5" xfId="0" applyNumberFormat="1" applyBorder="1" applyProtection="1">
      <protection hidden="1"/>
    </xf>
    <xf numFmtId="10" fontId="0" fillId="0" borderId="8" xfId="2" applyNumberFormat="1" applyFont="1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14" fillId="6" borderId="16" xfId="3" applyFont="1" applyFill="1" applyBorder="1" applyProtection="1">
      <protection hidden="1"/>
    </xf>
    <xf numFmtId="0" fontId="7" fillId="6" borderId="17" xfId="3" applyFill="1" applyBorder="1" applyProtection="1">
      <protection hidden="1"/>
    </xf>
    <xf numFmtId="0" fontId="7" fillId="6" borderId="18" xfId="3" applyFill="1" applyBorder="1" applyProtection="1">
      <protection hidden="1"/>
    </xf>
    <xf numFmtId="0" fontId="14" fillId="6" borderId="19" xfId="3" applyFont="1" applyFill="1" applyBorder="1" applyProtection="1">
      <protection hidden="1"/>
    </xf>
    <xf numFmtId="0" fontId="7" fillId="6" borderId="0" xfId="3" applyFill="1" applyBorder="1" applyProtection="1">
      <protection hidden="1"/>
    </xf>
    <xf numFmtId="0" fontId="7" fillId="6" borderId="20" xfId="3" applyFill="1" applyBorder="1" applyProtection="1">
      <protection hidden="1"/>
    </xf>
    <xf numFmtId="0" fontId="14" fillId="6" borderId="21" xfId="3" applyFont="1" applyFill="1" applyBorder="1" applyProtection="1">
      <protection hidden="1"/>
    </xf>
    <xf numFmtId="0" fontId="7" fillId="6" borderId="22" xfId="3" applyFill="1" applyBorder="1" applyProtection="1">
      <protection hidden="1"/>
    </xf>
    <xf numFmtId="0" fontId="7" fillId="6" borderId="23" xfId="3" applyFill="1" applyBorder="1" applyProtection="1">
      <protection hidden="1"/>
    </xf>
    <xf numFmtId="0" fontId="14" fillId="0" borderId="0" xfId="3" applyFont="1" applyFill="1" applyBorder="1" applyProtection="1">
      <protection hidden="1"/>
    </xf>
    <xf numFmtId="0" fontId="0" fillId="0" borderId="0" xfId="0" applyProtection="1">
      <protection hidden="1"/>
    </xf>
    <xf numFmtId="0" fontId="16" fillId="0" borderId="0" xfId="0" applyFont="1"/>
    <xf numFmtId="0" fontId="17" fillId="0" borderId="0" xfId="3" applyFont="1" applyFill="1" applyBorder="1" applyProtection="1">
      <protection hidden="1"/>
    </xf>
    <xf numFmtId="0" fontId="4" fillId="0" borderId="2" xfId="0" applyFont="1" applyBorder="1" applyAlignment="1" applyProtection="1">
      <protection hidden="1"/>
    </xf>
    <xf numFmtId="49" fontId="0" fillId="0" borderId="0" xfId="0" applyNumberFormat="1" applyProtection="1">
      <protection hidden="1"/>
    </xf>
    <xf numFmtId="49" fontId="0" fillId="4" borderId="14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49" fontId="0" fillId="4" borderId="13" xfId="0" applyNumberFormat="1" applyFill="1" applyBorder="1" applyProtection="1">
      <protection locked="0"/>
    </xf>
    <xf numFmtId="0" fontId="18" fillId="0" borderId="0" xfId="3" applyFont="1" applyFill="1" applyBorder="1" applyProtection="1">
      <protection hidden="1"/>
    </xf>
    <xf numFmtId="0" fontId="12" fillId="0" borderId="0" xfId="4" applyFont="1" applyFill="1" applyBorder="1" applyAlignment="1" applyProtection="1">
      <protection locked="0"/>
    </xf>
    <xf numFmtId="0" fontId="12" fillId="0" borderId="0" xfId="4" applyFont="1" applyAlignment="1" applyProtection="1">
      <protection locked="0"/>
    </xf>
    <xf numFmtId="0" fontId="11" fillId="0" borderId="0" xfId="4" applyFont="1" applyAlignment="1" applyProtection="1">
      <protection locked="0"/>
    </xf>
    <xf numFmtId="0" fontId="11" fillId="0" borderId="0" xfId="4" applyAlignment="1" applyProtection="1">
      <protection locked="0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11" fillId="0" borderId="0" xfId="4" applyFont="1" applyFill="1" applyBorder="1" applyAlignment="1" applyProtection="1">
      <protection locked="0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12" fillId="0" borderId="0" xfId="4" applyFont="1" applyFill="1" applyBorder="1" applyAlignment="1" applyProtection="1">
      <protection hidden="1"/>
    </xf>
    <xf numFmtId="0" fontId="10" fillId="0" borderId="0" xfId="3" applyFont="1" applyProtection="1">
      <protection hidden="1"/>
    </xf>
    <xf numFmtId="0" fontId="9" fillId="0" borderId="0" xfId="3" applyFont="1" applyProtection="1">
      <protection locked="0"/>
    </xf>
    <xf numFmtId="0" fontId="9" fillId="0" borderId="0" xfId="3" applyFont="1" applyFill="1" applyBorder="1" applyProtection="1">
      <protection locked="0"/>
    </xf>
    <xf numFmtId="0" fontId="7" fillId="0" borderId="0" xfId="3" applyFont="1" applyProtection="1">
      <protection locked="0"/>
    </xf>
  </cellXfs>
  <cellStyles count="12">
    <cellStyle name="Comma 2" xfId="10"/>
    <cellStyle name="Currency" xfId="1" builtinId="4"/>
    <cellStyle name="Currency 2" xfId="8"/>
    <cellStyle name="Hyperlink" xfId="4" builtinId="8"/>
    <cellStyle name="Normal" xfId="0" builtinId="0" customBuiltin="1"/>
    <cellStyle name="Normal 2" xfId="3"/>
    <cellStyle name="Normal 3" xfId="5"/>
    <cellStyle name="Normal 4" xfId="6"/>
    <cellStyle name="Normal 4 2" xfId="11"/>
    <cellStyle name="Percent" xfId="2" builtinId="5"/>
    <cellStyle name="Percent 2" xfId="7"/>
    <cellStyle name="Percent 3" xfId="9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5</xdr:col>
      <xdr:colOff>1215788</xdr:colOff>
      <xdr:row>2</xdr:row>
      <xdr:rowOff>319533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0"/>
          <a:ext cx="4244738" cy="8624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85725</xdr:rowOff>
        </xdr:from>
        <xdr:to>
          <xdr:col>8</xdr:col>
          <xdr:colOff>304800</xdr:colOff>
          <xdr:row>23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61</xdr:row>
      <xdr:rowOff>19050</xdr:rowOff>
    </xdr:from>
    <xdr:to>
      <xdr:col>7</xdr:col>
      <xdr:colOff>9525</xdr:colOff>
      <xdr:row>81</xdr:row>
      <xdr:rowOff>19050</xdr:rowOff>
    </xdr:to>
    <xdr:sp macro="" textlink="" fLocksText="0">
      <xdr:nvSpPr>
        <xdr:cNvPr id="2" name="TextBox 1"/>
        <xdr:cNvSpPr txBox="1"/>
      </xdr:nvSpPr>
      <xdr:spPr>
        <a:xfrm>
          <a:off x="3571875" y="9572625"/>
          <a:ext cx="3743325" cy="3238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8</xdr:col>
      <xdr:colOff>0</xdr:colOff>
      <xdr:row>61</xdr:row>
      <xdr:rowOff>0</xdr:rowOff>
    </xdr:from>
    <xdr:to>
      <xdr:col>11</xdr:col>
      <xdr:colOff>0</xdr:colOff>
      <xdr:row>81</xdr:row>
      <xdr:rowOff>0</xdr:rowOff>
    </xdr:to>
    <xdr:sp macro="" textlink="" fLocksText="0">
      <xdr:nvSpPr>
        <xdr:cNvPr id="3" name="TextBox 2"/>
        <xdr:cNvSpPr txBox="1"/>
      </xdr:nvSpPr>
      <xdr:spPr>
        <a:xfrm>
          <a:off x="7686675" y="9553575"/>
          <a:ext cx="3743325" cy="3238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12</xdr:col>
      <xdr:colOff>0</xdr:colOff>
      <xdr:row>61</xdr:row>
      <xdr:rowOff>0</xdr:rowOff>
    </xdr:from>
    <xdr:to>
      <xdr:col>15</xdr:col>
      <xdr:colOff>0</xdr:colOff>
      <xdr:row>81</xdr:row>
      <xdr:rowOff>0</xdr:rowOff>
    </xdr:to>
    <xdr:sp macro="" textlink="" fLocksText="0">
      <xdr:nvSpPr>
        <xdr:cNvPr id="4" name="TextBox 3"/>
        <xdr:cNvSpPr txBox="1"/>
      </xdr:nvSpPr>
      <xdr:spPr>
        <a:xfrm>
          <a:off x="11811000" y="9553575"/>
          <a:ext cx="3743325" cy="3238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16</xdr:col>
      <xdr:colOff>0</xdr:colOff>
      <xdr:row>61</xdr:row>
      <xdr:rowOff>0</xdr:rowOff>
    </xdr:from>
    <xdr:to>
      <xdr:col>19</xdr:col>
      <xdr:colOff>0</xdr:colOff>
      <xdr:row>81</xdr:row>
      <xdr:rowOff>0</xdr:rowOff>
    </xdr:to>
    <xdr:sp macro="" textlink="" fLocksText="0">
      <xdr:nvSpPr>
        <xdr:cNvPr id="5" name="TextBox 4"/>
        <xdr:cNvSpPr txBox="1"/>
      </xdr:nvSpPr>
      <xdr:spPr>
        <a:xfrm>
          <a:off x="15935325" y="9553575"/>
          <a:ext cx="3743325" cy="3238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20</xdr:col>
      <xdr:colOff>0</xdr:colOff>
      <xdr:row>61</xdr:row>
      <xdr:rowOff>0</xdr:rowOff>
    </xdr:from>
    <xdr:to>
      <xdr:col>23</xdr:col>
      <xdr:colOff>0</xdr:colOff>
      <xdr:row>81</xdr:row>
      <xdr:rowOff>0</xdr:rowOff>
    </xdr:to>
    <xdr:sp macro="" textlink="" fLocksText="0">
      <xdr:nvSpPr>
        <xdr:cNvPr id="6" name="TextBox 5"/>
        <xdr:cNvSpPr txBox="1"/>
      </xdr:nvSpPr>
      <xdr:spPr>
        <a:xfrm>
          <a:off x="20059650" y="9553575"/>
          <a:ext cx="3743325" cy="3238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24</xdr:col>
      <xdr:colOff>0</xdr:colOff>
      <xdr:row>61</xdr:row>
      <xdr:rowOff>0</xdr:rowOff>
    </xdr:from>
    <xdr:to>
      <xdr:col>27</xdr:col>
      <xdr:colOff>0</xdr:colOff>
      <xdr:row>81</xdr:row>
      <xdr:rowOff>0</xdr:rowOff>
    </xdr:to>
    <xdr:sp macro="" textlink="" fLocksText="0">
      <xdr:nvSpPr>
        <xdr:cNvPr id="7" name="TextBox 6"/>
        <xdr:cNvSpPr txBox="1"/>
      </xdr:nvSpPr>
      <xdr:spPr>
        <a:xfrm>
          <a:off x="24183975" y="9553575"/>
          <a:ext cx="3743325" cy="3238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-Farm%20Equipment/On-Farm%20Inspected%20Kitchen%20Templat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ilities"/>
      <sheetName val="Variable Costs &amp; Pricing"/>
      <sheetName val="Net Returns"/>
      <sheetName val="Farm Fresh Equiv Pricing"/>
    </sheetNames>
    <sheetDataSet>
      <sheetData sheetId="0">
        <row r="6">
          <cell r="C6">
            <v>60</v>
          </cell>
        </row>
        <row r="204">
          <cell r="B204" t="str">
            <v>A = All</v>
          </cell>
          <cell r="C204" t="str">
            <v>A</v>
          </cell>
        </row>
        <row r="205">
          <cell r="B205" t="str">
            <v>B = Baking</v>
          </cell>
          <cell r="C205" t="str">
            <v>B</v>
          </cell>
        </row>
        <row r="206">
          <cell r="B206" t="str">
            <v>C = Canning</v>
          </cell>
          <cell r="C206" t="str">
            <v>C</v>
          </cell>
        </row>
        <row r="207">
          <cell r="B207" t="str">
            <v>D = Drying</v>
          </cell>
          <cell r="C207" t="str">
            <v>D</v>
          </cell>
        </row>
        <row r="208">
          <cell r="B208" t="str">
            <v>CB = Canning/Baking</v>
          </cell>
          <cell r="C208" t="str">
            <v>CB</v>
          </cell>
        </row>
        <row r="209">
          <cell r="B209" t="str">
            <v>DB = Drying/Baking</v>
          </cell>
          <cell r="C209" t="str">
            <v>DB</v>
          </cell>
        </row>
        <row r="210">
          <cell r="B210" t="str">
            <v>DC = Drying/Canning</v>
          </cell>
          <cell r="C210" t="str">
            <v>DC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pc@okstate.edu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9"/>
  <sheetViews>
    <sheetView showGridLines="0" showRowColHeaders="0" tabSelected="1" workbookViewId="0">
      <selection activeCell="C22" sqref="C22:F22"/>
    </sheetView>
  </sheetViews>
  <sheetFormatPr defaultRowHeight="12.75" x14ac:dyDescent="0.2"/>
  <cols>
    <col min="1" max="1" width="5.7109375" style="86" customWidth="1"/>
    <col min="2" max="2" width="21.85546875" style="86" customWidth="1"/>
    <col min="3" max="3" width="9.140625" style="86"/>
    <col min="4" max="4" width="9.42578125" style="86" customWidth="1"/>
    <col min="5" max="5" width="9.140625" style="86"/>
    <col min="6" max="6" width="21" style="86" bestFit="1" customWidth="1"/>
    <col min="7" max="11" width="9.140625" style="86"/>
    <col min="12" max="13" width="9.7109375" style="86" bestFit="1" customWidth="1"/>
    <col min="14" max="16384" width="9.140625" style="86"/>
  </cols>
  <sheetData>
    <row r="1" spans="2:22" x14ac:dyDescent="0.2">
      <c r="C1" s="85"/>
      <c r="D1" s="85"/>
      <c r="E1" s="85"/>
      <c r="F1" s="85"/>
      <c r="G1" s="85"/>
      <c r="H1" s="85"/>
      <c r="I1" s="85"/>
      <c r="J1" s="85"/>
    </row>
    <row r="2" spans="2:22" ht="30" x14ac:dyDescent="0.4">
      <c r="B2" s="123"/>
      <c r="C2" s="85"/>
      <c r="D2" s="85"/>
      <c r="E2" s="85"/>
      <c r="F2" s="85"/>
      <c r="G2" s="85"/>
      <c r="H2" s="85"/>
      <c r="I2" s="85"/>
      <c r="J2" s="85"/>
    </row>
    <row r="3" spans="2:22" ht="30" x14ac:dyDescent="0.4">
      <c r="B3" s="123"/>
      <c r="C3" s="85"/>
      <c r="D3" s="85"/>
      <c r="E3" s="85"/>
      <c r="F3" s="85"/>
      <c r="G3" s="85"/>
      <c r="H3" s="85"/>
      <c r="I3" s="85"/>
      <c r="J3" s="85"/>
    </row>
    <row r="4" spans="2:22" ht="30" x14ac:dyDescent="0.4">
      <c r="B4" s="123" t="s">
        <v>182</v>
      </c>
      <c r="C4" s="85"/>
      <c r="D4" s="85"/>
      <c r="E4" s="85"/>
      <c r="F4" s="85"/>
      <c r="G4" s="85"/>
      <c r="H4" s="85"/>
      <c r="I4" s="85"/>
      <c r="J4" s="85"/>
    </row>
    <row r="5" spans="2:22" ht="18" x14ac:dyDescent="0.25">
      <c r="B5" s="84"/>
      <c r="C5" s="85"/>
      <c r="D5" s="85"/>
      <c r="E5" s="85"/>
      <c r="F5" s="85"/>
      <c r="G5" s="85"/>
      <c r="H5" s="85"/>
      <c r="I5" s="85"/>
      <c r="J5" s="85"/>
    </row>
    <row r="6" spans="2:22" ht="18.75" x14ac:dyDescent="0.3">
      <c r="B6" s="84" t="s">
        <v>161</v>
      </c>
      <c r="C6" s="117" t="s">
        <v>183</v>
      </c>
      <c r="D6" s="88"/>
      <c r="E6" s="88"/>
      <c r="F6" s="88"/>
      <c r="G6" s="88"/>
      <c r="H6" s="88"/>
      <c r="I6" s="88"/>
      <c r="J6" s="88"/>
      <c r="K6" s="95"/>
      <c r="L6" s="95"/>
    </row>
    <row r="7" spans="2:22" ht="16.5" thickBot="1" x14ac:dyDescent="0.3">
      <c r="B7" s="89"/>
      <c r="C7" s="88"/>
      <c r="D7" s="88"/>
      <c r="E7" s="88"/>
      <c r="F7" s="88"/>
      <c r="G7" s="88"/>
      <c r="H7" s="88"/>
      <c r="I7" s="88"/>
      <c r="J7" s="88"/>
      <c r="K7" s="95"/>
      <c r="L7" s="95"/>
    </row>
    <row r="8" spans="2:22" ht="16.5" x14ac:dyDescent="0.25">
      <c r="B8" s="105" t="s">
        <v>177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7"/>
    </row>
    <row r="9" spans="2:22" ht="16.5" x14ac:dyDescent="0.25">
      <c r="B9" s="108" t="s">
        <v>178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10"/>
    </row>
    <row r="10" spans="2:22" ht="16.5" x14ac:dyDescent="0.25">
      <c r="B10" s="108" t="s">
        <v>184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10"/>
    </row>
    <row r="11" spans="2:22" ht="17.25" thickBot="1" x14ac:dyDescent="0.3">
      <c r="B11" s="111" t="s">
        <v>179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3"/>
    </row>
    <row r="12" spans="2:22" ht="15.75" x14ac:dyDescent="0.25">
      <c r="B12" s="89" t="s">
        <v>186</v>
      </c>
      <c r="C12" s="88"/>
      <c r="D12" s="88"/>
      <c r="E12" s="95"/>
      <c r="F12" s="89"/>
      <c r="G12" s="95"/>
      <c r="H12" s="89"/>
      <c r="I12" s="88"/>
      <c r="J12" s="96"/>
      <c r="K12" s="97" t="s">
        <v>164</v>
      </c>
      <c r="L12" s="98"/>
    </row>
    <row r="13" spans="2:22" ht="15.75" x14ac:dyDescent="0.25">
      <c r="B13" s="89" t="s">
        <v>185</v>
      </c>
      <c r="C13" s="88"/>
      <c r="D13" s="88"/>
      <c r="E13" s="88"/>
      <c r="F13" s="88"/>
      <c r="G13" s="88"/>
      <c r="H13" s="88"/>
      <c r="I13" s="88"/>
      <c r="J13" s="88"/>
      <c r="K13" s="95"/>
      <c r="L13" s="95"/>
      <c r="N13" s="87"/>
    </row>
    <row r="14" spans="2:22" ht="15" x14ac:dyDescent="0.2">
      <c r="B14" s="88"/>
      <c r="C14" s="88"/>
      <c r="D14" s="88"/>
      <c r="E14" s="88"/>
      <c r="F14" s="88"/>
      <c r="G14" s="88"/>
      <c r="H14" s="88"/>
      <c r="I14" s="88"/>
      <c r="J14" s="88"/>
      <c r="K14" s="95"/>
      <c r="L14" s="95"/>
    </row>
    <row r="15" spans="2:22" ht="16.5" x14ac:dyDescent="0.25">
      <c r="B15" s="114" t="s">
        <v>180</v>
      </c>
      <c r="C15" s="88"/>
      <c r="D15" s="88"/>
      <c r="E15" s="88"/>
      <c r="F15" s="88"/>
      <c r="G15" s="88"/>
      <c r="H15" s="88"/>
      <c r="I15" s="88"/>
      <c r="J15" s="88"/>
      <c r="K15" s="95"/>
      <c r="L15" s="95"/>
    </row>
    <row r="16" spans="2:22" ht="15.75" x14ac:dyDescent="0.25">
      <c r="B16" s="89" t="s">
        <v>172</v>
      </c>
      <c r="C16" s="88"/>
      <c r="D16" s="88"/>
      <c r="E16" s="88"/>
      <c r="F16" s="88"/>
      <c r="G16" s="88"/>
      <c r="H16" s="88"/>
      <c r="I16" s="88"/>
      <c r="J16" s="88"/>
      <c r="K16" s="95"/>
      <c r="L16" s="95"/>
    </row>
    <row r="17" spans="2:12" ht="15.75" x14ac:dyDescent="0.25">
      <c r="B17" s="89" t="s">
        <v>173</v>
      </c>
      <c r="C17" s="88"/>
      <c r="D17" s="88"/>
      <c r="E17" s="88"/>
      <c r="F17" s="88"/>
      <c r="G17" s="88"/>
      <c r="H17" s="88"/>
      <c r="I17" s="88"/>
      <c r="J17" s="88"/>
      <c r="K17" s="95"/>
      <c r="L17" s="95"/>
    </row>
    <row r="18" spans="2:12" ht="15.75" x14ac:dyDescent="0.25">
      <c r="B18" s="89" t="s">
        <v>174</v>
      </c>
      <c r="C18" s="93"/>
      <c r="D18" s="93"/>
      <c r="E18" s="95"/>
      <c r="F18" s="93"/>
      <c r="G18" s="93"/>
      <c r="H18" s="93"/>
      <c r="I18" s="93"/>
      <c r="J18" s="93"/>
      <c r="K18" s="95"/>
      <c r="L18" s="95"/>
    </row>
    <row r="19" spans="2:12" ht="15.75" x14ac:dyDescent="0.25">
      <c r="B19" s="89" t="s">
        <v>175</v>
      </c>
      <c r="C19" s="93"/>
      <c r="D19" s="93"/>
      <c r="E19" s="93"/>
      <c r="F19" s="93"/>
      <c r="G19" s="93"/>
      <c r="H19" s="93"/>
      <c r="I19" s="93"/>
      <c r="J19" s="93"/>
      <c r="K19" s="95"/>
      <c r="L19" s="95"/>
    </row>
    <row r="20" spans="2:12" ht="17.25" customHeight="1" x14ac:dyDescent="0.2"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</row>
    <row r="21" spans="2:12" ht="15.75" x14ac:dyDescent="0.25">
      <c r="B21" s="95"/>
      <c r="C21" s="89" t="s">
        <v>162</v>
      </c>
      <c r="D21" s="95"/>
      <c r="E21" s="95"/>
      <c r="F21" s="95"/>
      <c r="G21" s="95"/>
      <c r="H21" s="95"/>
      <c r="I21" s="95"/>
      <c r="J21" s="95"/>
      <c r="K21" s="95"/>
      <c r="L21" s="95"/>
    </row>
    <row r="22" spans="2:12" ht="15.75" x14ac:dyDescent="0.25">
      <c r="B22" s="95"/>
      <c r="C22" s="124" t="s">
        <v>166</v>
      </c>
      <c r="D22" s="124"/>
      <c r="E22" s="124"/>
      <c r="F22" s="124"/>
      <c r="G22" s="95"/>
      <c r="H22" s="139"/>
      <c r="I22" s="139"/>
      <c r="J22" s="139"/>
      <c r="K22" s="139"/>
      <c r="L22" s="95"/>
    </row>
    <row r="23" spans="2:12" ht="15.75" x14ac:dyDescent="0.25">
      <c r="B23" s="95"/>
      <c r="C23" s="125" t="s">
        <v>167</v>
      </c>
      <c r="D23" s="125"/>
      <c r="E23" s="125"/>
      <c r="F23" s="125"/>
      <c r="G23" s="88"/>
      <c r="H23" s="140"/>
      <c r="I23" s="139"/>
      <c r="J23" s="139"/>
      <c r="K23" s="139"/>
      <c r="L23" s="95"/>
    </row>
    <row r="24" spans="2:12" ht="15.75" x14ac:dyDescent="0.25">
      <c r="B24" s="95"/>
      <c r="C24" s="125" t="s">
        <v>171</v>
      </c>
      <c r="D24" s="125"/>
      <c r="E24" s="125"/>
      <c r="F24" s="125"/>
      <c r="G24" s="88"/>
      <c r="H24" s="140"/>
      <c r="I24" s="139"/>
      <c r="J24" s="139"/>
      <c r="K24" s="139"/>
      <c r="L24" s="95"/>
    </row>
    <row r="25" spans="2:12" ht="15.75" x14ac:dyDescent="0.25">
      <c r="B25" s="95"/>
      <c r="C25" s="125" t="s">
        <v>168</v>
      </c>
      <c r="D25" s="125"/>
      <c r="E25" s="125"/>
      <c r="F25" s="125"/>
      <c r="G25" s="95"/>
      <c r="H25" s="141" t="s">
        <v>194</v>
      </c>
      <c r="I25" s="139"/>
      <c r="J25" s="139"/>
      <c r="K25" s="139"/>
      <c r="L25" s="95"/>
    </row>
    <row r="26" spans="2:12" ht="15.75" x14ac:dyDescent="0.25">
      <c r="B26" s="95"/>
      <c r="C26" s="91"/>
      <c r="D26" s="95"/>
      <c r="E26" s="95"/>
      <c r="F26" s="95"/>
      <c r="G26" s="95"/>
      <c r="H26" s="139"/>
      <c r="I26" s="139"/>
      <c r="J26" s="139"/>
      <c r="K26" s="139"/>
      <c r="L26" s="95"/>
    </row>
    <row r="27" spans="2:12" ht="15.75" x14ac:dyDescent="0.25">
      <c r="B27" s="89" t="s">
        <v>163</v>
      </c>
      <c r="C27" s="88"/>
      <c r="D27" s="88"/>
      <c r="E27" s="95"/>
      <c r="F27" s="92" t="s">
        <v>191</v>
      </c>
      <c r="G27" s="95"/>
      <c r="H27" s="95"/>
      <c r="I27" s="95"/>
      <c r="J27" s="95"/>
      <c r="K27" s="95"/>
      <c r="L27" s="95"/>
    </row>
    <row r="28" spans="2:12" ht="15.75" x14ac:dyDescent="0.25">
      <c r="B28" s="93"/>
      <c r="C28" s="89"/>
      <c r="D28" s="89"/>
      <c r="E28" s="95"/>
      <c r="F28" s="137" t="s">
        <v>192</v>
      </c>
      <c r="G28" s="95"/>
      <c r="H28" s="95"/>
      <c r="I28" s="95"/>
      <c r="J28" s="95"/>
      <c r="K28" s="95"/>
      <c r="L28" s="95"/>
    </row>
    <row r="29" spans="2:12" ht="15.75" x14ac:dyDescent="0.25">
      <c r="F29" s="138" t="s">
        <v>193</v>
      </c>
    </row>
  </sheetData>
  <sheetProtection password="E114" sheet="1" objects="1" scenarios="1" selectLockedCells="1"/>
  <mergeCells count="4">
    <mergeCell ref="C22:F22"/>
    <mergeCell ref="C23:F23"/>
    <mergeCell ref="C24:F24"/>
    <mergeCell ref="C25:F25"/>
  </mergeCells>
  <hyperlinks>
    <hyperlink ref="C22:F22" location="Facilities!A1" display="Facilities, Equipment, &amp; Regulatory Costs"/>
    <hyperlink ref="C23:F23" location="'Variable Costs &amp; Pricing'!A1" display="Product(s) Variable Costs &amp; Pricing"/>
    <hyperlink ref="C24:E24" location="'Net Returns'!A1" display="Estimated Annual Net Returns"/>
    <hyperlink ref="C25:E25" location="'Farm Fresh Equiv Pricing'!A1" display="Farm Fresh Equivalency Pricing"/>
    <hyperlink ref="C24:F24" location="'Net Returns'!A1" display="Estimated Annual Pre-Tax Returns"/>
    <hyperlink ref="F28" r:id="rId1"/>
  </hyperlinks>
  <pageMargins left="0.75" right="0.75" top="1" bottom="1" header="0.5" footer="0.5"/>
  <pageSetup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croExch.Document.DC" dvAspect="DVASPECT_ICON" shapeId="1025" r:id="rId5">
          <objectPr locked="0" defaultSize="0" r:id="rId6">
            <anchor moveWithCells="1">
              <from>
                <xdr:col>7</xdr:col>
                <xdr:colOff>0</xdr:colOff>
                <xdr:row>20</xdr:row>
                <xdr:rowOff>85725</xdr:rowOff>
              </from>
              <to>
                <xdr:col>8</xdr:col>
                <xdr:colOff>304800</xdr:colOff>
                <xdr:row>23</xdr:row>
                <xdr:rowOff>171450</xdr:rowOff>
              </to>
            </anchor>
          </objectPr>
        </oleObject>
      </mc:Choice>
      <mc:Fallback>
        <oleObject progId="AcroExch.Document.DC" dvAspect="DVASPECT_ICON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15"/>
  <sheetViews>
    <sheetView showGridLines="0" showRowColHeaders="0" zoomScaleNormal="100" workbookViewId="0">
      <selection activeCell="B4" sqref="B4:E4"/>
    </sheetView>
  </sheetViews>
  <sheetFormatPr defaultColWidth="5.7109375" defaultRowHeight="12.75" x14ac:dyDescent="0.2"/>
  <cols>
    <col min="1" max="1" width="5.7109375" style="3" customWidth="1"/>
    <col min="2" max="2" width="37" style="6" customWidth="1"/>
    <col min="3" max="3" width="11.28515625" style="2" customWidth="1"/>
    <col min="4" max="4" width="11.7109375" style="3" customWidth="1"/>
    <col min="5" max="8" width="10.7109375" style="3" customWidth="1"/>
    <col min="9" max="10" width="11.42578125" style="3" customWidth="1"/>
    <col min="11" max="11" width="63" style="3" customWidth="1"/>
    <col min="12" max="16384" width="5.7109375" style="3"/>
  </cols>
  <sheetData>
    <row r="1" spans="2:10" x14ac:dyDescent="0.2">
      <c r="B1" s="1" t="s">
        <v>165</v>
      </c>
    </row>
    <row r="2" spans="2:10" ht="15" x14ac:dyDescent="0.25">
      <c r="B2" s="116" t="s">
        <v>187</v>
      </c>
    </row>
    <row r="3" spans="2:10" s="81" customFormat="1" x14ac:dyDescent="0.2">
      <c r="B3" s="90" t="s">
        <v>162</v>
      </c>
      <c r="C3" s="94"/>
      <c r="D3" s="94"/>
      <c r="E3" s="94"/>
    </row>
    <row r="4" spans="2:10" s="81" customFormat="1" x14ac:dyDescent="0.2">
      <c r="B4" s="126" t="s">
        <v>167</v>
      </c>
      <c r="C4" s="126"/>
      <c r="D4" s="126"/>
      <c r="E4" s="126"/>
    </row>
    <row r="5" spans="2:10" s="81" customFormat="1" x14ac:dyDescent="0.2">
      <c r="B5" s="127" t="s">
        <v>171</v>
      </c>
      <c r="C5" s="127"/>
      <c r="D5" s="127"/>
      <c r="E5" s="94"/>
    </row>
    <row r="6" spans="2:10" s="81" customFormat="1" x14ac:dyDescent="0.2">
      <c r="B6" s="127" t="s">
        <v>168</v>
      </c>
      <c r="C6" s="127"/>
      <c r="D6" s="127"/>
      <c r="E6" s="94"/>
    </row>
    <row r="7" spans="2:10" s="81" customFormat="1" x14ac:dyDescent="0.2">
      <c r="B7" s="4"/>
      <c r="C7" s="83"/>
    </row>
    <row r="9" spans="2:10" ht="25.5" x14ac:dyDescent="0.2">
      <c r="B9" s="5" t="s">
        <v>108</v>
      </c>
      <c r="C9" s="39" t="s">
        <v>88</v>
      </c>
      <c r="F9" s="130" t="s">
        <v>119</v>
      </c>
      <c r="G9" s="130"/>
      <c r="H9" s="130"/>
      <c r="I9" s="130"/>
      <c r="J9" s="41">
        <v>500</v>
      </c>
    </row>
    <row r="10" spans="2:10" x14ac:dyDescent="0.2">
      <c r="F10" s="132"/>
      <c r="G10" s="132"/>
      <c r="H10" s="132"/>
      <c r="I10" s="132"/>
    </row>
    <row r="11" spans="2:10" x14ac:dyDescent="0.2">
      <c r="B11" s="5" t="s">
        <v>98</v>
      </c>
      <c r="C11" s="39">
        <v>60</v>
      </c>
      <c r="F11" s="128" t="s">
        <v>121</v>
      </c>
      <c r="G11" s="128"/>
      <c r="H11" s="128"/>
      <c r="I11" s="128"/>
      <c r="J11" s="7">
        <f>IFERROR(J9/C11,0)</f>
        <v>8.3333333333333339</v>
      </c>
    </row>
    <row r="12" spans="2:10" x14ac:dyDescent="0.2">
      <c r="B12" s="6" t="s">
        <v>99</v>
      </c>
      <c r="F12" s="132"/>
      <c r="G12" s="132"/>
      <c r="H12" s="132"/>
      <c r="I12" s="132"/>
    </row>
    <row r="13" spans="2:10" x14ac:dyDescent="0.2">
      <c r="F13" s="131" t="s">
        <v>120</v>
      </c>
      <c r="G13" s="131"/>
      <c r="H13" s="131"/>
      <c r="I13" s="131"/>
      <c r="J13" s="41">
        <v>1000</v>
      </c>
    </row>
    <row r="14" spans="2:10" ht="12.75" customHeight="1" x14ac:dyDescent="0.2">
      <c r="B14" s="5" t="s">
        <v>100</v>
      </c>
      <c r="C14" s="39">
        <v>8</v>
      </c>
      <c r="F14" s="128"/>
      <c r="G14" s="128"/>
      <c r="H14" s="128"/>
      <c r="I14" s="128"/>
    </row>
    <row r="15" spans="2:10" x14ac:dyDescent="0.2">
      <c r="B15" s="6" t="s">
        <v>101</v>
      </c>
      <c r="F15" s="133" t="s">
        <v>122</v>
      </c>
      <c r="G15" s="133"/>
      <c r="H15" s="133"/>
      <c r="I15" s="133"/>
      <c r="J15" s="7">
        <f>IFERROR(J13/C11,0)</f>
        <v>16.666666666666668</v>
      </c>
    </row>
    <row r="16" spans="2:10" x14ac:dyDescent="0.2">
      <c r="F16" s="8"/>
      <c r="G16" s="8"/>
      <c r="H16" s="8"/>
      <c r="I16" s="8"/>
    </row>
    <row r="17" spans="1:11" x14ac:dyDescent="0.2">
      <c r="B17" s="5" t="s">
        <v>94</v>
      </c>
      <c r="C17" s="40">
        <v>40000</v>
      </c>
      <c r="F17" s="9"/>
      <c r="G17" s="9"/>
      <c r="H17" s="9"/>
      <c r="I17" s="9"/>
    </row>
    <row r="18" spans="1:11" x14ac:dyDescent="0.2">
      <c r="B18" s="6" t="s">
        <v>95</v>
      </c>
      <c r="F18" s="9"/>
      <c r="G18" s="9"/>
      <c r="H18" s="9"/>
      <c r="I18" s="9"/>
    </row>
    <row r="19" spans="1:11" x14ac:dyDescent="0.2">
      <c r="B19" s="5" t="s">
        <v>106</v>
      </c>
      <c r="C19" s="39">
        <v>20</v>
      </c>
    </row>
    <row r="20" spans="1:11" x14ac:dyDescent="0.2">
      <c r="B20" s="5" t="s">
        <v>107</v>
      </c>
      <c r="C20" s="39">
        <v>7</v>
      </c>
    </row>
    <row r="21" spans="1:11" x14ac:dyDescent="0.2">
      <c r="B21" s="5" t="s">
        <v>93</v>
      </c>
      <c r="C21" s="10">
        <f>IF(C9="A = All",D74,IF(C9="B = Baking",G74,IF(C9="C = Canning",F74,IF(C9="D = Drying",E74, IF(C9="CB = Canning/Baking",J74, IF(C9="DC = Drying/Canning",H74,IF(C9="DB = Drying/Baking",I74)))))))</f>
        <v>29256.125</v>
      </c>
    </row>
    <row r="23" spans="1:11" x14ac:dyDescent="0.2">
      <c r="B23" s="6" t="s">
        <v>103</v>
      </c>
      <c r="C23" s="11">
        <f>IFERROR((($C$21/$C$20)+($C$17/$C$19))/C11,0)</f>
        <v>102.9907738095238</v>
      </c>
    </row>
    <row r="24" spans="1:11" x14ac:dyDescent="0.2">
      <c r="B24" s="6" t="s">
        <v>102</v>
      </c>
      <c r="C24" s="11">
        <f>IFERROR((($C$21/$C$20)+($C$17/$C$19))/(C14*C11),0)</f>
        <v>12.873846726190475</v>
      </c>
    </row>
    <row r="27" spans="1:11" x14ac:dyDescent="0.2">
      <c r="A27" s="12"/>
      <c r="B27" s="118" t="s">
        <v>188</v>
      </c>
      <c r="C27" s="14"/>
      <c r="D27" s="15"/>
      <c r="E27" s="15"/>
      <c r="F27" s="15"/>
      <c r="G27" s="15"/>
      <c r="H27" s="15"/>
      <c r="I27" s="15"/>
      <c r="J27" s="16"/>
    </row>
    <row r="28" spans="1:11" x14ac:dyDescent="0.2">
      <c r="A28" s="17"/>
      <c r="B28" s="18"/>
      <c r="C28" s="19"/>
      <c r="D28" s="129" t="s">
        <v>0</v>
      </c>
      <c r="E28" s="129"/>
      <c r="F28" s="129"/>
      <c r="G28" s="129"/>
      <c r="J28" s="20"/>
    </row>
    <row r="29" spans="1:11" s="24" customFormat="1" ht="25.5" x14ac:dyDescent="0.2">
      <c r="A29" s="21" t="s">
        <v>1</v>
      </c>
      <c r="B29" s="22" t="s">
        <v>2</v>
      </c>
      <c r="C29" s="22" t="s">
        <v>48</v>
      </c>
      <c r="D29" s="22" t="s">
        <v>50</v>
      </c>
      <c r="E29" s="22" t="s">
        <v>51</v>
      </c>
      <c r="F29" s="22" t="s">
        <v>52</v>
      </c>
      <c r="G29" s="22" t="s">
        <v>53</v>
      </c>
      <c r="H29" s="22" t="s">
        <v>54</v>
      </c>
      <c r="I29" s="22" t="s">
        <v>55</v>
      </c>
      <c r="J29" s="23" t="s">
        <v>56</v>
      </c>
      <c r="K29" s="24" t="s">
        <v>57</v>
      </c>
    </row>
    <row r="30" spans="1:11" x14ac:dyDescent="0.2">
      <c r="A30" s="17">
        <v>1</v>
      </c>
      <c r="B30" s="42" t="s">
        <v>39</v>
      </c>
      <c r="C30" s="43" t="s">
        <v>49</v>
      </c>
      <c r="D30" s="44">
        <v>500</v>
      </c>
      <c r="E30" s="25">
        <f t="shared" ref="E30:E62" si="0">IF(OR($C30="D",$C30="A",$C30="DC",$C30="DB"),$D30,)</f>
        <v>500</v>
      </c>
      <c r="F30" s="25">
        <f t="shared" ref="F30:F62" si="1">IF(OR($C30="C",$C30="A", $C30="DC",$C30="CB"),$D30,)</f>
        <v>500</v>
      </c>
      <c r="G30" s="25">
        <f t="shared" ref="G30:G62" si="2">IF(OR($C30="B",$C30="A",$C30="DB",$C30="CB"),$D30,)</f>
        <v>500</v>
      </c>
      <c r="H30" s="25">
        <f t="shared" ref="H30:H62" si="3">IF(OR($C30="A",$C30="C",$C30="D",$C30="DC"),$D30,)</f>
        <v>500</v>
      </c>
      <c r="I30" s="25">
        <f t="shared" ref="I30:I62" si="4">IF(OR($C30="A",$C30="D",$C30="B",$C30="DB"),$D30,)</f>
        <v>500</v>
      </c>
      <c r="J30" s="25">
        <f t="shared" ref="J30:J62" si="5">IF(OR($C30="A",$C30="C",$C30="B",$C30="CB"),$D30,)</f>
        <v>500</v>
      </c>
      <c r="K30" s="47" t="s">
        <v>40</v>
      </c>
    </row>
    <row r="31" spans="1:11" x14ac:dyDescent="0.2">
      <c r="A31" s="17">
        <f t="shared" ref="A31:A65" si="6">A30+1</f>
        <v>2</v>
      </c>
      <c r="B31" s="42" t="s">
        <v>3</v>
      </c>
      <c r="C31" s="43" t="s">
        <v>49</v>
      </c>
      <c r="D31" s="44">
        <v>100</v>
      </c>
      <c r="E31" s="25">
        <f t="shared" si="0"/>
        <v>100</v>
      </c>
      <c r="F31" s="25">
        <f t="shared" si="1"/>
        <v>100</v>
      </c>
      <c r="G31" s="25">
        <f t="shared" si="2"/>
        <v>100</v>
      </c>
      <c r="H31" s="25">
        <f t="shared" si="3"/>
        <v>100</v>
      </c>
      <c r="I31" s="25">
        <f t="shared" si="4"/>
        <v>100</v>
      </c>
      <c r="J31" s="25">
        <f t="shared" si="5"/>
        <v>100</v>
      </c>
      <c r="K31" s="47" t="s">
        <v>17</v>
      </c>
    </row>
    <row r="32" spans="1:11" x14ac:dyDescent="0.2">
      <c r="A32" s="17">
        <f t="shared" si="6"/>
        <v>3</v>
      </c>
      <c r="B32" s="42" t="s">
        <v>16</v>
      </c>
      <c r="C32" s="43" t="s">
        <v>49</v>
      </c>
      <c r="D32" s="44">
        <v>2831</v>
      </c>
      <c r="E32" s="25">
        <f t="shared" si="0"/>
        <v>2831</v>
      </c>
      <c r="F32" s="25">
        <f t="shared" si="1"/>
        <v>2831</v>
      </c>
      <c r="G32" s="25">
        <f t="shared" si="2"/>
        <v>2831</v>
      </c>
      <c r="H32" s="25">
        <f t="shared" si="3"/>
        <v>2831</v>
      </c>
      <c r="I32" s="25">
        <f t="shared" si="4"/>
        <v>2831</v>
      </c>
      <c r="J32" s="25">
        <f t="shared" si="5"/>
        <v>2831</v>
      </c>
      <c r="K32" s="47" t="s">
        <v>28</v>
      </c>
    </row>
    <row r="33" spans="1:11" x14ac:dyDescent="0.2">
      <c r="A33" s="17">
        <f t="shared" si="6"/>
        <v>4</v>
      </c>
      <c r="B33" s="42" t="s">
        <v>37</v>
      </c>
      <c r="C33" s="43" t="s">
        <v>49</v>
      </c>
      <c r="D33" s="44">
        <v>3500</v>
      </c>
      <c r="E33" s="25">
        <f t="shared" si="0"/>
        <v>3500</v>
      </c>
      <c r="F33" s="25">
        <f t="shared" si="1"/>
        <v>3500</v>
      </c>
      <c r="G33" s="25">
        <f t="shared" si="2"/>
        <v>3500</v>
      </c>
      <c r="H33" s="25">
        <f t="shared" si="3"/>
        <v>3500</v>
      </c>
      <c r="I33" s="25">
        <f t="shared" si="4"/>
        <v>3500</v>
      </c>
      <c r="J33" s="25">
        <f t="shared" si="5"/>
        <v>3500</v>
      </c>
      <c r="K33" s="47" t="s">
        <v>38</v>
      </c>
    </row>
    <row r="34" spans="1:11" x14ac:dyDescent="0.2">
      <c r="A34" s="17">
        <f t="shared" si="6"/>
        <v>5</v>
      </c>
      <c r="B34" s="42" t="s">
        <v>29</v>
      </c>
      <c r="C34" s="43" t="s">
        <v>49</v>
      </c>
      <c r="D34" s="44">
        <v>850</v>
      </c>
      <c r="E34" s="25">
        <f t="shared" si="0"/>
        <v>850</v>
      </c>
      <c r="F34" s="25">
        <f t="shared" si="1"/>
        <v>850</v>
      </c>
      <c r="G34" s="25">
        <f t="shared" si="2"/>
        <v>850</v>
      </c>
      <c r="H34" s="25">
        <f t="shared" si="3"/>
        <v>850</v>
      </c>
      <c r="I34" s="25">
        <f t="shared" si="4"/>
        <v>850</v>
      </c>
      <c r="J34" s="25">
        <f t="shared" si="5"/>
        <v>850</v>
      </c>
      <c r="K34" s="47" t="s">
        <v>69</v>
      </c>
    </row>
    <row r="35" spans="1:11" x14ac:dyDescent="0.2">
      <c r="A35" s="17">
        <f t="shared" si="6"/>
        <v>6</v>
      </c>
      <c r="B35" s="42" t="s">
        <v>4</v>
      </c>
      <c r="C35" s="43" t="s">
        <v>49</v>
      </c>
      <c r="D35" s="44">
        <v>245</v>
      </c>
      <c r="E35" s="25">
        <f t="shared" si="0"/>
        <v>245</v>
      </c>
      <c r="F35" s="25">
        <f t="shared" si="1"/>
        <v>245</v>
      </c>
      <c r="G35" s="25">
        <f t="shared" si="2"/>
        <v>245</v>
      </c>
      <c r="H35" s="25">
        <f t="shared" si="3"/>
        <v>245</v>
      </c>
      <c r="I35" s="25">
        <f t="shared" si="4"/>
        <v>245</v>
      </c>
      <c r="J35" s="25">
        <f t="shared" si="5"/>
        <v>245</v>
      </c>
      <c r="K35" s="47" t="s">
        <v>40</v>
      </c>
    </row>
    <row r="36" spans="1:11" x14ac:dyDescent="0.2">
      <c r="A36" s="17">
        <f t="shared" si="6"/>
        <v>7</v>
      </c>
      <c r="B36" s="42" t="s">
        <v>5</v>
      </c>
      <c r="C36" s="43" t="s">
        <v>49</v>
      </c>
      <c r="D36" s="44">
        <v>80</v>
      </c>
      <c r="E36" s="25">
        <f t="shared" si="0"/>
        <v>80</v>
      </c>
      <c r="F36" s="25">
        <f t="shared" si="1"/>
        <v>80</v>
      </c>
      <c r="G36" s="25">
        <f t="shared" si="2"/>
        <v>80</v>
      </c>
      <c r="H36" s="25">
        <f t="shared" si="3"/>
        <v>80</v>
      </c>
      <c r="I36" s="25">
        <f t="shared" si="4"/>
        <v>80</v>
      </c>
      <c r="J36" s="25">
        <f t="shared" si="5"/>
        <v>80</v>
      </c>
      <c r="K36" s="47" t="s">
        <v>17</v>
      </c>
    </row>
    <row r="37" spans="1:11" x14ac:dyDescent="0.2">
      <c r="A37" s="17">
        <f t="shared" si="6"/>
        <v>8</v>
      </c>
      <c r="B37" s="42" t="s">
        <v>41</v>
      </c>
      <c r="C37" s="43" t="s">
        <v>49</v>
      </c>
      <c r="D37" s="44">
        <v>500</v>
      </c>
      <c r="E37" s="25">
        <f t="shared" si="0"/>
        <v>500</v>
      </c>
      <c r="F37" s="25">
        <f t="shared" si="1"/>
        <v>500</v>
      </c>
      <c r="G37" s="25">
        <f t="shared" si="2"/>
        <v>500</v>
      </c>
      <c r="H37" s="25">
        <f t="shared" si="3"/>
        <v>500</v>
      </c>
      <c r="I37" s="25">
        <f t="shared" si="4"/>
        <v>500</v>
      </c>
      <c r="J37" s="25">
        <f t="shared" si="5"/>
        <v>500</v>
      </c>
      <c r="K37" s="47" t="s">
        <v>40</v>
      </c>
    </row>
    <row r="38" spans="1:11" x14ac:dyDescent="0.2">
      <c r="A38" s="17">
        <f t="shared" si="6"/>
        <v>9</v>
      </c>
      <c r="B38" s="42" t="s">
        <v>6</v>
      </c>
      <c r="C38" s="43" t="s">
        <v>49</v>
      </c>
      <c r="D38" s="44">
        <v>3415</v>
      </c>
      <c r="E38" s="25">
        <f t="shared" si="0"/>
        <v>3415</v>
      </c>
      <c r="F38" s="25">
        <f t="shared" si="1"/>
        <v>3415</v>
      </c>
      <c r="G38" s="25">
        <f t="shared" si="2"/>
        <v>3415</v>
      </c>
      <c r="H38" s="25">
        <f t="shared" si="3"/>
        <v>3415</v>
      </c>
      <c r="I38" s="25">
        <f t="shared" si="4"/>
        <v>3415</v>
      </c>
      <c r="J38" s="25">
        <f t="shared" si="5"/>
        <v>3415</v>
      </c>
      <c r="K38" s="47" t="s">
        <v>66</v>
      </c>
    </row>
    <row r="39" spans="1:11" x14ac:dyDescent="0.2">
      <c r="A39" s="17">
        <f t="shared" si="6"/>
        <v>10</v>
      </c>
      <c r="B39" s="42" t="s">
        <v>7</v>
      </c>
      <c r="C39" s="43" t="s">
        <v>49</v>
      </c>
      <c r="D39" s="44">
        <v>500</v>
      </c>
      <c r="E39" s="25">
        <f t="shared" si="0"/>
        <v>500</v>
      </c>
      <c r="F39" s="25">
        <f t="shared" si="1"/>
        <v>500</v>
      </c>
      <c r="G39" s="25">
        <f t="shared" si="2"/>
        <v>500</v>
      </c>
      <c r="H39" s="25">
        <f t="shared" si="3"/>
        <v>500</v>
      </c>
      <c r="I39" s="25">
        <f t="shared" si="4"/>
        <v>500</v>
      </c>
      <c r="J39" s="25">
        <f t="shared" si="5"/>
        <v>500</v>
      </c>
      <c r="K39" s="47" t="s">
        <v>67</v>
      </c>
    </row>
    <row r="40" spans="1:11" x14ac:dyDescent="0.2">
      <c r="A40" s="17">
        <f t="shared" si="6"/>
        <v>11</v>
      </c>
      <c r="B40" s="42" t="s">
        <v>15</v>
      </c>
      <c r="C40" s="43" t="s">
        <v>49</v>
      </c>
      <c r="D40" s="44">
        <v>1100</v>
      </c>
      <c r="E40" s="25">
        <f t="shared" si="0"/>
        <v>1100</v>
      </c>
      <c r="F40" s="25">
        <f t="shared" si="1"/>
        <v>1100</v>
      </c>
      <c r="G40" s="25">
        <f t="shared" si="2"/>
        <v>1100</v>
      </c>
      <c r="H40" s="25">
        <f t="shared" si="3"/>
        <v>1100</v>
      </c>
      <c r="I40" s="25">
        <f t="shared" si="4"/>
        <v>1100</v>
      </c>
      <c r="J40" s="25">
        <f t="shared" si="5"/>
        <v>1100</v>
      </c>
      <c r="K40" s="47" t="s">
        <v>68</v>
      </c>
    </row>
    <row r="41" spans="1:11" x14ac:dyDescent="0.2">
      <c r="A41" s="17">
        <f t="shared" si="6"/>
        <v>12</v>
      </c>
      <c r="B41" s="42" t="s">
        <v>44</v>
      </c>
      <c r="C41" s="43" t="s">
        <v>49</v>
      </c>
      <c r="D41" s="45">
        <v>50</v>
      </c>
      <c r="E41" s="25">
        <f t="shared" si="0"/>
        <v>50</v>
      </c>
      <c r="F41" s="25">
        <f t="shared" si="1"/>
        <v>50</v>
      </c>
      <c r="G41" s="25">
        <f t="shared" si="2"/>
        <v>50</v>
      </c>
      <c r="H41" s="25">
        <f t="shared" si="3"/>
        <v>50</v>
      </c>
      <c r="I41" s="25">
        <f t="shared" si="4"/>
        <v>50</v>
      </c>
      <c r="J41" s="25">
        <f t="shared" si="5"/>
        <v>50</v>
      </c>
      <c r="K41" s="47" t="s">
        <v>45</v>
      </c>
    </row>
    <row r="42" spans="1:11" x14ac:dyDescent="0.2">
      <c r="A42" s="17">
        <f t="shared" si="6"/>
        <v>13</v>
      </c>
      <c r="B42" s="42" t="s">
        <v>8</v>
      </c>
      <c r="C42" s="43" t="s">
        <v>49</v>
      </c>
      <c r="D42" s="44">
        <v>750</v>
      </c>
      <c r="E42" s="25">
        <f t="shared" si="0"/>
        <v>750</v>
      </c>
      <c r="F42" s="25">
        <f t="shared" si="1"/>
        <v>750</v>
      </c>
      <c r="G42" s="25">
        <f t="shared" si="2"/>
        <v>750</v>
      </c>
      <c r="H42" s="25">
        <f t="shared" si="3"/>
        <v>750</v>
      </c>
      <c r="I42" s="25">
        <f t="shared" si="4"/>
        <v>750</v>
      </c>
      <c r="J42" s="25">
        <f t="shared" si="5"/>
        <v>750</v>
      </c>
      <c r="K42" s="47" t="s">
        <v>70</v>
      </c>
    </row>
    <row r="43" spans="1:11" x14ac:dyDescent="0.2">
      <c r="A43" s="17">
        <f t="shared" si="6"/>
        <v>14</v>
      </c>
      <c r="B43" s="42" t="s">
        <v>13</v>
      </c>
      <c r="C43" s="43" t="s">
        <v>49</v>
      </c>
      <c r="D43" s="44">
        <v>2000</v>
      </c>
      <c r="E43" s="25">
        <f t="shared" si="0"/>
        <v>2000</v>
      </c>
      <c r="F43" s="25">
        <f t="shared" si="1"/>
        <v>2000</v>
      </c>
      <c r="G43" s="25">
        <f t="shared" si="2"/>
        <v>2000</v>
      </c>
      <c r="H43" s="25">
        <f t="shared" si="3"/>
        <v>2000</v>
      </c>
      <c r="I43" s="25">
        <f t="shared" si="4"/>
        <v>2000</v>
      </c>
      <c r="J43" s="25">
        <f t="shared" si="5"/>
        <v>2000</v>
      </c>
      <c r="K43" s="47" t="s">
        <v>32</v>
      </c>
    </row>
    <row r="44" spans="1:11" x14ac:dyDescent="0.2">
      <c r="A44" s="17">
        <f t="shared" si="6"/>
        <v>15</v>
      </c>
      <c r="B44" s="42" t="s">
        <v>10</v>
      </c>
      <c r="C44" s="43" t="s">
        <v>49</v>
      </c>
      <c r="D44" s="44">
        <v>1500</v>
      </c>
      <c r="E44" s="25">
        <f t="shared" si="0"/>
        <v>1500</v>
      </c>
      <c r="F44" s="25">
        <f t="shared" si="1"/>
        <v>1500</v>
      </c>
      <c r="G44" s="25">
        <f t="shared" si="2"/>
        <v>1500</v>
      </c>
      <c r="H44" s="25">
        <f t="shared" si="3"/>
        <v>1500</v>
      </c>
      <c r="I44" s="25">
        <f t="shared" si="4"/>
        <v>1500</v>
      </c>
      <c r="J44" s="25">
        <f t="shared" si="5"/>
        <v>1500</v>
      </c>
      <c r="K44" s="47" t="s">
        <v>33</v>
      </c>
    </row>
    <row r="45" spans="1:11" x14ac:dyDescent="0.2">
      <c r="A45" s="17">
        <f t="shared" si="6"/>
        <v>16</v>
      </c>
      <c r="B45" s="42" t="s">
        <v>36</v>
      </c>
      <c r="C45" s="43" t="s">
        <v>49</v>
      </c>
      <c r="D45" s="44">
        <f>2*650</f>
        <v>1300</v>
      </c>
      <c r="E45" s="25">
        <f t="shared" si="0"/>
        <v>1300</v>
      </c>
      <c r="F45" s="25">
        <f t="shared" si="1"/>
        <v>1300</v>
      </c>
      <c r="G45" s="25">
        <f t="shared" si="2"/>
        <v>1300</v>
      </c>
      <c r="H45" s="25">
        <f t="shared" si="3"/>
        <v>1300</v>
      </c>
      <c r="I45" s="25">
        <f t="shared" si="4"/>
        <v>1300</v>
      </c>
      <c r="J45" s="25">
        <f t="shared" si="5"/>
        <v>1300</v>
      </c>
      <c r="K45" s="47" t="s">
        <v>34</v>
      </c>
    </row>
    <row r="46" spans="1:11" x14ac:dyDescent="0.2">
      <c r="A46" s="17">
        <f t="shared" si="6"/>
        <v>17</v>
      </c>
      <c r="B46" s="42" t="s">
        <v>46</v>
      </c>
      <c r="C46" s="43" t="s">
        <v>60</v>
      </c>
      <c r="D46" s="45">
        <v>250</v>
      </c>
      <c r="E46" s="25">
        <f t="shared" si="0"/>
        <v>0</v>
      </c>
      <c r="F46" s="25">
        <f t="shared" si="1"/>
        <v>0</v>
      </c>
      <c r="G46" s="25">
        <f t="shared" si="2"/>
        <v>250</v>
      </c>
      <c r="H46" s="25">
        <f t="shared" si="3"/>
        <v>0</v>
      </c>
      <c r="I46" s="25">
        <f t="shared" si="4"/>
        <v>250</v>
      </c>
      <c r="J46" s="25">
        <f t="shared" si="5"/>
        <v>250</v>
      </c>
      <c r="K46" s="47" t="s">
        <v>63</v>
      </c>
    </row>
    <row r="47" spans="1:11" x14ac:dyDescent="0.2">
      <c r="A47" s="17">
        <f t="shared" si="6"/>
        <v>18</v>
      </c>
      <c r="B47" s="42" t="s">
        <v>77</v>
      </c>
      <c r="C47" s="43" t="s">
        <v>60</v>
      </c>
      <c r="D47" s="44">
        <v>2000</v>
      </c>
      <c r="E47" s="25">
        <f t="shared" si="0"/>
        <v>0</v>
      </c>
      <c r="F47" s="25">
        <f t="shared" si="1"/>
        <v>0</v>
      </c>
      <c r="G47" s="25">
        <f t="shared" si="2"/>
        <v>2000</v>
      </c>
      <c r="H47" s="25">
        <f t="shared" si="3"/>
        <v>0</v>
      </c>
      <c r="I47" s="25">
        <f t="shared" si="4"/>
        <v>2000</v>
      </c>
      <c r="J47" s="25">
        <f t="shared" si="5"/>
        <v>2000</v>
      </c>
      <c r="K47" s="47" t="s">
        <v>78</v>
      </c>
    </row>
    <row r="48" spans="1:11" x14ac:dyDescent="0.2">
      <c r="A48" s="17">
        <f t="shared" si="6"/>
        <v>19</v>
      </c>
      <c r="B48" s="42" t="s">
        <v>35</v>
      </c>
      <c r="C48" s="43" t="s">
        <v>60</v>
      </c>
      <c r="D48" s="44">
        <v>2100</v>
      </c>
      <c r="E48" s="25">
        <f t="shared" si="0"/>
        <v>0</v>
      </c>
      <c r="F48" s="25">
        <f t="shared" si="1"/>
        <v>0</v>
      </c>
      <c r="G48" s="25">
        <f t="shared" si="2"/>
        <v>2100</v>
      </c>
      <c r="H48" s="25">
        <f t="shared" si="3"/>
        <v>0</v>
      </c>
      <c r="I48" s="25">
        <f t="shared" si="4"/>
        <v>2100</v>
      </c>
      <c r="J48" s="25">
        <f t="shared" si="5"/>
        <v>2100</v>
      </c>
      <c r="K48" s="47" t="s">
        <v>19</v>
      </c>
    </row>
    <row r="49" spans="1:11" x14ac:dyDescent="0.2">
      <c r="A49" s="17">
        <f t="shared" si="6"/>
        <v>20</v>
      </c>
      <c r="B49" s="42" t="s">
        <v>80</v>
      </c>
      <c r="C49" s="43" t="s">
        <v>60</v>
      </c>
      <c r="D49" s="44">
        <v>5500</v>
      </c>
      <c r="E49" s="25">
        <f t="shared" si="0"/>
        <v>0</v>
      </c>
      <c r="F49" s="25">
        <f t="shared" si="1"/>
        <v>0</v>
      </c>
      <c r="G49" s="25">
        <f t="shared" si="2"/>
        <v>5500</v>
      </c>
      <c r="H49" s="25">
        <f t="shared" si="3"/>
        <v>0</v>
      </c>
      <c r="I49" s="25">
        <f t="shared" si="4"/>
        <v>5500</v>
      </c>
      <c r="J49" s="25">
        <f t="shared" si="5"/>
        <v>5500</v>
      </c>
      <c r="K49" s="47" t="s">
        <v>30</v>
      </c>
    </row>
    <row r="50" spans="1:11" x14ac:dyDescent="0.2">
      <c r="A50" s="17">
        <f t="shared" si="6"/>
        <v>21</v>
      </c>
      <c r="B50" s="42" t="s">
        <v>42</v>
      </c>
      <c r="C50" s="43" t="s">
        <v>61</v>
      </c>
      <c r="D50" s="45">
        <v>50</v>
      </c>
      <c r="E50" s="25">
        <f t="shared" si="0"/>
        <v>0</v>
      </c>
      <c r="F50" s="25">
        <f t="shared" si="1"/>
        <v>50</v>
      </c>
      <c r="G50" s="25">
        <f t="shared" si="2"/>
        <v>0</v>
      </c>
      <c r="H50" s="25">
        <f t="shared" si="3"/>
        <v>50</v>
      </c>
      <c r="I50" s="25">
        <f t="shared" si="4"/>
        <v>0</v>
      </c>
      <c r="J50" s="25">
        <f t="shared" si="5"/>
        <v>50</v>
      </c>
      <c r="K50" s="47" t="s">
        <v>43</v>
      </c>
    </row>
    <row r="51" spans="1:11" x14ac:dyDescent="0.2">
      <c r="A51" s="17">
        <f t="shared" si="6"/>
        <v>22</v>
      </c>
      <c r="B51" s="42" t="s">
        <v>21</v>
      </c>
      <c r="C51" s="43" t="s">
        <v>61</v>
      </c>
      <c r="D51" s="44">
        <f>81.85+13.88</f>
        <v>95.72999999999999</v>
      </c>
      <c r="E51" s="25">
        <f t="shared" si="0"/>
        <v>0</v>
      </c>
      <c r="F51" s="25">
        <f t="shared" si="1"/>
        <v>95.72999999999999</v>
      </c>
      <c r="G51" s="25">
        <f t="shared" si="2"/>
        <v>0</v>
      </c>
      <c r="H51" s="25">
        <f t="shared" si="3"/>
        <v>95.72999999999999</v>
      </c>
      <c r="I51" s="25">
        <f t="shared" si="4"/>
        <v>0</v>
      </c>
      <c r="J51" s="25">
        <f t="shared" si="5"/>
        <v>95.72999999999999</v>
      </c>
      <c r="K51" s="47" t="s">
        <v>24</v>
      </c>
    </row>
    <row r="52" spans="1:11" x14ac:dyDescent="0.2">
      <c r="A52" s="17">
        <f t="shared" si="6"/>
        <v>23</v>
      </c>
      <c r="B52" s="42" t="s">
        <v>22</v>
      </c>
      <c r="C52" s="43" t="s">
        <v>61</v>
      </c>
      <c r="D52" s="44">
        <f>110.78+16.32</f>
        <v>127.1</v>
      </c>
      <c r="E52" s="25">
        <f t="shared" si="0"/>
        <v>0</v>
      </c>
      <c r="F52" s="25">
        <f t="shared" si="1"/>
        <v>127.1</v>
      </c>
      <c r="G52" s="25">
        <f t="shared" si="2"/>
        <v>0</v>
      </c>
      <c r="H52" s="25">
        <f t="shared" si="3"/>
        <v>127.1</v>
      </c>
      <c r="I52" s="25">
        <f t="shared" si="4"/>
        <v>0</v>
      </c>
      <c r="J52" s="25">
        <f t="shared" si="5"/>
        <v>127.1</v>
      </c>
      <c r="K52" s="47" t="s">
        <v>24</v>
      </c>
    </row>
    <row r="53" spans="1:11" x14ac:dyDescent="0.2">
      <c r="A53" s="17">
        <f t="shared" si="6"/>
        <v>24</v>
      </c>
      <c r="B53" s="42" t="s">
        <v>23</v>
      </c>
      <c r="C53" s="43" t="s">
        <v>61</v>
      </c>
      <c r="D53" s="44">
        <f>136.3+24.77</f>
        <v>161.07000000000002</v>
      </c>
      <c r="E53" s="25">
        <f t="shared" si="0"/>
        <v>0</v>
      </c>
      <c r="F53" s="25">
        <f t="shared" si="1"/>
        <v>161.07000000000002</v>
      </c>
      <c r="G53" s="25">
        <f t="shared" si="2"/>
        <v>0</v>
      </c>
      <c r="H53" s="25">
        <f t="shared" si="3"/>
        <v>161.07000000000002</v>
      </c>
      <c r="I53" s="25">
        <f t="shared" si="4"/>
        <v>0</v>
      </c>
      <c r="J53" s="25">
        <f t="shared" si="5"/>
        <v>161.07000000000002</v>
      </c>
      <c r="K53" s="47" t="s">
        <v>24</v>
      </c>
    </row>
    <row r="54" spans="1:11" x14ac:dyDescent="0.2">
      <c r="A54" s="17">
        <f t="shared" si="6"/>
        <v>25</v>
      </c>
      <c r="B54" s="42" t="s">
        <v>65</v>
      </c>
      <c r="C54" s="43" t="s">
        <v>61</v>
      </c>
      <c r="D54" s="44">
        <v>150</v>
      </c>
      <c r="E54" s="25">
        <f t="shared" si="0"/>
        <v>0</v>
      </c>
      <c r="F54" s="25">
        <f t="shared" si="1"/>
        <v>150</v>
      </c>
      <c r="G54" s="25">
        <f t="shared" si="2"/>
        <v>0</v>
      </c>
      <c r="H54" s="25">
        <f t="shared" si="3"/>
        <v>150</v>
      </c>
      <c r="I54" s="25">
        <f t="shared" si="4"/>
        <v>0</v>
      </c>
      <c r="J54" s="25">
        <f t="shared" si="5"/>
        <v>150</v>
      </c>
      <c r="K54" s="47" t="s">
        <v>64</v>
      </c>
    </row>
    <row r="55" spans="1:11" x14ac:dyDescent="0.2">
      <c r="A55" s="17">
        <f t="shared" si="6"/>
        <v>26</v>
      </c>
      <c r="B55" s="42" t="s">
        <v>74</v>
      </c>
      <c r="C55" s="43" t="s">
        <v>61</v>
      </c>
      <c r="D55" s="44">
        <v>350</v>
      </c>
      <c r="E55" s="25">
        <f t="shared" si="0"/>
        <v>0</v>
      </c>
      <c r="F55" s="25">
        <f t="shared" si="1"/>
        <v>350</v>
      </c>
      <c r="G55" s="25">
        <f t="shared" si="2"/>
        <v>0</v>
      </c>
      <c r="H55" s="25">
        <f t="shared" si="3"/>
        <v>350</v>
      </c>
      <c r="I55" s="25">
        <f t="shared" si="4"/>
        <v>0</v>
      </c>
      <c r="J55" s="25">
        <f t="shared" si="5"/>
        <v>350</v>
      </c>
      <c r="K55" s="47" t="s">
        <v>75</v>
      </c>
    </row>
    <row r="56" spans="1:11" x14ac:dyDescent="0.2">
      <c r="A56" s="17">
        <f t="shared" si="6"/>
        <v>27</v>
      </c>
      <c r="B56" s="42" t="s">
        <v>9</v>
      </c>
      <c r="C56" s="43" t="s">
        <v>61</v>
      </c>
      <c r="D56" s="44">
        <v>800</v>
      </c>
      <c r="E56" s="25">
        <f t="shared" si="0"/>
        <v>0</v>
      </c>
      <c r="F56" s="25">
        <f t="shared" si="1"/>
        <v>800</v>
      </c>
      <c r="G56" s="25">
        <f t="shared" si="2"/>
        <v>0</v>
      </c>
      <c r="H56" s="25">
        <f t="shared" si="3"/>
        <v>800</v>
      </c>
      <c r="I56" s="25">
        <f t="shared" si="4"/>
        <v>0</v>
      </c>
      <c r="J56" s="25">
        <f t="shared" si="5"/>
        <v>800</v>
      </c>
      <c r="K56" s="47" t="s">
        <v>20</v>
      </c>
    </row>
    <row r="57" spans="1:11" x14ac:dyDescent="0.2">
      <c r="A57" s="17">
        <f t="shared" si="6"/>
        <v>28</v>
      </c>
      <c r="B57" s="42" t="s">
        <v>81</v>
      </c>
      <c r="C57" s="43" t="s">
        <v>58</v>
      </c>
      <c r="D57" s="44">
        <f>170*5</f>
        <v>850</v>
      </c>
      <c r="E57" s="25">
        <f t="shared" si="0"/>
        <v>850</v>
      </c>
      <c r="F57" s="25">
        <f t="shared" si="1"/>
        <v>0</v>
      </c>
      <c r="G57" s="25">
        <f t="shared" si="2"/>
        <v>0</v>
      </c>
      <c r="H57" s="25">
        <f t="shared" si="3"/>
        <v>850</v>
      </c>
      <c r="I57" s="25">
        <f t="shared" si="4"/>
        <v>850</v>
      </c>
      <c r="J57" s="25">
        <f t="shared" si="5"/>
        <v>0</v>
      </c>
      <c r="K57" s="47" t="s">
        <v>25</v>
      </c>
    </row>
    <row r="58" spans="1:11" x14ac:dyDescent="0.2">
      <c r="A58" s="17">
        <f t="shared" si="6"/>
        <v>29</v>
      </c>
      <c r="B58" s="42" t="s">
        <v>27</v>
      </c>
      <c r="C58" s="43" t="s">
        <v>58</v>
      </c>
      <c r="D58" s="44">
        <v>2500</v>
      </c>
      <c r="E58" s="25">
        <f t="shared" si="0"/>
        <v>2500</v>
      </c>
      <c r="F58" s="25">
        <f t="shared" si="1"/>
        <v>0</v>
      </c>
      <c r="G58" s="25">
        <f t="shared" si="2"/>
        <v>0</v>
      </c>
      <c r="H58" s="25">
        <f t="shared" si="3"/>
        <v>2500</v>
      </c>
      <c r="I58" s="25">
        <f t="shared" si="4"/>
        <v>2500</v>
      </c>
      <c r="J58" s="25">
        <f t="shared" si="5"/>
        <v>0</v>
      </c>
      <c r="K58" s="47" t="s">
        <v>26</v>
      </c>
    </row>
    <row r="59" spans="1:11" x14ac:dyDescent="0.2">
      <c r="A59" s="17">
        <f t="shared" si="6"/>
        <v>30</v>
      </c>
      <c r="B59" s="42" t="s">
        <v>47</v>
      </c>
      <c r="C59" s="43" t="s">
        <v>58</v>
      </c>
      <c r="D59" s="45">
        <v>350</v>
      </c>
      <c r="E59" s="25">
        <f t="shared" si="0"/>
        <v>350</v>
      </c>
      <c r="F59" s="25">
        <f t="shared" si="1"/>
        <v>0</v>
      </c>
      <c r="G59" s="25">
        <f t="shared" si="2"/>
        <v>0</v>
      </c>
      <c r="H59" s="25">
        <f t="shared" si="3"/>
        <v>350</v>
      </c>
      <c r="I59" s="25">
        <f t="shared" si="4"/>
        <v>350</v>
      </c>
      <c r="J59" s="25">
        <f t="shared" si="5"/>
        <v>0</v>
      </c>
      <c r="K59" s="47" t="s">
        <v>62</v>
      </c>
    </row>
    <row r="60" spans="1:11" x14ac:dyDescent="0.2">
      <c r="A60" s="17">
        <f t="shared" si="6"/>
        <v>31</v>
      </c>
      <c r="B60" s="42" t="s">
        <v>14</v>
      </c>
      <c r="C60" s="43" t="s">
        <v>59</v>
      </c>
      <c r="D60" s="44">
        <v>1400</v>
      </c>
      <c r="E60" s="25">
        <f t="shared" si="0"/>
        <v>1400</v>
      </c>
      <c r="F60" s="25">
        <f t="shared" si="1"/>
        <v>1400</v>
      </c>
      <c r="G60" s="25">
        <f t="shared" si="2"/>
        <v>0</v>
      </c>
      <c r="H60" s="25">
        <f t="shared" si="3"/>
        <v>1400</v>
      </c>
      <c r="I60" s="25">
        <f t="shared" si="4"/>
        <v>0</v>
      </c>
      <c r="J60" s="25">
        <f t="shared" si="5"/>
        <v>0</v>
      </c>
      <c r="K60" s="47" t="s">
        <v>79</v>
      </c>
    </row>
    <row r="61" spans="1:11" x14ac:dyDescent="0.2">
      <c r="A61" s="17">
        <f t="shared" si="6"/>
        <v>32</v>
      </c>
      <c r="B61" s="42" t="s">
        <v>76</v>
      </c>
      <c r="C61" s="43" t="s">
        <v>59</v>
      </c>
      <c r="D61" s="44">
        <v>550</v>
      </c>
      <c r="E61" s="25">
        <f t="shared" si="0"/>
        <v>550</v>
      </c>
      <c r="F61" s="25">
        <f t="shared" si="1"/>
        <v>550</v>
      </c>
      <c r="G61" s="25">
        <f t="shared" si="2"/>
        <v>0</v>
      </c>
      <c r="H61" s="25">
        <f t="shared" si="3"/>
        <v>550</v>
      </c>
      <c r="I61" s="25">
        <f t="shared" si="4"/>
        <v>0</v>
      </c>
      <c r="J61" s="25">
        <f t="shared" si="5"/>
        <v>0</v>
      </c>
      <c r="K61" s="47" t="s">
        <v>31</v>
      </c>
    </row>
    <row r="62" spans="1:11" x14ac:dyDescent="0.2">
      <c r="A62" s="17">
        <f t="shared" si="6"/>
        <v>33</v>
      </c>
      <c r="B62" s="42" t="s">
        <v>18</v>
      </c>
      <c r="C62" s="43" t="s">
        <v>59</v>
      </c>
      <c r="D62" s="44">
        <v>500</v>
      </c>
      <c r="E62" s="25">
        <f t="shared" si="0"/>
        <v>500</v>
      </c>
      <c r="F62" s="25">
        <f t="shared" si="1"/>
        <v>500</v>
      </c>
      <c r="G62" s="25">
        <f t="shared" si="2"/>
        <v>0</v>
      </c>
      <c r="H62" s="25">
        <f t="shared" si="3"/>
        <v>500</v>
      </c>
      <c r="I62" s="25">
        <f t="shared" si="4"/>
        <v>0</v>
      </c>
      <c r="J62" s="25">
        <f t="shared" si="5"/>
        <v>0</v>
      </c>
      <c r="K62" s="47" t="s">
        <v>71</v>
      </c>
    </row>
    <row r="63" spans="1:11" x14ac:dyDescent="0.2">
      <c r="A63" s="17">
        <f t="shared" si="6"/>
        <v>34</v>
      </c>
      <c r="B63" s="42"/>
      <c r="C63" s="43"/>
      <c r="D63" s="45"/>
      <c r="E63" s="25"/>
      <c r="F63" s="25"/>
      <c r="G63" s="25"/>
      <c r="H63" s="26"/>
      <c r="I63" s="26"/>
      <c r="J63" s="26"/>
      <c r="K63" s="47"/>
    </row>
    <row r="64" spans="1:11" x14ac:dyDescent="0.2">
      <c r="A64" s="17">
        <f t="shared" si="6"/>
        <v>35</v>
      </c>
      <c r="B64" s="42"/>
      <c r="C64" s="43"/>
      <c r="D64" s="45"/>
      <c r="E64" s="26"/>
      <c r="F64" s="26"/>
      <c r="G64" s="26"/>
      <c r="H64" s="26"/>
      <c r="I64" s="26"/>
      <c r="J64" s="26"/>
      <c r="K64" s="47"/>
    </row>
    <row r="65" spans="1:11" x14ac:dyDescent="0.2">
      <c r="A65" s="17">
        <f t="shared" si="6"/>
        <v>36</v>
      </c>
      <c r="B65" s="42"/>
      <c r="C65" s="43"/>
      <c r="D65" s="45"/>
      <c r="E65" s="26"/>
      <c r="F65" s="26"/>
      <c r="G65" s="26"/>
      <c r="H65" s="26"/>
      <c r="I65" s="26"/>
      <c r="J65" s="26"/>
      <c r="K65" s="47"/>
    </row>
    <row r="66" spans="1:11" x14ac:dyDescent="0.2">
      <c r="A66" s="17">
        <f t="shared" ref="A66:A69" si="7">A65+1</f>
        <v>37</v>
      </c>
      <c r="B66" s="42"/>
      <c r="C66" s="43"/>
      <c r="D66" s="45"/>
      <c r="E66" s="26"/>
      <c r="F66" s="26"/>
      <c r="G66" s="26"/>
      <c r="H66" s="26"/>
      <c r="I66" s="26"/>
      <c r="J66" s="26"/>
      <c r="K66" s="47"/>
    </row>
    <row r="67" spans="1:11" x14ac:dyDescent="0.2">
      <c r="A67" s="17">
        <f t="shared" si="7"/>
        <v>38</v>
      </c>
      <c r="B67" s="42"/>
      <c r="C67" s="43"/>
      <c r="D67" s="45"/>
      <c r="E67" s="26"/>
      <c r="F67" s="26"/>
      <c r="G67" s="26"/>
      <c r="H67" s="26"/>
      <c r="I67" s="26"/>
      <c r="J67" s="26"/>
      <c r="K67" s="47"/>
    </row>
    <row r="68" spans="1:11" x14ac:dyDescent="0.2">
      <c r="A68" s="17">
        <f t="shared" si="7"/>
        <v>39</v>
      </c>
      <c r="B68" s="42"/>
      <c r="C68" s="43"/>
      <c r="D68" s="45"/>
      <c r="E68" s="26"/>
      <c r="F68" s="26"/>
      <c r="G68" s="26"/>
      <c r="H68" s="26"/>
      <c r="I68" s="26"/>
      <c r="J68" s="26"/>
      <c r="K68" s="47"/>
    </row>
    <row r="69" spans="1:11" x14ac:dyDescent="0.2">
      <c r="A69" s="17">
        <f t="shared" si="7"/>
        <v>40</v>
      </c>
      <c r="B69" s="42"/>
      <c r="C69" s="43"/>
      <c r="D69" s="45"/>
      <c r="E69" s="26"/>
      <c r="F69" s="26"/>
      <c r="G69" s="26"/>
      <c r="H69" s="26"/>
      <c r="I69" s="26"/>
      <c r="J69" s="26"/>
      <c r="K69" s="47"/>
    </row>
    <row r="70" spans="1:11" ht="25.5" x14ac:dyDescent="0.2">
      <c r="A70" s="17"/>
      <c r="D70" s="22" t="s">
        <v>72</v>
      </c>
      <c r="E70" s="22" t="s">
        <v>73</v>
      </c>
      <c r="F70" s="22" t="s">
        <v>52</v>
      </c>
      <c r="G70" s="22" t="s">
        <v>53</v>
      </c>
      <c r="H70" s="22" t="s">
        <v>54</v>
      </c>
      <c r="I70" s="22" t="s">
        <v>55</v>
      </c>
      <c r="J70" s="23" t="s">
        <v>56</v>
      </c>
    </row>
    <row r="71" spans="1:11" x14ac:dyDescent="0.2">
      <c r="A71" s="17"/>
      <c r="B71" s="18"/>
      <c r="C71" s="19" t="s">
        <v>11</v>
      </c>
      <c r="D71" s="27">
        <f t="shared" ref="D71:J71" si="8">SUM(D30:D69)</f>
        <v>36954.899999999994</v>
      </c>
      <c r="E71" s="27">
        <f t="shared" si="8"/>
        <v>25371</v>
      </c>
      <c r="F71" s="27">
        <f t="shared" si="8"/>
        <v>23404.899999999998</v>
      </c>
      <c r="G71" s="27">
        <f t="shared" si="8"/>
        <v>29071</v>
      </c>
      <c r="H71" s="27">
        <f t="shared" si="8"/>
        <v>27104.899999999998</v>
      </c>
      <c r="I71" s="27">
        <f t="shared" si="8"/>
        <v>32771</v>
      </c>
      <c r="J71" s="28">
        <f t="shared" si="8"/>
        <v>30804.899999999998</v>
      </c>
    </row>
    <row r="72" spans="1:11" x14ac:dyDescent="0.2">
      <c r="A72" s="17"/>
      <c r="B72" s="18" t="s">
        <v>84</v>
      </c>
      <c r="C72" s="46">
        <v>0.1</v>
      </c>
      <c r="D72" s="27">
        <f>D71*$C$72</f>
        <v>3695.49</v>
      </c>
      <c r="E72" s="27">
        <f t="shared" ref="E72:J72" si="9">E71*$C$72</f>
        <v>2537.1000000000004</v>
      </c>
      <c r="F72" s="27">
        <f t="shared" si="9"/>
        <v>2340.4899999999998</v>
      </c>
      <c r="G72" s="27">
        <f t="shared" si="9"/>
        <v>2907.1000000000004</v>
      </c>
      <c r="H72" s="27">
        <f t="shared" si="9"/>
        <v>2710.49</v>
      </c>
      <c r="I72" s="27">
        <f t="shared" si="9"/>
        <v>3277.1000000000004</v>
      </c>
      <c r="J72" s="28">
        <f t="shared" si="9"/>
        <v>3080.49</v>
      </c>
    </row>
    <row r="73" spans="1:11" x14ac:dyDescent="0.2">
      <c r="A73" s="17"/>
      <c r="B73" s="18" t="s">
        <v>85</v>
      </c>
      <c r="C73" s="46">
        <v>0.15</v>
      </c>
      <c r="D73" s="27">
        <f>D71*$C$73</f>
        <v>5543.2349999999988</v>
      </c>
      <c r="E73" s="27">
        <f t="shared" ref="E73:J73" si="10">E71*$C$73</f>
        <v>3805.6499999999996</v>
      </c>
      <c r="F73" s="27">
        <f t="shared" si="10"/>
        <v>3510.7349999999997</v>
      </c>
      <c r="G73" s="27">
        <f t="shared" si="10"/>
        <v>4360.6499999999996</v>
      </c>
      <c r="H73" s="27">
        <f t="shared" si="10"/>
        <v>4065.7349999999997</v>
      </c>
      <c r="I73" s="27">
        <f t="shared" si="10"/>
        <v>4915.6499999999996</v>
      </c>
      <c r="J73" s="28">
        <f t="shared" si="10"/>
        <v>4620.7349999999997</v>
      </c>
    </row>
    <row r="74" spans="1:11" x14ac:dyDescent="0.2">
      <c r="A74" s="29"/>
      <c r="B74" s="30"/>
      <c r="C74" s="31" t="s">
        <v>12</v>
      </c>
      <c r="D74" s="32">
        <f>D71+D72+D73</f>
        <v>46193.624999999993</v>
      </c>
      <c r="E74" s="32">
        <f t="shared" ref="E74:J74" si="11">E71+E72+E73</f>
        <v>31713.75</v>
      </c>
      <c r="F74" s="32">
        <f t="shared" si="11"/>
        <v>29256.125</v>
      </c>
      <c r="G74" s="32">
        <f t="shared" si="11"/>
        <v>36338.75</v>
      </c>
      <c r="H74" s="32">
        <f t="shared" si="11"/>
        <v>33881.125</v>
      </c>
      <c r="I74" s="32">
        <f t="shared" si="11"/>
        <v>40963.75</v>
      </c>
      <c r="J74" s="33">
        <f t="shared" si="11"/>
        <v>38506.125</v>
      </c>
    </row>
    <row r="75" spans="1:11" x14ac:dyDescent="0.2">
      <c r="A75" s="17"/>
      <c r="B75" s="18"/>
      <c r="C75" s="19"/>
      <c r="D75" s="34"/>
      <c r="E75" s="34"/>
      <c r="F75" s="34"/>
      <c r="G75" s="34"/>
    </row>
    <row r="77" spans="1:11" x14ac:dyDescent="0.2">
      <c r="B77" s="35" t="s">
        <v>82</v>
      </c>
      <c r="C77" s="36">
        <f>MIN(D74:J74)</f>
        <v>29256.125</v>
      </c>
      <c r="D77" s="37" t="s">
        <v>83</v>
      </c>
      <c r="E77" s="38">
        <f>MAX(D74:J74)</f>
        <v>46193.624999999993</v>
      </c>
    </row>
    <row r="209" spans="2:3" x14ac:dyDescent="0.2">
      <c r="B209" s="6" t="s">
        <v>86</v>
      </c>
      <c r="C209" s="2" t="s">
        <v>49</v>
      </c>
    </row>
    <row r="210" spans="2:3" x14ac:dyDescent="0.2">
      <c r="B210" s="6" t="s">
        <v>87</v>
      </c>
      <c r="C210" s="2" t="s">
        <v>60</v>
      </c>
    </row>
    <row r="211" spans="2:3" x14ac:dyDescent="0.2">
      <c r="B211" s="6" t="s">
        <v>88</v>
      </c>
      <c r="C211" s="2" t="s">
        <v>61</v>
      </c>
    </row>
    <row r="212" spans="2:3" x14ac:dyDescent="0.2">
      <c r="B212" s="6" t="s">
        <v>89</v>
      </c>
      <c r="C212" s="2" t="s">
        <v>58</v>
      </c>
    </row>
    <row r="213" spans="2:3" x14ac:dyDescent="0.2">
      <c r="B213" s="6" t="s">
        <v>90</v>
      </c>
      <c r="C213" s="2" t="s">
        <v>96</v>
      </c>
    </row>
    <row r="214" spans="2:3" x14ac:dyDescent="0.2">
      <c r="B214" s="6" t="s">
        <v>91</v>
      </c>
      <c r="C214" s="2" t="s">
        <v>97</v>
      </c>
    </row>
    <row r="215" spans="2:3" x14ac:dyDescent="0.2">
      <c r="B215" s="6" t="s">
        <v>92</v>
      </c>
      <c r="C215" s="2" t="s">
        <v>59</v>
      </c>
    </row>
  </sheetData>
  <sheetProtection password="E114" sheet="1" objects="1" scenarios="1" selectLockedCells="1"/>
  <sortState ref="B37:K39">
    <sortCondition ref="B37"/>
  </sortState>
  <mergeCells count="11">
    <mergeCell ref="B4:E4"/>
    <mergeCell ref="B5:D5"/>
    <mergeCell ref="B6:D6"/>
    <mergeCell ref="F11:I11"/>
    <mergeCell ref="D28:G28"/>
    <mergeCell ref="F9:I9"/>
    <mergeCell ref="F13:I13"/>
    <mergeCell ref="F10:I10"/>
    <mergeCell ref="F12:I12"/>
    <mergeCell ref="F15:I15"/>
    <mergeCell ref="F14:I14"/>
  </mergeCells>
  <dataValidations disablePrompts="1" count="2">
    <dataValidation type="list" showInputMessage="1" showErrorMessage="1" sqref="C9">
      <formula1>Processing</formula1>
    </dataValidation>
    <dataValidation type="list" showInputMessage="1" showErrorMessage="1" sqref="C30:C62">
      <formula1>Classification</formula1>
    </dataValidation>
  </dataValidations>
  <hyperlinks>
    <hyperlink ref="B4:E4" location="'Variable Costs &amp; Pricing'!A1" display="Product(s) Variable Costs &amp; Pricing"/>
    <hyperlink ref="B6:D6" location="'Farm Fresh Equiv Pricing'!A1" display="Farm Fresh Equivalency Pricing"/>
    <hyperlink ref="B5:D5" location="'Net Returns'!A1" display="Estimated Annual Pre-Tax Returns"/>
  </hyperlinks>
  <printOptions gridLines="1"/>
  <pageMargins left="0.75000000000000011" right="0.75000000000000011" top="0.75" bottom="0.75" header="0.5" footer="0.5"/>
  <pageSetup scale="1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showGridLines="0" showRowColHeaders="0" zoomScaleNormal="100" zoomScalePageLayoutView="125" workbookViewId="0">
      <selection activeCell="B4" sqref="B4:E4"/>
    </sheetView>
  </sheetViews>
  <sheetFormatPr defaultColWidth="12.7109375" defaultRowHeight="12.75" x14ac:dyDescent="0.2"/>
  <cols>
    <col min="1" max="1" width="4" style="3" customWidth="1"/>
    <col min="2" max="2" width="33" style="3" customWidth="1"/>
    <col min="3" max="3" width="10.7109375" style="3" customWidth="1"/>
    <col min="4" max="4" width="5.7109375" style="3" customWidth="1"/>
    <col min="5" max="5" width="30.7109375" style="3" customWidth="1"/>
    <col min="6" max="7" width="12.7109375" style="3" customWidth="1"/>
    <col min="8" max="8" width="5.7109375" style="3" customWidth="1"/>
    <col min="9" max="9" width="30.7109375" style="3" customWidth="1"/>
    <col min="10" max="11" width="12.7109375" style="3" customWidth="1"/>
    <col min="12" max="12" width="5.7109375" style="3" customWidth="1"/>
    <col min="13" max="13" width="30.7109375" style="3" customWidth="1"/>
    <col min="14" max="14" width="12.7109375" style="3" customWidth="1"/>
    <col min="15" max="15" width="12.7109375" style="3"/>
    <col min="16" max="16" width="5.7109375" style="3" customWidth="1"/>
    <col min="17" max="17" width="30.7109375" style="3" customWidth="1"/>
    <col min="18" max="18" width="12.7109375" style="3" customWidth="1"/>
    <col min="19" max="19" width="12.7109375" style="3"/>
    <col min="20" max="20" width="5.7109375" style="3" customWidth="1"/>
    <col min="21" max="21" width="30.7109375" style="3" customWidth="1"/>
    <col min="22" max="22" width="12.7109375" style="3" customWidth="1"/>
    <col min="23" max="23" width="12.7109375" style="3"/>
    <col min="24" max="24" width="5.7109375" style="3" customWidth="1"/>
    <col min="25" max="25" width="30.7109375" style="3" customWidth="1"/>
    <col min="26" max="26" width="12.7109375" style="3" customWidth="1"/>
    <col min="27" max="16384" width="12.7109375" style="3"/>
  </cols>
  <sheetData>
    <row r="1" spans="1:27" x14ac:dyDescent="0.2">
      <c r="B1" s="9" t="s">
        <v>104</v>
      </c>
      <c r="C1" s="9"/>
    </row>
    <row r="2" spans="1:27" s="103" customFormat="1" ht="15" x14ac:dyDescent="0.25">
      <c r="B2" s="116" t="s">
        <v>181</v>
      </c>
      <c r="C2" s="104"/>
    </row>
    <row r="3" spans="1:27" s="81" customFormat="1" x14ac:dyDescent="0.2">
      <c r="B3" s="90" t="s">
        <v>162</v>
      </c>
      <c r="C3" s="94"/>
      <c r="D3" s="94"/>
      <c r="E3" s="94"/>
    </row>
    <row r="4" spans="1:27" s="81" customFormat="1" x14ac:dyDescent="0.2">
      <c r="B4" s="134" t="s">
        <v>166</v>
      </c>
      <c r="C4" s="134"/>
      <c r="D4" s="134"/>
      <c r="E4" s="134"/>
    </row>
    <row r="5" spans="1:27" s="81" customFormat="1" x14ac:dyDescent="0.2">
      <c r="B5" s="127" t="s">
        <v>171</v>
      </c>
      <c r="C5" s="127"/>
      <c r="D5" s="127"/>
      <c r="E5" s="94"/>
    </row>
    <row r="6" spans="1:27" s="81" customFormat="1" x14ac:dyDescent="0.2">
      <c r="B6" s="127" t="s">
        <v>168</v>
      </c>
      <c r="C6" s="127"/>
      <c r="D6" s="127"/>
      <c r="E6" s="94"/>
    </row>
    <row r="7" spans="1:27" s="81" customFormat="1" x14ac:dyDescent="0.2">
      <c r="B7" s="82"/>
      <c r="C7" s="82"/>
    </row>
    <row r="8" spans="1:27" x14ac:dyDescent="0.2">
      <c r="E8" s="135" t="s">
        <v>109</v>
      </c>
      <c r="F8" s="135"/>
      <c r="G8" s="135"/>
    </row>
    <row r="9" spans="1:27" ht="25.5" x14ac:dyDescent="0.2">
      <c r="B9" s="9" t="s">
        <v>105</v>
      </c>
      <c r="E9" s="48" t="str">
        <f>B10</f>
        <v xml:space="preserve"> </v>
      </c>
      <c r="F9" s="13" t="s">
        <v>136</v>
      </c>
      <c r="G9" s="49" t="s">
        <v>110</v>
      </c>
      <c r="I9" s="48" t="str">
        <f>B11</f>
        <v xml:space="preserve"> </v>
      </c>
      <c r="J9" s="13" t="s">
        <v>136</v>
      </c>
      <c r="K9" s="49" t="s">
        <v>110</v>
      </c>
      <c r="M9" s="48" t="str">
        <f>B12</f>
        <v xml:space="preserve"> </v>
      </c>
      <c r="N9" s="13" t="s">
        <v>136</v>
      </c>
      <c r="O9" s="49" t="s">
        <v>110</v>
      </c>
      <c r="Q9" s="48" t="str">
        <f>B13</f>
        <v xml:space="preserve"> </v>
      </c>
      <c r="R9" s="13" t="s">
        <v>136</v>
      </c>
      <c r="S9" s="49" t="s">
        <v>110</v>
      </c>
      <c r="U9" s="48" t="str">
        <f>B14</f>
        <v xml:space="preserve"> </v>
      </c>
      <c r="V9" s="13" t="s">
        <v>136</v>
      </c>
      <c r="W9" s="49" t="s">
        <v>110</v>
      </c>
      <c r="Y9" s="48" t="str">
        <f>B15</f>
        <v xml:space="preserve"> </v>
      </c>
      <c r="Z9" s="13" t="s">
        <v>136</v>
      </c>
      <c r="AA9" s="49" t="s">
        <v>110</v>
      </c>
    </row>
    <row r="10" spans="1:27" x14ac:dyDescent="0.2">
      <c r="A10" s="3">
        <v>1</v>
      </c>
      <c r="B10" s="120" t="s">
        <v>189</v>
      </c>
      <c r="C10" s="50"/>
      <c r="E10" s="61"/>
      <c r="F10" s="61" t="s">
        <v>138</v>
      </c>
      <c r="G10" s="68"/>
      <c r="I10" s="61"/>
      <c r="J10" s="61" t="s">
        <v>138</v>
      </c>
      <c r="K10" s="68"/>
      <c r="M10" s="61"/>
      <c r="N10" s="61" t="s">
        <v>138</v>
      </c>
      <c r="O10" s="68"/>
      <c r="Q10" s="61"/>
      <c r="R10" s="61" t="s">
        <v>138</v>
      </c>
      <c r="S10" s="68"/>
      <c r="U10" s="61"/>
      <c r="V10" s="61" t="s">
        <v>138</v>
      </c>
      <c r="W10" s="68"/>
      <c r="Y10" s="61"/>
      <c r="Z10" s="61" t="s">
        <v>138</v>
      </c>
      <c r="AA10" s="68"/>
    </row>
    <row r="11" spans="1:27" x14ac:dyDescent="0.2">
      <c r="A11" s="3">
        <v>2</v>
      </c>
      <c r="B11" s="121" t="s">
        <v>189</v>
      </c>
      <c r="C11" s="50"/>
      <c r="E11" s="62"/>
      <c r="F11" s="62" t="s">
        <v>138</v>
      </c>
      <c r="G11" s="69"/>
      <c r="I11" s="62"/>
      <c r="J11" s="62" t="s">
        <v>138</v>
      </c>
      <c r="K11" s="69"/>
      <c r="M11" s="62"/>
      <c r="N11" s="62" t="s">
        <v>138</v>
      </c>
      <c r="O11" s="69"/>
      <c r="Q11" s="62"/>
      <c r="R11" s="62" t="s">
        <v>138</v>
      </c>
      <c r="S11" s="69"/>
      <c r="U11" s="62"/>
      <c r="V11" s="62" t="s">
        <v>138</v>
      </c>
      <c r="W11" s="69"/>
      <c r="Y11" s="62"/>
      <c r="Z11" s="62" t="s">
        <v>138</v>
      </c>
      <c r="AA11" s="69"/>
    </row>
    <row r="12" spans="1:27" x14ac:dyDescent="0.2">
      <c r="A12" s="3">
        <v>3</v>
      </c>
      <c r="B12" s="121" t="s">
        <v>189</v>
      </c>
      <c r="C12" s="50"/>
      <c r="E12" s="62"/>
      <c r="F12" s="62" t="s">
        <v>138</v>
      </c>
      <c r="G12" s="69"/>
      <c r="I12" s="62"/>
      <c r="J12" s="62" t="s">
        <v>138</v>
      </c>
      <c r="K12" s="69"/>
      <c r="M12" s="62"/>
      <c r="N12" s="62" t="s">
        <v>138</v>
      </c>
      <c r="O12" s="69"/>
      <c r="Q12" s="62"/>
      <c r="R12" s="62" t="s">
        <v>138</v>
      </c>
      <c r="S12" s="69"/>
      <c r="U12" s="62"/>
      <c r="V12" s="62" t="s">
        <v>138</v>
      </c>
      <c r="W12" s="69"/>
      <c r="Y12" s="62"/>
      <c r="Z12" s="62" t="s">
        <v>138</v>
      </c>
      <c r="AA12" s="69"/>
    </row>
    <row r="13" spans="1:27" x14ac:dyDescent="0.2">
      <c r="A13" s="3">
        <v>4</v>
      </c>
      <c r="B13" s="121" t="s">
        <v>189</v>
      </c>
      <c r="C13" s="50"/>
      <c r="E13" s="62"/>
      <c r="F13" s="62" t="s">
        <v>138</v>
      </c>
      <c r="G13" s="69"/>
      <c r="I13" s="62"/>
      <c r="J13" s="62" t="s">
        <v>138</v>
      </c>
      <c r="K13" s="69"/>
      <c r="M13" s="62"/>
      <c r="N13" s="62" t="s">
        <v>138</v>
      </c>
      <c r="O13" s="69"/>
      <c r="Q13" s="62"/>
      <c r="R13" s="62" t="s">
        <v>138</v>
      </c>
      <c r="S13" s="69"/>
      <c r="U13" s="62"/>
      <c r="V13" s="62" t="s">
        <v>138</v>
      </c>
      <c r="W13" s="69"/>
      <c r="Y13" s="62"/>
      <c r="Z13" s="62" t="s">
        <v>138</v>
      </c>
      <c r="AA13" s="69"/>
    </row>
    <row r="14" spans="1:27" x14ac:dyDescent="0.2">
      <c r="A14" s="3">
        <v>5</v>
      </c>
      <c r="B14" s="121" t="s">
        <v>189</v>
      </c>
      <c r="C14" s="50"/>
      <c r="E14" s="62"/>
      <c r="F14" s="62" t="s">
        <v>138</v>
      </c>
      <c r="G14" s="69"/>
      <c r="I14" s="62"/>
      <c r="J14" s="62" t="s">
        <v>138</v>
      </c>
      <c r="K14" s="69"/>
      <c r="M14" s="62"/>
      <c r="N14" s="62" t="s">
        <v>138</v>
      </c>
      <c r="O14" s="69"/>
      <c r="Q14" s="62"/>
      <c r="R14" s="62" t="s">
        <v>138</v>
      </c>
      <c r="S14" s="69"/>
      <c r="U14" s="62"/>
      <c r="V14" s="62" t="s">
        <v>138</v>
      </c>
      <c r="W14" s="69"/>
      <c r="Y14" s="62"/>
      <c r="Z14" s="62" t="s">
        <v>138</v>
      </c>
      <c r="AA14" s="69"/>
    </row>
    <row r="15" spans="1:27" x14ac:dyDescent="0.2">
      <c r="A15" s="3">
        <v>6</v>
      </c>
      <c r="B15" s="122" t="s">
        <v>189</v>
      </c>
      <c r="C15" s="50"/>
      <c r="E15" s="62"/>
      <c r="F15" s="62" t="s">
        <v>138</v>
      </c>
      <c r="G15" s="69"/>
      <c r="I15" s="62"/>
      <c r="J15" s="62" t="s">
        <v>138</v>
      </c>
      <c r="K15" s="69"/>
      <c r="M15" s="62"/>
      <c r="N15" s="62" t="s">
        <v>138</v>
      </c>
      <c r="O15" s="69"/>
      <c r="Q15" s="62"/>
      <c r="R15" s="62" t="s">
        <v>138</v>
      </c>
      <c r="S15" s="69"/>
      <c r="U15" s="62"/>
      <c r="V15" s="62" t="s">
        <v>138</v>
      </c>
      <c r="W15" s="69"/>
      <c r="Y15" s="62"/>
      <c r="Z15" s="62" t="s">
        <v>138</v>
      </c>
      <c r="AA15" s="69"/>
    </row>
    <row r="16" spans="1:27" x14ac:dyDescent="0.2">
      <c r="B16" s="51"/>
      <c r="C16" s="51"/>
      <c r="E16" s="62"/>
      <c r="F16" s="62" t="s">
        <v>138</v>
      </c>
      <c r="G16" s="69"/>
      <c r="I16" s="62"/>
      <c r="J16" s="62" t="s">
        <v>138</v>
      </c>
      <c r="K16" s="69"/>
      <c r="M16" s="62"/>
      <c r="N16" s="62" t="s">
        <v>138</v>
      </c>
      <c r="O16" s="69"/>
      <c r="Q16" s="62"/>
      <c r="R16" s="62" t="s">
        <v>138</v>
      </c>
      <c r="S16" s="69"/>
      <c r="U16" s="62"/>
      <c r="V16" s="62" t="s">
        <v>138</v>
      </c>
      <c r="W16" s="69"/>
      <c r="Y16" s="62"/>
      <c r="Z16" s="62" t="s">
        <v>138</v>
      </c>
      <c r="AA16" s="69"/>
    </row>
    <row r="17" spans="2:27" x14ac:dyDescent="0.2">
      <c r="B17" s="51" t="s">
        <v>112</v>
      </c>
      <c r="E17" s="62"/>
      <c r="F17" s="62" t="s">
        <v>138</v>
      </c>
      <c r="G17" s="69"/>
      <c r="I17" s="62"/>
      <c r="J17" s="62" t="s">
        <v>138</v>
      </c>
      <c r="K17" s="69"/>
      <c r="M17" s="62"/>
      <c r="N17" s="62" t="s">
        <v>138</v>
      </c>
      <c r="O17" s="69"/>
      <c r="Q17" s="62"/>
      <c r="R17" s="62" t="s">
        <v>138</v>
      </c>
      <c r="S17" s="69"/>
      <c r="U17" s="62"/>
      <c r="V17" s="62" t="s">
        <v>138</v>
      </c>
      <c r="W17" s="69"/>
      <c r="Y17" s="62"/>
      <c r="Z17" s="62" t="s">
        <v>138</v>
      </c>
      <c r="AA17" s="69"/>
    </row>
    <row r="18" spans="2:27" x14ac:dyDescent="0.2">
      <c r="B18" s="119" t="str">
        <f>B10</f>
        <v xml:space="preserve"> </v>
      </c>
      <c r="C18" s="64">
        <v>0</v>
      </c>
      <c r="E18" s="62"/>
      <c r="F18" s="62" t="s">
        <v>138</v>
      </c>
      <c r="G18" s="69"/>
      <c r="I18" s="62"/>
      <c r="J18" s="62" t="s">
        <v>138</v>
      </c>
      <c r="K18" s="69"/>
      <c r="M18" s="62"/>
      <c r="N18" s="62" t="s">
        <v>138</v>
      </c>
      <c r="O18" s="69"/>
      <c r="Q18" s="62"/>
      <c r="R18" s="62" t="s">
        <v>138</v>
      </c>
      <c r="S18" s="69"/>
      <c r="U18" s="62"/>
      <c r="V18" s="62" t="s">
        <v>138</v>
      </c>
      <c r="W18" s="69"/>
      <c r="Y18" s="62"/>
      <c r="Z18" s="62" t="s">
        <v>138</v>
      </c>
      <c r="AA18" s="69"/>
    </row>
    <row r="19" spans="2:27" x14ac:dyDescent="0.2">
      <c r="B19" s="119" t="str">
        <f t="shared" ref="B19:B23" si="0">B11</f>
        <v xml:space="preserve"> </v>
      </c>
      <c r="C19" s="65">
        <v>0</v>
      </c>
      <c r="E19" s="62"/>
      <c r="F19" s="62" t="s">
        <v>138</v>
      </c>
      <c r="G19" s="69"/>
      <c r="I19" s="62"/>
      <c r="J19" s="62" t="s">
        <v>138</v>
      </c>
      <c r="K19" s="69"/>
      <c r="M19" s="62"/>
      <c r="N19" s="62" t="s">
        <v>138</v>
      </c>
      <c r="O19" s="69"/>
      <c r="Q19" s="62"/>
      <c r="R19" s="62" t="s">
        <v>138</v>
      </c>
      <c r="S19" s="69"/>
      <c r="U19" s="62"/>
      <c r="V19" s="62" t="s">
        <v>138</v>
      </c>
      <c r="W19" s="69"/>
      <c r="Y19" s="62"/>
      <c r="Z19" s="62" t="s">
        <v>138</v>
      </c>
      <c r="AA19" s="69"/>
    </row>
    <row r="20" spans="2:27" x14ac:dyDescent="0.2">
      <c r="B20" s="119" t="str">
        <f t="shared" si="0"/>
        <v xml:space="preserve"> </v>
      </c>
      <c r="C20" s="65">
        <v>0</v>
      </c>
      <c r="E20" s="62"/>
      <c r="F20" s="62" t="s">
        <v>138</v>
      </c>
      <c r="G20" s="69"/>
      <c r="I20" s="62"/>
      <c r="J20" s="62" t="s">
        <v>138</v>
      </c>
      <c r="K20" s="69"/>
      <c r="M20" s="62"/>
      <c r="N20" s="62" t="s">
        <v>138</v>
      </c>
      <c r="O20" s="69"/>
      <c r="Q20" s="62"/>
      <c r="R20" s="62" t="s">
        <v>138</v>
      </c>
      <c r="S20" s="69"/>
      <c r="U20" s="62"/>
      <c r="V20" s="62" t="s">
        <v>138</v>
      </c>
      <c r="W20" s="69"/>
      <c r="Y20" s="62"/>
      <c r="Z20" s="62" t="s">
        <v>138</v>
      </c>
      <c r="AA20" s="69"/>
    </row>
    <row r="21" spans="2:27" x14ac:dyDescent="0.2">
      <c r="B21" s="119" t="str">
        <f t="shared" si="0"/>
        <v xml:space="preserve"> </v>
      </c>
      <c r="C21" s="65">
        <v>0</v>
      </c>
      <c r="E21" s="62"/>
      <c r="F21" s="62" t="s">
        <v>138</v>
      </c>
      <c r="G21" s="69"/>
      <c r="I21" s="62"/>
      <c r="J21" s="62" t="s">
        <v>138</v>
      </c>
      <c r="K21" s="69"/>
      <c r="M21" s="62"/>
      <c r="N21" s="62" t="s">
        <v>138</v>
      </c>
      <c r="O21" s="69"/>
      <c r="Q21" s="62"/>
      <c r="R21" s="62" t="s">
        <v>138</v>
      </c>
      <c r="S21" s="69"/>
      <c r="U21" s="62"/>
      <c r="V21" s="62" t="s">
        <v>138</v>
      </c>
      <c r="W21" s="69"/>
      <c r="Y21" s="62"/>
      <c r="Z21" s="62" t="s">
        <v>138</v>
      </c>
      <c r="AA21" s="69"/>
    </row>
    <row r="22" spans="2:27" x14ac:dyDescent="0.2">
      <c r="B22" s="119" t="str">
        <f t="shared" si="0"/>
        <v xml:space="preserve"> </v>
      </c>
      <c r="C22" s="65">
        <v>0</v>
      </c>
      <c r="E22" s="62"/>
      <c r="F22" s="62" t="s">
        <v>138</v>
      </c>
      <c r="G22" s="69"/>
      <c r="I22" s="62"/>
      <c r="J22" s="62" t="s">
        <v>138</v>
      </c>
      <c r="K22" s="69"/>
      <c r="M22" s="62"/>
      <c r="N22" s="62" t="s">
        <v>138</v>
      </c>
      <c r="O22" s="69"/>
      <c r="Q22" s="62"/>
      <c r="R22" s="62" t="s">
        <v>138</v>
      </c>
      <c r="S22" s="69"/>
      <c r="U22" s="62"/>
      <c r="V22" s="62" t="s">
        <v>138</v>
      </c>
      <c r="W22" s="69"/>
      <c r="Y22" s="62"/>
      <c r="Z22" s="62" t="s">
        <v>138</v>
      </c>
      <c r="AA22" s="69"/>
    </row>
    <row r="23" spans="2:27" x14ac:dyDescent="0.2">
      <c r="B23" s="119" t="str">
        <f t="shared" si="0"/>
        <v xml:space="preserve"> </v>
      </c>
      <c r="C23" s="66">
        <v>0</v>
      </c>
      <c r="E23" s="62"/>
      <c r="F23" s="62" t="s">
        <v>138</v>
      </c>
      <c r="G23" s="69"/>
      <c r="I23" s="62"/>
      <c r="J23" s="62" t="s">
        <v>138</v>
      </c>
      <c r="K23" s="69"/>
      <c r="M23" s="62"/>
      <c r="N23" s="62" t="s">
        <v>138</v>
      </c>
      <c r="O23" s="69"/>
      <c r="Q23" s="62"/>
      <c r="R23" s="62" t="s">
        <v>138</v>
      </c>
      <c r="S23" s="69"/>
      <c r="U23" s="62"/>
      <c r="V23" s="62" t="s">
        <v>138</v>
      </c>
      <c r="W23" s="69"/>
      <c r="Y23" s="62"/>
      <c r="Z23" s="62" t="s">
        <v>138</v>
      </c>
      <c r="AA23" s="69"/>
    </row>
    <row r="24" spans="2:27" x14ac:dyDescent="0.2">
      <c r="B24" s="52" t="str">
        <f>IF(C24&gt;1,"EXCEEDS PLANT CAPACITY", " ")</f>
        <v xml:space="preserve"> </v>
      </c>
      <c r="C24" s="53">
        <f>SUM(C18:C23)</f>
        <v>0</v>
      </c>
      <c r="E24" s="62"/>
      <c r="F24" s="62" t="s">
        <v>138</v>
      </c>
      <c r="G24" s="69"/>
      <c r="I24" s="62"/>
      <c r="J24" s="62" t="s">
        <v>138</v>
      </c>
      <c r="K24" s="69"/>
      <c r="M24" s="62"/>
      <c r="N24" s="62" t="s">
        <v>138</v>
      </c>
      <c r="O24" s="69"/>
      <c r="Q24" s="62"/>
      <c r="R24" s="62" t="s">
        <v>138</v>
      </c>
      <c r="S24" s="69"/>
      <c r="U24" s="62"/>
      <c r="V24" s="62" t="s">
        <v>138</v>
      </c>
      <c r="W24" s="69"/>
      <c r="Y24" s="62"/>
      <c r="Z24" s="62" t="s">
        <v>138</v>
      </c>
      <c r="AA24" s="69"/>
    </row>
    <row r="25" spans="2:27" x14ac:dyDescent="0.2">
      <c r="E25" s="62"/>
      <c r="F25" s="62" t="s">
        <v>138</v>
      </c>
      <c r="G25" s="69"/>
      <c r="I25" s="62"/>
      <c r="J25" s="62" t="s">
        <v>138</v>
      </c>
      <c r="K25" s="69"/>
      <c r="M25" s="62"/>
      <c r="N25" s="62" t="s">
        <v>138</v>
      </c>
      <c r="O25" s="69"/>
      <c r="Q25" s="62"/>
      <c r="R25" s="62" t="s">
        <v>138</v>
      </c>
      <c r="S25" s="69"/>
      <c r="U25" s="62"/>
      <c r="V25" s="62" t="s">
        <v>138</v>
      </c>
      <c r="W25" s="69"/>
      <c r="Y25" s="62"/>
      <c r="Z25" s="62" t="s">
        <v>138</v>
      </c>
      <c r="AA25" s="69"/>
    </row>
    <row r="26" spans="2:27" x14ac:dyDescent="0.2">
      <c r="E26" s="62"/>
      <c r="F26" s="62" t="s">
        <v>138</v>
      </c>
      <c r="G26" s="69"/>
      <c r="I26" s="62"/>
      <c r="J26" s="62" t="s">
        <v>138</v>
      </c>
      <c r="K26" s="69"/>
      <c r="M26" s="62"/>
      <c r="N26" s="62" t="s">
        <v>138</v>
      </c>
      <c r="O26" s="69"/>
      <c r="Q26" s="62"/>
      <c r="R26" s="62" t="s">
        <v>138</v>
      </c>
      <c r="S26" s="69"/>
      <c r="U26" s="62"/>
      <c r="V26" s="62" t="s">
        <v>138</v>
      </c>
      <c r="W26" s="69"/>
      <c r="Y26" s="62"/>
      <c r="Z26" s="62" t="s">
        <v>138</v>
      </c>
      <c r="AA26" s="69"/>
    </row>
    <row r="27" spans="2:27" x14ac:dyDescent="0.2">
      <c r="B27" s="5"/>
      <c r="E27" s="63"/>
      <c r="F27" s="63" t="s">
        <v>138</v>
      </c>
      <c r="G27" s="70"/>
      <c r="I27" s="63"/>
      <c r="J27" s="63" t="s">
        <v>138</v>
      </c>
      <c r="K27" s="70"/>
      <c r="M27" s="63"/>
      <c r="N27" s="63" t="s">
        <v>138</v>
      </c>
      <c r="O27" s="70"/>
      <c r="Q27" s="63"/>
      <c r="R27" s="63" t="s">
        <v>138</v>
      </c>
      <c r="S27" s="70"/>
      <c r="U27" s="63"/>
      <c r="V27" s="63" t="s">
        <v>138</v>
      </c>
      <c r="W27" s="70"/>
      <c r="Y27" s="63"/>
      <c r="Z27" s="63" t="s">
        <v>138</v>
      </c>
      <c r="AA27" s="70"/>
    </row>
    <row r="28" spans="2:27" x14ac:dyDescent="0.2">
      <c r="B28" s="5"/>
      <c r="C28" s="54"/>
      <c r="E28" s="12" t="s">
        <v>139</v>
      </c>
      <c r="F28" s="15"/>
      <c r="G28" s="77">
        <f>SUM(G10:G27)</f>
        <v>0</v>
      </c>
      <c r="I28" s="12" t="s">
        <v>139</v>
      </c>
      <c r="J28" s="15"/>
      <c r="K28" s="77">
        <f>SUM(K10:K27)</f>
        <v>0</v>
      </c>
      <c r="M28" s="12" t="s">
        <v>139</v>
      </c>
      <c r="N28" s="15"/>
      <c r="O28" s="77">
        <f>SUM(O10:O27)</f>
        <v>0</v>
      </c>
      <c r="Q28" s="12" t="s">
        <v>139</v>
      </c>
      <c r="R28" s="15"/>
      <c r="S28" s="77">
        <f>SUM(S10:S27)</f>
        <v>0</v>
      </c>
      <c r="U28" s="12" t="s">
        <v>139</v>
      </c>
      <c r="V28" s="15"/>
      <c r="W28" s="77">
        <f>SUM(W10:W27)</f>
        <v>0</v>
      </c>
      <c r="Y28" s="12" t="s">
        <v>139</v>
      </c>
      <c r="Z28" s="15"/>
      <c r="AA28" s="77">
        <f>SUM(AA10:AA27)</f>
        <v>0</v>
      </c>
    </row>
    <row r="29" spans="2:27" x14ac:dyDescent="0.2">
      <c r="B29" s="5"/>
      <c r="C29" s="54"/>
      <c r="E29" s="17"/>
      <c r="F29" s="55"/>
      <c r="G29" s="56"/>
      <c r="I29" s="17"/>
      <c r="J29" s="55"/>
      <c r="K29" s="56"/>
      <c r="M29" s="17"/>
      <c r="N29" s="55"/>
      <c r="O29" s="56"/>
      <c r="Q29" s="17"/>
      <c r="R29" s="55"/>
      <c r="S29" s="56"/>
      <c r="U29" s="17"/>
      <c r="V29" s="55"/>
      <c r="W29" s="56"/>
      <c r="Y29" s="17"/>
      <c r="Z29" s="55"/>
      <c r="AA29" s="56"/>
    </row>
    <row r="30" spans="2:27" x14ac:dyDescent="0.2">
      <c r="B30" s="130" t="s">
        <v>116</v>
      </c>
      <c r="E30" s="17" t="s">
        <v>140</v>
      </c>
      <c r="F30" s="55"/>
      <c r="G30" s="71"/>
      <c r="I30" s="17" t="s">
        <v>140</v>
      </c>
      <c r="J30" s="55"/>
      <c r="K30" s="71"/>
      <c r="M30" s="17" t="s">
        <v>140</v>
      </c>
      <c r="N30" s="55"/>
      <c r="O30" s="71"/>
      <c r="Q30" s="17" t="s">
        <v>140</v>
      </c>
      <c r="R30" s="55"/>
      <c r="S30" s="71"/>
      <c r="U30" s="17" t="s">
        <v>140</v>
      </c>
      <c r="V30" s="55"/>
      <c r="W30" s="71"/>
      <c r="Y30" s="17" t="s">
        <v>140</v>
      </c>
      <c r="Z30" s="55"/>
      <c r="AA30" s="71"/>
    </row>
    <row r="31" spans="2:27" x14ac:dyDescent="0.2">
      <c r="B31" s="130"/>
      <c r="C31" s="41">
        <v>15</v>
      </c>
      <c r="E31" s="17"/>
      <c r="F31" s="55"/>
      <c r="G31" s="20"/>
      <c r="I31" s="17"/>
      <c r="J31" s="55"/>
      <c r="K31" s="20"/>
      <c r="M31" s="17"/>
      <c r="N31" s="55"/>
      <c r="O31" s="20"/>
      <c r="Q31" s="17"/>
      <c r="R31" s="55"/>
      <c r="S31" s="20"/>
      <c r="U31" s="17"/>
      <c r="V31" s="55"/>
      <c r="W31" s="20"/>
      <c r="Y31" s="17"/>
      <c r="Z31" s="55"/>
      <c r="AA31" s="20"/>
    </row>
    <row r="32" spans="2:27" x14ac:dyDescent="0.2">
      <c r="B32" s="9"/>
      <c r="E32" s="17" t="s">
        <v>141</v>
      </c>
      <c r="F32" s="55"/>
      <c r="G32" s="72"/>
      <c r="I32" s="17" t="s">
        <v>141</v>
      </c>
      <c r="J32" s="55"/>
      <c r="K32" s="72"/>
      <c r="M32" s="17" t="s">
        <v>141</v>
      </c>
      <c r="N32" s="55"/>
      <c r="O32" s="72"/>
      <c r="Q32" s="17" t="s">
        <v>141</v>
      </c>
      <c r="R32" s="55"/>
      <c r="S32" s="72"/>
      <c r="U32" s="17" t="s">
        <v>141</v>
      </c>
      <c r="V32" s="55"/>
      <c r="W32" s="72"/>
      <c r="Y32" s="17" t="s">
        <v>141</v>
      </c>
      <c r="Z32" s="55"/>
      <c r="AA32" s="72"/>
    </row>
    <row r="33" spans="2:27" x14ac:dyDescent="0.2">
      <c r="B33" s="9" t="s">
        <v>114</v>
      </c>
      <c r="C33" s="67">
        <v>0.2</v>
      </c>
      <c r="E33" s="17"/>
      <c r="F33" s="55"/>
      <c r="G33" s="20"/>
      <c r="I33" s="17"/>
      <c r="J33" s="55"/>
      <c r="K33" s="20"/>
      <c r="M33" s="17"/>
      <c r="N33" s="55"/>
      <c r="O33" s="20"/>
      <c r="Q33" s="17"/>
      <c r="R33" s="55"/>
      <c r="S33" s="20"/>
      <c r="U33" s="17"/>
      <c r="V33" s="55"/>
      <c r="W33" s="20"/>
      <c r="Y33" s="17"/>
      <c r="Z33" s="55"/>
      <c r="AA33" s="20"/>
    </row>
    <row r="34" spans="2:27" x14ac:dyDescent="0.2">
      <c r="B34" s="9" t="s">
        <v>115</v>
      </c>
      <c r="E34" s="17" t="s">
        <v>142</v>
      </c>
      <c r="F34" s="55"/>
      <c r="G34" s="72"/>
      <c r="I34" s="17" t="s">
        <v>142</v>
      </c>
      <c r="J34" s="55"/>
      <c r="K34" s="72"/>
      <c r="M34" s="17" t="s">
        <v>142</v>
      </c>
      <c r="N34" s="55"/>
      <c r="O34" s="72"/>
      <c r="Q34" s="17" t="s">
        <v>142</v>
      </c>
      <c r="R34" s="55"/>
      <c r="S34" s="72"/>
      <c r="U34" s="17" t="s">
        <v>142</v>
      </c>
      <c r="V34" s="55"/>
      <c r="W34" s="72"/>
      <c r="Y34" s="17" t="s">
        <v>142</v>
      </c>
      <c r="Z34" s="55"/>
      <c r="AA34" s="72"/>
    </row>
    <row r="35" spans="2:27" x14ac:dyDescent="0.2">
      <c r="B35" s="9"/>
      <c r="E35" s="17"/>
      <c r="F35" s="55"/>
      <c r="G35" s="20"/>
      <c r="I35" s="17"/>
      <c r="J35" s="55"/>
      <c r="K35" s="20"/>
      <c r="M35" s="17"/>
      <c r="N35" s="55"/>
      <c r="O35" s="20"/>
      <c r="Q35" s="17"/>
      <c r="R35" s="55"/>
      <c r="S35" s="20"/>
      <c r="U35" s="17"/>
      <c r="V35" s="55"/>
      <c r="W35" s="20"/>
      <c r="Y35" s="17"/>
      <c r="Z35" s="55"/>
      <c r="AA35" s="20"/>
    </row>
    <row r="36" spans="2:27" x14ac:dyDescent="0.2">
      <c r="B36" s="9"/>
      <c r="C36" s="57"/>
      <c r="E36" s="17" t="s">
        <v>111</v>
      </c>
      <c r="F36" s="55"/>
      <c r="G36" s="20">
        <f>G32*G34</f>
        <v>0</v>
      </c>
      <c r="I36" s="17" t="s">
        <v>111</v>
      </c>
      <c r="J36" s="55"/>
      <c r="K36" s="20">
        <f>K32*K34</f>
        <v>0</v>
      </c>
      <c r="M36" s="17" t="s">
        <v>111</v>
      </c>
      <c r="N36" s="55"/>
      <c r="O36" s="20">
        <f>O32*O34</f>
        <v>0</v>
      </c>
      <c r="Q36" s="17" t="s">
        <v>111</v>
      </c>
      <c r="R36" s="55"/>
      <c r="S36" s="20">
        <f>S32*S34</f>
        <v>0</v>
      </c>
      <c r="U36" s="17" t="s">
        <v>111</v>
      </c>
      <c r="V36" s="55"/>
      <c r="W36" s="20">
        <f>W32*W34</f>
        <v>0</v>
      </c>
      <c r="Y36" s="17" t="s">
        <v>111</v>
      </c>
      <c r="Z36" s="55"/>
      <c r="AA36" s="20">
        <f>AA32*AA34</f>
        <v>0</v>
      </c>
    </row>
    <row r="37" spans="2:27" x14ac:dyDescent="0.2">
      <c r="B37" s="9"/>
      <c r="C37" s="57"/>
      <c r="E37" s="17"/>
      <c r="F37" s="55"/>
      <c r="G37" s="56"/>
      <c r="I37" s="17"/>
      <c r="J37" s="55"/>
      <c r="K37" s="56"/>
      <c r="M37" s="17"/>
      <c r="N37" s="55"/>
      <c r="O37" s="56"/>
      <c r="Q37" s="17"/>
      <c r="R37" s="55"/>
      <c r="S37" s="56"/>
      <c r="U37" s="17"/>
      <c r="V37" s="55"/>
      <c r="W37" s="56"/>
      <c r="Y37" s="17"/>
      <c r="Z37" s="55"/>
      <c r="AA37" s="56"/>
    </row>
    <row r="38" spans="2:27" x14ac:dyDescent="0.2">
      <c r="E38" s="17" t="s">
        <v>143</v>
      </c>
      <c r="F38" s="55"/>
      <c r="G38" s="41"/>
      <c r="I38" s="17" t="s">
        <v>143</v>
      </c>
      <c r="J38" s="55"/>
      <c r="K38" s="41"/>
      <c r="M38" s="17" t="s">
        <v>143</v>
      </c>
      <c r="N38" s="55"/>
      <c r="O38" s="41"/>
      <c r="Q38" s="17" t="s">
        <v>143</v>
      </c>
      <c r="R38" s="55"/>
      <c r="S38" s="41"/>
      <c r="U38" s="17" t="s">
        <v>143</v>
      </c>
      <c r="V38" s="55"/>
      <c r="W38" s="41"/>
      <c r="Y38" s="17" t="s">
        <v>143</v>
      </c>
      <c r="Z38" s="55"/>
      <c r="AA38" s="41"/>
    </row>
    <row r="39" spans="2:27" x14ac:dyDescent="0.2">
      <c r="E39" s="17" t="s">
        <v>144</v>
      </c>
      <c r="F39" s="55"/>
      <c r="G39" s="20"/>
      <c r="I39" s="17" t="s">
        <v>144</v>
      </c>
      <c r="J39" s="55"/>
      <c r="K39" s="20"/>
      <c r="M39" s="17" t="s">
        <v>144</v>
      </c>
      <c r="N39" s="55"/>
      <c r="O39" s="20"/>
      <c r="Q39" s="17" t="s">
        <v>144</v>
      </c>
      <c r="R39" s="55"/>
      <c r="S39" s="20"/>
      <c r="U39" s="17" t="s">
        <v>144</v>
      </c>
      <c r="V39" s="55"/>
      <c r="W39" s="20"/>
      <c r="Y39" s="17" t="s">
        <v>144</v>
      </c>
      <c r="Z39" s="55"/>
      <c r="AA39" s="20"/>
    </row>
    <row r="40" spans="2:27" x14ac:dyDescent="0.2">
      <c r="E40" s="17"/>
      <c r="F40" s="55"/>
      <c r="G40" s="20"/>
      <c r="I40" s="17"/>
      <c r="J40" s="55"/>
      <c r="K40" s="20"/>
      <c r="M40" s="17"/>
      <c r="N40" s="55"/>
      <c r="O40" s="20"/>
      <c r="Q40" s="17"/>
      <c r="R40" s="55"/>
      <c r="S40" s="20"/>
      <c r="U40" s="17"/>
      <c r="V40" s="55"/>
      <c r="W40" s="20"/>
      <c r="Y40" s="17"/>
      <c r="Z40" s="55"/>
      <c r="AA40" s="20"/>
    </row>
    <row r="41" spans="2:27" x14ac:dyDescent="0.2">
      <c r="E41" s="17" t="s">
        <v>145</v>
      </c>
      <c r="F41" s="55"/>
      <c r="G41" s="56">
        <f>IFERROR((G28/G32)+G38,0)</f>
        <v>0</v>
      </c>
      <c r="I41" s="17" t="s">
        <v>145</v>
      </c>
      <c r="J41" s="55"/>
      <c r="K41" s="56">
        <f>IFERROR((K28/K32)+K38,0)</f>
        <v>0</v>
      </c>
      <c r="M41" s="17" t="s">
        <v>145</v>
      </c>
      <c r="N41" s="55"/>
      <c r="O41" s="56">
        <f>IFERROR((O28/O32)+O38,0)</f>
        <v>0</v>
      </c>
      <c r="Q41" s="17" t="s">
        <v>145</v>
      </c>
      <c r="R41" s="55"/>
      <c r="S41" s="56">
        <f>IFERROR((S28/S32)+S38,0)</f>
        <v>0</v>
      </c>
      <c r="U41" s="17" t="s">
        <v>145</v>
      </c>
      <c r="V41" s="55"/>
      <c r="W41" s="56">
        <f>IFERROR((W28/W32)+W38,0)</f>
        <v>0</v>
      </c>
      <c r="Y41" s="17" t="s">
        <v>145</v>
      </c>
      <c r="Z41" s="55"/>
      <c r="AA41" s="56">
        <f>IFERROR((AA28/AA32)+AA38,0)</f>
        <v>0</v>
      </c>
    </row>
    <row r="42" spans="2:27" x14ac:dyDescent="0.2">
      <c r="E42" s="17"/>
      <c r="F42" s="55"/>
      <c r="G42" s="56"/>
      <c r="I42" s="17"/>
      <c r="J42" s="55"/>
      <c r="K42" s="56"/>
      <c r="M42" s="17"/>
      <c r="N42" s="55"/>
      <c r="O42" s="56"/>
      <c r="Q42" s="17"/>
      <c r="R42" s="55"/>
      <c r="S42" s="56"/>
      <c r="U42" s="17"/>
      <c r="V42" s="55"/>
      <c r="W42" s="56"/>
      <c r="Y42" s="17"/>
      <c r="Z42" s="55"/>
      <c r="AA42" s="56"/>
    </row>
    <row r="43" spans="2:27" x14ac:dyDescent="0.2">
      <c r="E43" s="17" t="s">
        <v>146</v>
      </c>
      <c r="F43" s="55"/>
      <c r="G43" s="56">
        <f>G30*$C$31*(1+$C$33)*Facilities!$C$14</f>
        <v>0</v>
      </c>
      <c r="I43" s="17" t="s">
        <v>146</v>
      </c>
      <c r="J43" s="55"/>
      <c r="K43" s="56">
        <f>K30*$C$31*(1+$C$33)*Facilities!$C$14</f>
        <v>0</v>
      </c>
      <c r="M43" s="17" t="s">
        <v>146</v>
      </c>
      <c r="N43" s="55"/>
      <c r="O43" s="56">
        <f>O30*$C$31*(1+$C$33)*Facilities!$C$14</f>
        <v>0</v>
      </c>
      <c r="Q43" s="17" t="s">
        <v>146</v>
      </c>
      <c r="R43" s="55"/>
      <c r="S43" s="56">
        <f>S30*$C$31*(1+$C$33)*Facilities!$C$14</f>
        <v>0</v>
      </c>
      <c r="U43" s="17" t="s">
        <v>146</v>
      </c>
      <c r="V43" s="55"/>
      <c r="W43" s="56">
        <f>W30*$C$31*(1+$C$33)*Facilities!$C$14</f>
        <v>0</v>
      </c>
      <c r="Y43" s="17" t="s">
        <v>146</v>
      </c>
      <c r="Z43" s="55"/>
      <c r="AA43" s="56">
        <f>AA30*$C$31*(1+$C$33)*Facilities!$C$14</f>
        <v>0</v>
      </c>
    </row>
    <row r="44" spans="2:27" x14ac:dyDescent="0.2">
      <c r="E44" s="17"/>
      <c r="F44" s="55"/>
      <c r="G44" s="56"/>
      <c r="I44" s="17"/>
      <c r="J44" s="55"/>
      <c r="K44" s="56"/>
      <c r="M44" s="17"/>
      <c r="N44" s="55"/>
      <c r="O44" s="56"/>
      <c r="Q44" s="17"/>
      <c r="R44" s="55"/>
      <c r="S44" s="56"/>
      <c r="U44" s="17"/>
      <c r="V44" s="55"/>
      <c r="W44" s="56"/>
      <c r="Y44" s="17"/>
      <c r="Z44" s="55"/>
      <c r="AA44" s="56"/>
    </row>
    <row r="45" spans="2:27" x14ac:dyDescent="0.2">
      <c r="E45" s="17" t="s">
        <v>147</v>
      </c>
      <c r="F45" s="55"/>
      <c r="G45" s="56">
        <f>IFERROR(G43/G36,0)</f>
        <v>0</v>
      </c>
      <c r="I45" s="17" t="s">
        <v>147</v>
      </c>
      <c r="J45" s="55"/>
      <c r="K45" s="56">
        <f>IFERROR(K43/K36,0)</f>
        <v>0</v>
      </c>
      <c r="M45" s="17" t="s">
        <v>147</v>
      </c>
      <c r="N45" s="55"/>
      <c r="O45" s="56">
        <f>IFERROR(O43/O36,0)</f>
        <v>0</v>
      </c>
      <c r="Q45" s="17" t="s">
        <v>147</v>
      </c>
      <c r="R45" s="55"/>
      <c r="S45" s="56">
        <f>IFERROR(S43/S36,0)</f>
        <v>0</v>
      </c>
      <c r="U45" s="17" t="s">
        <v>147</v>
      </c>
      <c r="V45" s="55"/>
      <c r="W45" s="56">
        <f>IFERROR(W43/W36,0)</f>
        <v>0</v>
      </c>
      <c r="Y45" s="17" t="s">
        <v>147</v>
      </c>
      <c r="Z45" s="55"/>
      <c r="AA45" s="56">
        <f>IFERROR(AA43/AA36,0)</f>
        <v>0</v>
      </c>
    </row>
    <row r="46" spans="2:27" x14ac:dyDescent="0.2">
      <c r="E46" s="17"/>
      <c r="F46" s="55"/>
      <c r="G46" s="20"/>
      <c r="I46" s="17"/>
      <c r="J46" s="55"/>
      <c r="K46" s="20"/>
      <c r="M46" s="17"/>
      <c r="N46" s="55"/>
      <c r="O46" s="20"/>
      <c r="Q46" s="17"/>
      <c r="R46" s="55"/>
      <c r="S46" s="20"/>
      <c r="U46" s="17"/>
      <c r="V46" s="55"/>
      <c r="W46" s="20"/>
      <c r="Y46" s="17"/>
      <c r="Z46" s="55"/>
      <c r="AA46" s="20"/>
    </row>
    <row r="47" spans="2:27" x14ac:dyDescent="0.2">
      <c r="E47" s="17" t="s">
        <v>149</v>
      </c>
      <c r="F47" s="55"/>
      <c r="G47" s="56">
        <f>IFERROR(G41+G45,0)</f>
        <v>0</v>
      </c>
      <c r="I47" s="17" t="s">
        <v>149</v>
      </c>
      <c r="J47" s="55"/>
      <c r="K47" s="56">
        <f>IFERROR(K41+K45,0)</f>
        <v>0</v>
      </c>
      <c r="M47" s="17" t="s">
        <v>149</v>
      </c>
      <c r="N47" s="55"/>
      <c r="O47" s="56">
        <f>IFERROR(O41+O45,0)</f>
        <v>0</v>
      </c>
      <c r="Q47" s="17" t="s">
        <v>149</v>
      </c>
      <c r="R47" s="55"/>
      <c r="S47" s="56">
        <f>IFERROR(S41+S45,0)</f>
        <v>0</v>
      </c>
      <c r="U47" s="17" t="s">
        <v>149</v>
      </c>
      <c r="V47" s="55"/>
      <c r="W47" s="56">
        <f>IFERROR(W41+W45,0)</f>
        <v>0</v>
      </c>
      <c r="Y47" s="17" t="s">
        <v>149</v>
      </c>
      <c r="Z47" s="55"/>
      <c r="AA47" s="56">
        <f>IFERROR(AA41+AA45,0)</f>
        <v>0</v>
      </c>
    </row>
    <row r="48" spans="2:27" x14ac:dyDescent="0.2">
      <c r="E48" s="17"/>
      <c r="F48" s="55"/>
      <c r="G48" s="20"/>
      <c r="I48" s="17"/>
      <c r="J48" s="55"/>
      <c r="K48" s="20"/>
      <c r="M48" s="17"/>
      <c r="N48" s="55"/>
      <c r="O48" s="20"/>
      <c r="Q48" s="17"/>
      <c r="R48" s="55"/>
      <c r="S48" s="20"/>
      <c r="U48" s="17"/>
      <c r="V48" s="55"/>
      <c r="W48" s="20"/>
      <c r="Y48" s="17"/>
      <c r="Z48" s="55"/>
      <c r="AA48" s="20"/>
    </row>
    <row r="49" spans="4:28" x14ac:dyDescent="0.2">
      <c r="E49" s="17" t="s">
        <v>148</v>
      </c>
      <c r="F49" s="55"/>
      <c r="G49" s="56">
        <f>IFERROR(G47*G36,0)</f>
        <v>0</v>
      </c>
      <c r="I49" s="17" t="s">
        <v>148</v>
      </c>
      <c r="J49" s="55"/>
      <c r="K49" s="56">
        <f>IFERROR(K47*K36,0)</f>
        <v>0</v>
      </c>
      <c r="M49" s="17" t="s">
        <v>148</v>
      </c>
      <c r="N49" s="55"/>
      <c r="O49" s="56">
        <f>IFERROR(O47*O36,0)</f>
        <v>0</v>
      </c>
      <c r="Q49" s="17" t="s">
        <v>148</v>
      </c>
      <c r="R49" s="55"/>
      <c r="S49" s="56">
        <f>IFERROR(S47*S36,0)</f>
        <v>0</v>
      </c>
      <c r="U49" s="17" t="s">
        <v>148</v>
      </c>
      <c r="V49" s="55"/>
      <c r="W49" s="56">
        <f>IFERROR(W47*W36,0)</f>
        <v>0</v>
      </c>
      <c r="Y49" s="17" t="s">
        <v>148</v>
      </c>
      <c r="Z49" s="55"/>
      <c r="AA49" s="56">
        <f>IFERROR(AA47*AA36,0)</f>
        <v>0</v>
      </c>
    </row>
    <row r="50" spans="4:28" x14ac:dyDescent="0.2">
      <c r="E50" s="17"/>
      <c r="F50" s="55"/>
      <c r="G50" s="20"/>
      <c r="I50" s="17"/>
      <c r="J50" s="55"/>
      <c r="K50" s="20"/>
      <c r="M50" s="17"/>
      <c r="N50" s="55"/>
      <c r="O50" s="20"/>
      <c r="Q50" s="17"/>
      <c r="R50" s="55"/>
      <c r="S50" s="20"/>
      <c r="U50" s="17"/>
      <c r="V50" s="55"/>
      <c r="W50" s="20"/>
      <c r="Y50" s="17"/>
      <c r="Z50" s="55"/>
      <c r="AA50" s="20"/>
    </row>
    <row r="51" spans="4:28" x14ac:dyDescent="0.2">
      <c r="E51" s="17" t="s">
        <v>113</v>
      </c>
      <c r="F51" s="55"/>
      <c r="G51" s="41"/>
      <c r="I51" s="17" t="s">
        <v>113</v>
      </c>
      <c r="J51" s="55"/>
      <c r="K51" s="41"/>
      <c r="M51" s="17" t="s">
        <v>113</v>
      </c>
      <c r="N51" s="55"/>
      <c r="O51" s="41"/>
      <c r="Q51" s="17" t="s">
        <v>113</v>
      </c>
      <c r="R51" s="55"/>
      <c r="S51" s="41"/>
      <c r="U51" s="17" t="s">
        <v>113</v>
      </c>
      <c r="V51" s="55"/>
      <c r="W51" s="41"/>
      <c r="Y51" s="17" t="s">
        <v>113</v>
      </c>
      <c r="Z51" s="55"/>
      <c r="AA51" s="41"/>
    </row>
    <row r="52" spans="4:28" x14ac:dyDescent="0.2">
      <c r="E52" s="17"/>
      <c r="F52" s="55"/>
      <c r="G52" s="58"/>
      <c r="I52" s="17"/>
      <c r="J52" s="55"/>
      <c r="K52" s="58"/>
      <c r="M52" s="17"/>
      <c r="N52" s="55"/>
      <c r="O52" s="58"/>
      <c r="Q52" s="17"/>
      <c r="R52" s="55"/>
      <c r="S52" s="58"/>
      <c r="U52" s="17"/>
      <c r="V52" s="55"/>
      <c r="W52" s="58"/>
      <c r="Y52" s="17"/>
      <c r="Z52" s="55"/>
      <c r="AA52" s="58"/>
    </row>
    <row r="53" spans="4:28" x14ac:dyDescent="0.2">
      <c r="E53" s="17" t="s">
        <v>117</v>
      </c>
      <c r="F53" s="55"/>
      <c r="G53" s="56">
        <f>G51*G36</f>
        <v>0</v>
      </c>
      <c r="H53" s="55"/>
      <c r="I53" s="17" t="s">
        <v>117</v>
      </c>
      <c r="J53" s="55"/>
      <c r="K53" s="56">
        <f>K51*K36</f>
        <v>0</v>
      </c>
      <c r="L53" s="55"/>
      <c r="M53" s="17" t="s">
        <v>117</v>
      </c>
      <c r="N53" s="55"/>
      <c r="O53" s="56">
        <f>O51*O36</f>
        <v>0</v>
      </c>
      <c r="P53" s="55"/>
      <c r="Q53" s="17" t="s">
        <v>117</v>
      </c>
      <c r="R53" s="55"/>
      <c r="S53" s="56">
        <f>S51*S36</f>
        <v>0</v>
      </c>
      <c r="T53" s="55"/>
      <c r="U53" s="17" t="s">
        <v>117</v>
      </c>
      <c r="V53" s="55"/>
      <c r="W53" s="56">
        <f>W51*W36</f>
        <v>0</v>
      </c>
      <c r="X53" s="55"/>
      <c r="Y53" s="17" t="s">
        <v>117</v>
      </c>
      <c r="Z53" s="55"/>
      <c r="AA53" s="56">
        <f>AA51*AA36</f>
        <v>0</v>
      </c>
    </row>
    <row r="54" spans="4:28" x14ac:dyDescent="0.2">
      <c r="E54" s="17"/>
      <c r="F54" s="55"/>
      <c r="G54" s="20"/>
      <c r="H54" s="55"/>
      <c r="I54" s="17"/>
      <c r="J54" s="55"/>
      <c r="K54" s="20"/>
      <c r="L54" s="55"/>
      <c r="M54" s="17"/>
      <c r="N54" s="55"/>
      <c r="O54" s="20"/>
      <c r="P54" s="55"/>
      <c r="Q54" s="17"/>
      <c r="R54" s="55"/>
      <c r="S54" s="20"/>
      <c r="T54" s="55"/>
      <c r="U54" s="17"/>
      <c r="V54" s="55"/>
      <c r="W54" s="20"/>
      <c r="X54" s="55"/>
      <c r="Y54" s="17"/>
      <c r="Z54" s="55"/>
      <c r="AA54" s="20"/>
    </row>
    <row r="55" spans="4:28" x14ac:dyDescent="0.2">
      <c r="E55" s="17" t="s">
        <v>150</v>
      </c>
      <c r="F55" s="55"/>
      <c r="G55" s="101">
        <f>IFERROR(G53-G49,0)</f>
        <v>0</v>
      </c>
      <c r="H55" s="55"/>
      <c r="I55" s="17" t="s">
        <v>150</v>
      </c>
      <c r="J55" s="55"/>
      <c r="K55" s="101">
        <f>IFERROR(K53-K49,0)</f>
        <v>0</v>
      </c>
      <c r="L55" s="55"/>
      <c r="M55" s="17" t="s">
        <v>150</v>
      </c>
      <c r="N55" s="55"/>
      <c r="O55" s="101">
        <f>IFERROR(O53-O49,0)</f>
        <v>0</v>
      </c>
      <c r="P55" s="55"/>
      <c r="Q55" s="17" t="s">
        <v>150</v>
      </c>
      <c r="R55" s="55"/>
      <c r="S55" s="101">
        <f>IFERROR(S53-S49,0)</f>
        <v>0</v>
      </c>
      <c r="T55" s="55"/>
      <c r="U55" s="17" t="s">
        <v>150</v>
      </c>
      <c r="V55" s="55"/>
      <c r="W55" s="101">
        <f>IFERROR(W53-W49,0)</f>
        <v>0</v>
      </c>
      <c r="X55" s="55"/>
      <c r="Y55" s="17" t="s">
        <v>150</v>
      </c>
      <c r="Z55" s="55"/>
      <c r="AA55" s="101">
        <f>IFERROR(AA53-AA49,0)</f>
        <v>0</v>
      </c>
    </row>
    <row r="56" spans="4:28" s="99" customFormat="1" x14ac:dyDescent="0.2">
      <c r="E56" s="17"/>
      <c r="F56" s="55"/>
      <c r="G56" s="101"/>
      <c r="H56" s="55"/>
      <c r="I56" s="17"/>
      <c r="J56" s="55"/>
      <c r="K56" s="101"/>
      <c r="L56" s="55"/>
      <c r="M56" s="17"/>
      <c r="N56" s="55"/>
      <c r="O56" s="101"/>
      <c r="P56" s="55"/>
      <c r="Q56" s="17"/>
      <c r="R56" s="55"/>
      <c r="S56" s="101"/>
      <c r="T56" s="55"/>
      <c r="U56" s="17"/>
      <c r="V56" s="55"/>
      <c r="W56" s="101"/>
      <c r="X56" s="55"/>
      <c r="Y56" s="17"/>
      <c r="Z56" s="55"/>
      <c r="AA56" s="101"/>
    </row>
    <row r="57" spans="4:28" s="99" customFormat="1" x14ac:dyDescent="0.2">
      <c r="E57" s="29" t="s">
        <v>176</v>
      </c>
      <c r="F57" s="59"/>
      <c r="G57" s="102">
        <f>IFERROR(G55/G53,0)</f>
        <v>0</v>
      </c>
      <c r="H57" s="55"/>
      <c r="I57" s="29" t="s">
        <v>176</v>
      </c>
      <c r="J57" s="59"/>
      <c r="K57" s="102">
        <f>IFERROR(K55/K53,0)</f>
        <v>0</v>
      </c>
      <c r="L57" s="55"/>
      <c r="M57" s="29" t="s">
        <v>176</v>
      </c>
      <c r="N57" s="59"/>
      <c r="O57" s="102">
        <f>IFERROR(O55/O53,0)</f>
        <v>0</v>
      </c>
      <c r="P57" s="55"/>
      <c r="Q57" s="29" t="s">
        <v>176</v>
      </c>
      <c r="R57" s="59"/>
      <c r="S57" s="102">
        <f>IFERROR(S55/S53,0)</f>
        <v>0</v>
      </c>
      <c r="T57" s="55"/>
      <c r="U57" s="29" t="s">
        <v>176</v>
      </c>
      <c r="V57" s="59"/>
      <c r="W57" s="102">
        <f>IFERROR(W55/W53,0)</f>
        <v>0</v>
      </c>
      <c r="X57" s="55"/>
      <c r="Y57" s="29" t="s">
        <v>176</v>
      </c>
      <c r="Z57" s="59"/>
      <c r="AA57" s="102">
        <f>IFERROR(AA55/AA53,0)</f>
        <v>0</v>
      </c>
    </row>
    <row r="58" spans="4:28" x14ac:dyDescent="0.2"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4:28" x14ac:dyDescent="0.2">
      <c r="E59" s="9" t="s">
        <v>118</v>
      </c>
      <c r="F59" s="9"/>
      <c r="G59" s="60">
        <f>IFERROR(G55*C18*Facilities!$C$11,"Error")</f>
        <v>0</v>
      </c>
      <c r="H59" s="9"/>
      <c r="I59" s="9" t="s">
        <v>118</v>
      </c>
      <c r="J59" s="9"/>
      <c r="K59" s="60">
        <f>IFERROR(K55*C19*Facilities!$C$11,"Error")</f>
        <v>0</v>
      </c>
      <c r="L59" s="9"/>
      <c r="M59" s="9" t="s">
        <v>118</v>
      </c>
      <c r="N59" s="9"/>
      <c r="O59" s="60">
        <f>IFERROR(O55*C20*Facilities!$C$11,"Error")</f>
        <v>0</v>
      </c>
      <c r="P59" s="9"/>
      <c r="Q59" s="9" t="s">
        <v>118</v>
      </c>
      <c r="R59" s="9"/>
      <c r="S59" s="60">
        <f>IFERROR(S55*C21*Facilities!$C$11,"Error")</f>
        <v>0</v>
      </c>
      <c r="T59" s="9"/>
      <c r="U59" s="9" t="s">
        <v>118</v>
      </c>
      <c r="V59" s="9"/>
      <c r="W59" s="60">
        <f>IFERROR(W55*C22*Facilities!$C$11,"Error")</f>
        <v>0</v>
      </c>
      <c r="X59" s="9"/>
      <c r="Y59" s="9" t="s">
        <v>118</v>
      </c>
      <c r="Z59" s="9"/>
      <c r="AA59" s="60">
        <f>IFERROR(AA55*C23*Facilities!$C$11,"Error")</f>
        <v>0</v>
      </c>
    </row>
    <row r="61" spans="4:28" x14ac:dyDescent="0.2">
      <c r="E61" s="76" t="s">
        <v>160</v>
      </c>
      <c r="I61" s="76" t="s">
        <v>160</v>
      </c>
      <c r="M61" s="76" t="s">
        <v>160</v>
      </c>
      <c r="Q61" s="76" t="s">
        <v>160</v>
      </c>
      <c r="U61" s="76" t="s">
        <v>160</v>
      </c>
      <c r="Y61" s="76" t="s">
        <v>160</v>
      </c>
    </row>
    <row r="62" spans="4:28" x14ac:dyDescent="0.2"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</row>
    <row r="63" spans="4:28" x14ac:dyDescent="0.2"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</row>
    <row r="64" spans="4:28" x14ac:dyDescent="0.2"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</row>
    <row r="65" spans="4:28" x14ac:dyDescent="0.2"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</row>
    <row r="66" spans="4:28" x14ac:dyDescent="0.2"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</row>
    <row r="67" spans="4:28" x14ac:dyDescent="0.2"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</row>
    <row r="68" spans="4:28" x14ac:dyDescent="0.2"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</row>
    <row r="69" spans="4:28" x14ac:dyDescent="0.2"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</row>
    <row r="70" spans="4:28" x14ac:dyDescent="0.2"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</row>
    <row r="71" spans="4:28" x14ac:dyDescent="0.2"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</row>
    <row r="72" spans="4:28" x14ac:dyDescent="0.2"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</row>
    <row r="73" spans="4:28" x14ac:dyDescent="0.2"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</row>
    <row r="74" spans="4:28" x14ac:dyDescent="0.2"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</row>
    <row r="75" spans="4:28" x14ac:dyDescent="0.2"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</row>
    <row r="76" spans="4:28" x14ac:dyDescent="0.2"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</row>
    <row r="77" spans="4:28" x14ac:dyDescent="0.2"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</row>
    <row r="78" spans="4:28" x14ac:dyDescent="0.2"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</row>
    <row r="79" spans="4:28" x14ac:dyDescent="0.2"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</row>
    <row r="80" spans="4:28" x14ac:dyDescent="0.2"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</row>
    <row r="81" spans="4:28" x14ac:dyDescent="0.2"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</row>
    <row r="189" spans="3:3" x14ac:dyDescent="0.2">
      <c r="C189" s="3" t="s">
        <v>137</v>
      </c>
    </row>
    <row r="190" spans="3:3" x14ac:dyDescent="0.2">
      <c r="C190" s="3" t="s">
        <v>138</v>
      </c>
    </row>
  </sheetData>
  <sheetProtection password="E114" sheet="1" objects="1" scenarios="1" selectLockedCells="1"/>
  <mergeCells count="5">
    <mergeCell ref="B4:E4"/>
    <mergeCell ref="B5:D5"/>
    <mergeCell ref="B6:D6"/>
    <mergeCell ref="B30:B31"/>
    <mergeCell ref="E8:G8"/>
  </mergeCells>
  <dataValidations count="1">
    <dataValidation type="list" showInputMessage="1" showErrorMessage="1" sqref="V10:V27 F10:F27 J10:J27 N10:N27 R10:R27 Z10:Z27">
      <formula1>Onfarm</formula1>
    </dataValidation>
  </dataValidations>
  <hyperlinks>
    <hyperlink ref="B4:E4" location="Facilities!A1" display="Facilities, Equipment, &amp; Regulatory Costs"/>
    <hyperlink ref="B6:D6" location="'Farm Fresh Equiv Pricing'!A1" display="Farm Fresh Equivalency Pricing"/>
    <hyperlink ref="B5:D5" location="'Net Returns'!A1" display="Estimated Annual Pre-Tax Returns"/>
  </hyperlinks>
  <pageMargins left="0.75000000000000011" right="0.75000000000000011" top="1" bottom="1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6"/>
  <sheetViews>
    <sheetView showGridLines="0" showRowColHeaders="0" zoomScaleNormal="100" zoomScalePageLayoutView="150" workbookViewId="0">
      <selection activeCell="B4" sqref="B4:E4"/>
    </sheetView>
  </sheetViews>
  <sheetFormatPr defaultColWidth="8.85546875" defaultRowHeight="12.75" x14ac:dyDescent="0.2"/>
  <cols>
    <col min="1" max="2" width="5.7109375" style="3" customWidth="1"/>
    <col min="3" max="3" width="35.7109375" style="3" customWidth="1"/>
    <col min="4" max="4" width="12.140625" style="3" customWidth="1"/>
    <col min="5" max="16384" width="8.85546875" style="3"/>
  </cols>
  <sheetData>
    <row r="1" spans="2:5" x14ac:dyDescent="0.2">
      <c r="B1" s="9" t="s">
        <v>169</v>
      </c>
    </row>
    <row r="2" spans="2:5" s="115" customFormat="1" ht="15" x14ac:dyDescent="0.25">
      <c r="B2" s="116" t="s">
        <v>181</v>
      </c>
    </row>
    <row r="3" spans="2:5" s="81" customFormat="1" x14ac:dyDescent="0.2">
      <c r="B3" s="90" t="s">
        <v>162</v>
      </c>
      <c r="C3" s="94"/>
      <c r="D3" s="94"/>
      <c r="E3" s="94"/>
    </row>
    <row r="4" spans="2:5" s="81" customFormat="1" x14ac:dyDescent="0.2">
      <c r="B4" s="134" t="s">
        <v>166</v>
      </c>
      <c r="C4" s="134"/>
      <c r="D4" s="134"/>
      <c r="E4" s="134"/>
    </row>
    <row r="5" spans="2:5" s="81" customFormat="1" x14ac:dyDescent="0.2">
      <c r="B5" s="126" t="s">
        <v>167</v>
      </c>
      <c r="C5" s="126"/>
      <c r="D5" s="126"/>
      <c r="E5" s="126"/>
    </row>
    <row r="6" spans="2:5" s="81" customFormat="1" x14ac:dyDescent="0.2">
      <c r="B6" s="127" t="s">
        <v>168</v>
      </c>
      <c r="C6" s="127"/>
      <c r="D6" s="127"/>
      <c r="E6" s="94"/>
    </row>
    <row r="8" spans="2:5" x14ac:dyDescent="0.2">
      <c r="B8" s="3" t="s">
        <v>123</v>
      </c>
      <c r="D8" s="73">
        <f>'Variable Costs &amp; Pricing'!G59+'Variable Costs &amp; Pricing'!K59+'Variable Costs &amp; Pricing'!O59+'Variable Costs &amp; Pricing'!S59+'Variable Costs &amp; Pricing'!W59+'Variable Costs &amp; Pricing'!W59+'Variable Costs &amp; Pricing'!AA59</f>
        <v>0</v>
      </c>
    </row>
    <row r="9" spans="2:5" x14ac:dyDescent="0.2">
      <c r="B9" s="3" t="s">
        <v>124</v>
      </c>
      <c r="D9" s="73"/>
    </row>
    <row r="10" spans="2:5" x14ac:dyDescent="0.2">
      <c r="D10" s="73"/>
    </row>
    <row r="11" spans="2:5" x14ac:dyDescent="0.2">
      <c r="B11" s="3" t="s">
        <v>125</v>
      </c>
      <c r="D11" s="73">
        <f>Facilities!C23*Facilities!C11</f>
        <v>6179.4464285714284</v>
      </c>
    </row>
    <row r="12" spans="2:5" x14ac:dyDescent="0.2">
      <c r="B12" s="3" t="s">
        <v>132</v>
      </c>
      <c r="D12" s="73">
        <f>Facilities!J13</f>
        <v>1000</v>
      </c>
    </row>
    <row r="13" spans="2:5" x14ac:dyDescent="0.2">
      <c r="B13" s="3" t="s">
        <v>126</v>
      </c>
      <c r="D13" s="73">
        <f>Facilities!J9</f>
        <v>500</v>
      </c>
    </row>
    <row r="14" spans="2:5" x14ac:dyDescent="0.2">
      <c r="B14" s="3" t="s">
        <v>127</v>
      </c>
      <c r="D14" s="73"/>
    </row>
    <row r="15" spans="2:5" x14ac:dyDescent="0.2">
      <c r="C15" s="61" t="s">
        <v>151</v>
      </c>
      <c r="D15" s="68"/>
    </row>
    <row r="16" spans="2:5" x14ac:dyDescent="0.2">
      <c r="C16" s="62" t="s">
        <v>128</v>
      </c>
      <c r="D16" s="69"/>
    </row>
    <row r="17" spans="2:4" x14ac:dyDescent="0.2">
      <c r="C17" s="62" t="s">
        <v>190</v>
      </c>
      <c r="D17" s="69"/>
    </row>
    <row r="18" spans="2:4" x14ac:dyDescent="0.2">
      <c r="C18" s="62" t="s">
        <v>129</v>
      </c>
      <c r="D18" s="69"/>
    </row>
    <row r="19" spans="2:4" x14ac:dyDescent="0.2">
      <c r="C19" s="62" t="s">
        <v>130</v>
      </c>
      <c r="D19" s="69"/>
    </row>
    <row r="20" spans="2:4" x14ac:dyDescent="0.2">
      <c r="C20" s="62" t="s">
        <v>133</v>
      </c>
      <c r="D20" s="69"/>
    </row>
    <row r="21" spans="2:4" x14ac:dyDescent="0.2">
      <c r="C21" s="62" t="s">
        <v>135</v>
      </c>
      <c r="D21" s="69"/>
    </row>
    <row r="22" spans="2:4" x14ac:dyDescent="0.2">
      <c r="C22" s="62" t="s">
        <v>134</v>
      </c>
      <c r="D22" s="69"/>
    </row>
    <row r="23" spans="2:4" x14ac:dyDescent="0.2">
      <c r="C23" s="62"/>
      <c r="D23" s="69"/>
    </row>
    <row r="24" spans="2:4" x14ac:dyDescent="0.2">
      <c r="C24" s="63"/>
      <c r="D24" s="70"/>
    </row>
    <row r="25" spans="2:4" x14ac:dyDescent="0.2">
      <c r="C25" s="74" t="s">
        <v>131</v>
      </c>
      <c r="D25" s="73">
        <f>SUM(D15:D24)</f>
        <v>0</v>
      </c>
    </row>
    <row r="26" spans="2:4" x14ac:dyDescent="0.2">
      <c r="D26" s="73"/>
    </row>
    <row r="27" spans="2:4" x14ac:dyDescent="0.2">
      <c r="B27" s="3" t="s">
        <v>170</v>
      </c>
      <c r="D27" s="75">
        <f>D8-D11-D12-D13-D25</f>
        <v>-7679.4464285714284</v>
      </c>
    </row>
    <row r="28" spans="2:4" x14ac:dyDescent="0.2">
      <c r="D28" s="73"/>
    </row>
    <row r="29" spans="2:4" x14ac:dyDescent="0.2">
      <c r="D29" s="73"/>
    </row>
    <row r="30" spans="2:4" x14ac:dyDescent="0.2">
      <c r="D30" s="73"/>
    </row>
    <row r="31" spans="2:4" x14ac:dyDescent="0.2">
      <c r="D31" s="73"/>
    </row>
    <row r="32" spans="2:4" x14ac:dyDescent="0.2">
      <c r="D32" s="73"/>
    </row>
    <row r="33" spans="4:4" x14ac:dyDescent="0.2">
      <c r="D33" s="73"/>
    </row>
    <row r="34" spans="4:4" x14ac:dyDescent="0.2">
      <c r="D34" s="73"/>
    </row>
    <row r="35" spans="4:4" x14ac:dyDescent="0.2">
      <c r="D35" s="73"/>
    </row>
    <row r="36" spans="4:4" x14ac:dyDescent="0.2">
      <c r="D36" s="73"/>
    </row>
  </sheetData>
  <sheetProtection password="E114" sheet="1" objects="1" scenarios="1" selectLockedCells="1"/>
  <mergeCells count="3">
    <mergeCell ref="B4:E4"/>
    <mergeCell ref="B5:E5"/>
    <mergeCell ref="B6:D6"/>
  </mergeCells>
  <hyperlinks>
    <hyperlink ref="B4:E4" location="Facilities!A1" display="Facilities, Equipment, &amp; Regulatory Costs"/>
    <hyperlink ref="B5:E5" location="'Variable Costs &amp; Pricing'!A1" display="Product(s) Variable Costs &amp; Pricing"/>
    <hyperlink ref="B6:D6" location="'Farm Fresh Equiv Pricing'!A1" display="Farm Fresh Equivalency Pricing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zoomScaleNormal="100" zoomScalePageLayoutView="125" workbookViewId="0">
      <selection activeCell="B3" sqref="B3:E3"/>
    </sheetView>
  </sheetViews>
  <sheetFormatPr defaultColWidth="8.85546875" defaultRowHeight="12.75" x14ac:dyDescent="0.2"/>
  <cols>
    <col min="1" max="1" width="5.7109375" style="3" customWidth="1"/>
    <col min="2" max="2" width="30.7109375" style="3" customWidth="1"/>
    <col min="3" max="3" width="8.85546875" style="3"/>
    <col min="4" max="4" width="5.7109375" style="3" customWidth="1"/>
    <col min="5" max="5" width="30.7109375" style="3" customWidth="1"/>
    <col min="6" max="6" width="8.85546875" style="3"/>
    <col min="7" max="7" width="5.7109375" style="3" customWidth="1"/>
    <col min="8" max="8" width="30.7109375" style="3" customWidth="1"/>
    <col min="9" max="9" width="8.85546875" style="3"/>
    <col min="10" max="10" width="5.7109375" style="3" customWidth="1"/>
    <col min="11" max="11" width="30.7109375" style="3" customWidth="1"/>
    <col min="12" max="12" width="8.85546875" style="3"/>
    <col min="13" max="13" width="5.7109375" style="3" customWidth="1"/>
    <col min="14" max="14" width="30.7109375" style="3" customWidth="1"/>
    <col min="15" max="15" width="8.85546875" style="3"/>
    <col min="16" max="16" width="5.7109375" style="3" customWidth="1"/>
    <col min="17" max="17" width="30.7109375" style="3" customWidth="1"/>
    <col min="18" max="18" width="8.85546875" style="3"/>
    <col min="19" max="19" width="5.7109375" style="3" customWidth="1"/>
    <col min="20" max="16384" width="8.85546875" style="3"/>
  </cols>
  <sheetData>
    <row r="1" spans="2:18" x14ac:dyDescent="0.2">
      <c r="B1" s="9" t="s">
        <v>152</v>
      </c>
    </row>
    <row r="2" spans="2:18" s="81" customFormat="1" x14ac:dyDescent="0.2">
      <c r="B2" s="90" t="s">
        <v>162</v>
      </c>
      <c r="C2" s="94"/>
      <c r="D2" s="94"/>
      <c r="E2" s="94"/>
    </row>
    <row r="3" spans="2:18" s="81" customFormat="1" x14ac:dyDescent="0.2">
      <c r="B3" s="134" t="s">
        <v>166</v>
      </c>
      <c r="C3" s="134"/>
      <c r="D3" s="134"/>
      <c r="E3" s="134"/>
    </row>
    <row r="4" spans="2:18" s="81" customFormat="1" x14ac:dyDescent="0.2">
      <c r="B4" s="126" t="s">
        <v>167</v>
      </c>
      <c r="C4" s="126"/>
      <c r="D4" s="126"/>
      <c r="E4" s="126"/>
    </row>
    <row r="5" spans="2:18" s="81" customFormat="1" x14ac:dyDescent="0.2">
      <c r="B5" s="127" t="s">
        <v>171</v>
      </c>
      <c r="C5" s="127"/>
      <c r="D5" s="127"/>
      <c r="E5" s="94"/>
    </row>
    <row r="7" spans="2:18" x14ac:dyDescent="0.2">
      <c r="B7" s="76" t="str">
        <f>'Variable Costs &amp; Pricing'!E9</f>
        <v xml:space="preserve"> </v>
      </c>
      <c r="C7" s="76" t="s">
        <v>110</v>
      </c>
      <c r="D7" s="76"/>
      <c r="E7" s="76" t="str">
        <f>'Variable Costs &amp; Pricing'!I9</f>
        <v xml:space="preserve"> </v>
      </c>
      <c r="F7" s="76" t="s">
        <v>110</v>
      </c>
      <c r="G7" s="76"/>
      <c r="H7" s="76" t="str">
        <f>'Variable Costs &amp; Pricing'!M9</f>
        <v xml:space="preserve"> </v>
      </c>
      <c r="I7" s="76" t="s">
        <v>110</v>
      </c>
      <c r="J7" s="76"/>
      <c r="K7" s="76" t="str">
        <f>'Variable Costs &amp; Pricing'!Q9</f>
        <v xml:space="preserve"> </v>
      </c>
      <c r="L7" s="76" t="s">
        <v>110</v>
      </c>
      <c r="M7" s="76"/>
      <c r="N7" s="76" t="str">
        <f>'Variable Costs &amp; Pricing'!U9</f>
        <v xml:space="preserve"> </v>
      </c>
      <c r="O7" s="76" t="s">
        <v>110</v>
      </c>
      <c r="P7" s="76"/>
      <c r="Q7" s="76" t="str">
        <f>'Variable Costs &amp; Pricing'!Y9</f>
        <v xml:space="preserve"> </v>
      </c>
      <c r="R7" s="76" t="s">
        <v>110</v>
      </c>
    </row>
    <row r="8" spans="2:18" x14ac:dyDescent="0.2">
      <c r="B8" s="12" t="str">
        <f>IF('Variable Costs &amp; Pricing'!F10="Yes",'Variable Costs &amp; Pricing'!E10," ")</f>
        <v xml:space="preserve"> </v>
      </c>
      <c r="C8" s="77">
        <f>IF('Variable Costs &amp; Pricing'!F10="Yes",'Variable Costs &amp; Pricing'!G10,)</f>
        <v>0</v>
      </c>
      <c r="E8" s="12" t="str">
        <f>IF('Variable Costs &amp; Pricing'!J10="Yes",'Variable Costs &amp; Pricing'!I10, " ")</f>
        <v xml:space="preserve"> </v>
      </c>
      <c r="F8" s="77">
        <f>IF('Variable Costs &amp; Pricing'!J10="Yes",'Variable Costs &amp; Pricing'!K10,)</f>
        <v>0</v>
      </c>
      <c r="H8" s="12" t="str">
        <f>IF('Variable Costs &amp; Pricing'!N10="Yes",'Variable Costs &amp; Pricing'!M10," ")</f>
        <v xml:space="preserve"> </v>
      </c>
      <c r="I8" s="77">
        <f>IF('Variable Costs &amp; Pricing'!N10="Yes",'Variable Costs &amp; Pricing'!O10,)</f>
        <v>0</v>
      </c>
      <c r="K8" s="12" t="str">
        <f>IF('Variable Costs &amp; Pricing'!R10="Yes",'Variable Costs &amp; Pricing'!Q10," ")</f>
        <v xml:space="preserve"> </v>
      </c>
      <c r="L8" s="77">
        <f>IF('Variable Costs &amp; Pricing'!R10="Yes",'Variable Costs &amp; Pricing'!S10,)</f>
        <v>0</v>
      </c>
      <c r="N8" s="12" t="str">
        <f>IF('Variable Costs &amp; Pricing'!V10="Yes",'Variable Costs &amp; Pricing'!U10," ")</f>
        <v xml:space="preserve"> </v>
      </c>
      <c r="O8" s="77">
        <f>IF('Variable Costs &amp; Pricing'!V10="Yes",'Variable Costs &amp; Pricing'!W10,)</f>
        <v>0</v>
      </c>
      <c r="Q8" s="12" t="str">
        <f>IF('Variable Costs &amp; Pricing'!Z10="Yes",'Variable Costs &amp; Pricing'!Y10," ")</f>
        <v xml:space="preserve"> </v>
      </c>
      <c r="R8" s="77">
        <f>IF('Variable Costs &amp; Pricing'!Z10="Yes",'Variable Costs &amp; Pricing'!AA10,)</f>
        <v>0</v>
      </c>
    </row>
    <row r="9" spans="2:18" x14ac:dyDescent="0.2">
      <c r="B9" s="17" t="str">
        <f>IF('Variable Costs &amp; Pricing'!F11="Yes",'Variable Costs &amp; Pricing'!E11," ")</f>
        <v xml:space="preserve"> </v>
      </c>
      <c r="C9" s="56">
        <f>IF('Variable Costs &amp; Pricing'!F11="Yes",'Variable Costs &amp; Pricing'!G11,)</f>
        <v>0</v>
      </c>
      <c r="E9" s="17" t="str">
        <f>IF('Variable Costs &amp; Pricing'!J11="Yes",'Variable Costs &amp; Pricing'!I11, " ")</f>
        <v xml:space="preserve"> </v>
      </c>
      <c r="F9" s="56">
        <f>IF('Variable Costs &amp; Pricing'!J11="Yes",'Variable Costs &amp; Pricing'!K11,)</f>
        <v>0</v>
      </c>
      <c r="H9" s="17" t="str">
        <f>IF('Variable Costs &amp; Pricing'!N11="Yes",'Variable Costs &amp; Pricing'!M11," ")</f>
        <v xml:space="preserve"> </v>
      </c>
      <c r="I9" s="56">
        <f>IF('Variable Costs &amp; Pricing'!N11="Yes",'Variable Costs &amp; Pricing'!O11,)</f>
        <v>0</v>
      </c>
      <c r="K9" s="17" t="str">
        <f>IF('Variable Costs &amp; Pricing'!R11="Yes",'Variable Costs &amp; Pricing'!Q11," ")</f>
        <v xml:space="preserve"> </v>
      </c>
      <c r="L9" s="56">
        <f>IF('Variable Costs &amp; Pricing'!R11="Yes",'Variable Costs &amp; Pricing'!S11,)</f>
        <v>0</v>
      </c>
      <c r="N9" s="17" t="str">
        <f>IF('Variable Costs &amp; Pricing'!V11="Yes",'Variable Costs &amp; Pricing'!U11," ")</f>
        <v xml:space="preserve"> </v>
      </c>
      <c r="O9" s="56">
        <f>IF('Variable Costs &amp; Pricing'!V11="Yes",'Variable Costs &amp; Pricing'!W11,)</f>
        <v>0</v>
      </c>
      <c r="Q9" s="17" t="str">
        <f>IF('Variable Costs &amp; Pricing'!Z11="Yes",'Variable Costs &amp; Pricing'!Y11," ")</f>
        <v xml:space="preserve"> </v>
      </c>
      <c r="R9" s="56">
        <f>IF('Variable Costs &amp; Pricing'!Z11="Yes",'Variable Costs &amp; Pricing'!AA11,)</f>
        <v>0</v>
      </c>
    </row>
    <row r="10" spans="2:18" x14ac:dyDescent="0.2">
      <c r="B10" s="17" t="str">
        <f>IF('Variable Costs &amp; Pricing'!F12="Yes",'Variable Costs &amp; Pricing'!E12," ")</f>
        <v xml:space="preserve"> </v>
      </c>
      <c r="C10" s="56">
        <f>IF('Variable Costs &amp; Pricing'!F12="Yes",'Variable Costs &amp; Pricing'!G12,)</f>
        <v>0</v>
      </c>
      <c r="E10" s="17" t="str">
        <f>IF('Variable Costs &amp; Pricing'!J12="Yes",'Variable Costs &amp; Pricing'!I12, " ")</f>
        <v xml:space="preserve"> </v>
      </c>
      <c r="F10" s="56">
        <f>IF('Variable Costs &amp; Pricing'!J12="Yes",'Variable Costs &amp; Pricing'!K12,)</f>
        <v>0</v>
      </c>
      <c r="H10" s="17" t="str">
        <f>IF('Variable Costs &amp; Pricing'!N12="Yes",'Variable Costs &amp; Pricing'!M12," ")</f>
        <v xml:space="preserve"> </v>
      </c>
      <c r="I10" s="56">
        <f>IF('Variable Costs &amp; Pricing'!N12="Yes",'Variable Costs &amp; Pricing'!O12,)</f>
        <v>0</v>
      </c>
      <c r="K10" s="17" t="str">
        <f>IF('Variable Costs &amp; Pricing'!R12="Yes",'Variable Costs &amp; Pricing'!Q12," ")</f>
        <v xml:space="preserve"> </v>
      </c>
      <c r="L10" s="56">
        <f>IF('Variable Costs &amp; Pricing'!R12="Yes",'Variable Costs &amp; Pricing'!S12,)</f>
        <v>0</v>
      </c>
      <c r="N10" s="17" t="str">
        <f>IF('Variable Costs &amp; Pricing'!V12="Yes",'Variable Costs &amp; Pricing'!U12," ")</f>
        <v xml:space="preserve"> </v>
      </c>
      <c r="O10" s="56">
        <f>IF('Variable Costs &amp; Pricing'!V12="Yes",'Variable Costs &amp; Pricing'!W12,)</f>
        <v>0</v>
      </c>
      <c r="Q10" s="17" t="str">
        <f>IF('Variable Costs &amp; Pricing'!Z12="Yes",'Variable Costs &amp; Pricing'!Y12," ")</f>
        <v xml:space="preserve"> </v>
      </c>
      <c r="R10" s="56">
        <f>IF('Variable Costs &amp; Pricing'!Z12="Yes",'Variable Costs &amp; Pricing'!AA12,)</f>
        <v>0</v>
      </c>
    </row>
    <row r="11" spans="2:18" x14ac:dyDescent="0.2">
      <c r="B11" s="17" t="str">
        <f>IF('Variable Costs &amp; Pricing'!F13="Yes",'Variable Costs &amp; Pricing'!E13," ")</f>
        <v xml:space="preserve"> </v>
      </c>
      <c r="C11" s="56">
        <f>IF('Variable Costs &amp; Pricing'!F13="Yes",'Variable Costs &amp; Pricing'!G13,)</f>
        <v>0</v>
      </c>
      <c r="E11" s="17" t="str">
        <f>IF('Variable Costs &amp; Pricing'!J13="Yes",'Variable Costs &amp; Pricing'!I13, " ")</f>
        <v xml:space="preserve"> </v>
      </c>
      <c r="F11" s="56">
        <f>IF('Variable Costs &amp; Pricing'!J13="Yes",'Variable Costs &amp; Pricing'!K13,)</f>
        <v>0</v>
      </c>
      <c r="H11" s="17" t="str">
        <f>IF('Variable Costs &amp; Pricing'!N13="Yes",'Variable Costs &amp; Pricing'!M13," ")</f>
        <v xml:space="preserve"> </v>
      </c>
      <c r="I11" s="56">
        <f>IF('Variable Costs &amp; Pricing'!N13="Yes",'Variable Costs &amp; Pricing'!O13,)</f>
        <v>0</v>
      </c>
      <c r="K11" s="17" t="str">
        <f>IF('Variable Costs &amp; Pricing'!R13="Yes",'Variable Costs &amp; Pricing'!Q13," ")</f>
        <v xml:space="preserve"> </v>
      </c>
      <c r="L11" s="56">
        <f>IF('Variable Costs &amp; Pricing'!R13="Yes",'Variable Costs &amp; Pricing'!S13,)</f>
        <v>0</v>
      </c>
      <c r="N11" s="17" t="str">
        <f>IF('Variable Costs &amp; Pricing'!V13="Yes",'Variable Costs &amp; Pricing'!U13," ")</f>
        <v xml:space="preserve"> </v>
      </c>
      <c r="O11" s="56">
        <f>IF('Variable Costs &amp; Pricing'!V13="Yes",'Variable Costs &amp; Pricing'!W13,)</f>
        <v>0</v>
      </c>
      <c r="Q11" s="17" t="str">
        <f>IF('Variable Costs &amp; Pricing'!Z13="Yes",'Variable Costs &amp; Pricing'!Y13," ")</f>
        <v xml:space="preserve"> </v>
      </c>
      <c r="R11" s="56">
        <f>IF('Variable Costs &amp; Pricing'!Z13="Yes",'Variable Costs &amp; Pricing'!AA13,)</f>
        <v>0</v>
      </c>
    </row>
    <row r="12" spans="2:18" x14ac:dyDescent="0.2">
      <c r="B12" s="17" t="str">
        <f>IF('Variable Costs &amp; Pricing'!F14="Yes",'Variable Costs &amp; Pricing'!E14," ")</f>
        <v xml:space="preserve"> </v>
      </c>
      <c r="C12" s="56">
        <f>IF('Variable Costs &amp; Pricing'!F14="Yes",'Variable Costs &amp; Pricing'!G14,)</f>
        <v>0</v>
      </c>
      <c r="E12" s="17" t="str">
        <f>IF('Variable Costs &amp; Pricing'!J14="Yes",'Variable Costs &amp; Pricing'!I14, " ")</f>
        <v xml:space="preserve"> </v>
      </c>
      <c r="F12" s="56">
        <f>IF('Variable Costs &amp; Pricing'!J14="Yes",'Variable Costs &amp; Pricing'!K14,)</f>
        <v>0</v>
      </c>
      <c r="H12" s="17" t="str">
        <f>IF('Variable Costs &amp; Pricing'!N14="Yes",'Variable Costs &amp; Pricing'!M14," ")</f>
        <v xml:space="preserve"> </v>
      </c>
      <c r="I12" s="56">
        <f>IF('Variable Costs &amp; Pricing'!N14="Yes",'Variable Costs &amp; Pricing'!O14,)</f>
        <v>0</v>
      </c>
      <c r="K12" s="17" t="str">
        <f>IF('Variable Costs &amp; Pricing'!R14="Yes",'Variable Costs &amp; Pricing'!Q14," ")</f>
        <v xml:space="preserve"> </v>
      </c>
      <c r="L12" s="56">
        <f>IF('Variable Costs &amp; Pricing'!R14="Yes",'Variable Costs &amp; Pricing'!S14,)</f>
        <v>0</v>
      </c>
      <c r="N12" s="17" t="str">
        <f>IF('Variable Costs &amp; Pricing'!V14="Yes",'Variable Costs &amp; Pricing'!U14," ")</f>
        <v xml:space="preserve"> </v>
      </c>
      <c r="O12" s="56">
        <f>IF('Variable Costs &amp; Pricing'!V14="Yes",'Variable Costs &amp; Pricing'!W14,)</f>
        <v>0</v>
      </c>
      <c r="Q12" s="17" t="str">
        <f>IF('Variable Costs &amp; Pricing'!Z14="Yes",'Variable Costs &amp; Pricing'!Y14," ")</f>
        <v xml:space="preserve"> </v>
      </c>
      <c r="R12" s="56">
        <f>IF('Variable Costs &amp; Pricing'!Z14="Yes",'Variable Costs &amp; Pricing'!AA14,)</f>
        <v>0</v>
      </c>
    </row>
    <row r="13" spans="2:18" x14ac:dyDescent="0.2">
      <c r="B13" s="17" t="str">
        <f>IF('Variable Costs &amp; Pricing'!F15="Yes",'Variable Costs &amp; Pricing'!E15," ")</f>
        <v xml:space="preserve"> </v>
      </c>
      <c r="C13" s="56">
        <f>IF('Variable Costs &amp; Pricing'!F15="Yes",'Variable Costs &amp; Pricing'!G15,)</f>
        <v>0</v>
      </c>
      <c r="E13" s="17" t="str">
        <f>IF('Variable Costs &amp; Pricing'!J15="Yes",'Variable Costs &amp; Pricing'!I15, " ")</f>
        <v xml:space="preserve"> </v>
      </c>
      <c r="F13" s="56">
        <f>IF('Variable Costs &amp; Pricing'!J15="Yes",'Variable Costs &amp; Pricing'!K15,)</f>
        <v>0</v>
      </c>
      <c r="H13" s="17" t="str">
        <f>IF('Variable Costs &amp; Pricing'!N15="Yes",'Variable Costs &amp; Pricing'!M15," ")</f>
        <v xml:space="preserve"> </v>
      </c>
      <c r="I13" s="56">
        <f>IF('Variable Costs &amp; Pricing'!N15="Yes",'Variable Costs &amp; Pricing'!O15,)</f>
        <v>0</v>
      </c>
      <c r="K13" s="17" t="str">
        <f>IF('Variable Costs &amp; Pricing'!R15="Yes",'Variable Costs &amp; Pricing'!Q15," ")</f>
        <v xml:space="preserve"> </v>
      </c>
      <c r="L13" s="56">
        <f>IF('Variable Costs &amp; Pricing'!R15="Yes",'Variable Costs &amp; Pricing'!S15,)</f>
        <v>0</v>
      </c>
      <c r="N13" s="17" t="str">
        <f>IF('Variable Costs &amp; Pricing'!V15="Yes",'Variable Costs &amp; Pricing'!U15," ")</f>
        <v xml:space="preserve"> </v>
      </c>
      <c r="O13" s="56">
        <f>IF('Variable Costs &amp; Pricing'!V15="Yes",'Variable Costs &amp; Pricing'!W15,)</f>
        <v>0</v>
      </c>
      <c r="Q13" s="17" t="str">
        <f>IF('Variable Costs &amp; Pricing'!Z15="Yes",'Variable Costs &amp; Pricing'!Y15," ")</f>
        <v xml:space="preserve"> </v>
      </c>
      <c r="R13" s="56">
        <f>IF('Variable Costs &amp; Pricing'!Z15="Yes",'Variable Costs &amp; Pricing'!AA15,)</f>
        <v>0</v>
      </c>
    </row>
    <row r="14" spans="2:18" x14ac:dyDescent="0.2">
      <c r="B14" s="17" t="str">
        <f>IF('Variable Costs &amp; Pricing'!F16="Yes",'Variable Costs &amp; Pricing'!E16," ")</f>
        <v xml:space="preserve"> </v>
      </c>
      <c r="C14" s="56">
        <f>IF('Variable Costs &amp; Pricing'!F16="Yes",'Variable Costs &amp; Pricing'!G16,)</f>
        <v>0</v>
      </c>
      <c r="E14" s="17" t="str">
        <f>IF('Variable Costs &amp; Pricing'!J16="Yes",'Variable Costs &amp; Pricing'!I16, " ")</f>
        <v xml:space="preserve"> </v>
      </c>
      <c r="F14" s="56">
        <f>IF('Variable Costs &amp; Pricing'!J16="Yes",'Variable Costs &amp; Pricing'!K16,)</f>
        <v>0</v>
      </c>
      <c r="H14" s="17" t="str">
        <f>IF('Variable Costs &amp; Pricing'!N16="Yes",'Variable Costs &amp; Pricing'!M16," ")</f>
        <v xml:space="preserve"> </v>
      </c>
      <c r="I14" s="56">
        <f>IF('Variable Costs &amp; Pricing'!N16="Yes",'Variable Costs &amp; Pricing'!O16,)</f>
        <v>0</v>
      </c>
      <c r="K14" s="17" t="str">
        <f>IF('Variable Costs &amp; Pricing'!R16="Yes",'Variable Costs &amp; Pricing'!Q16," ")</f>
        <v xml:space="preserve"> </v>
      </c>
      <c r="L14" s="56">
        <f>IF('Variable Costs &amp; Pricing'!R16="Yes",'Variable Costs &amp; Pricing'!S16,)</f>
        <v>0</v>
      </c>
      <c r="N14" s="17" t="str">
        <f>IF('Variable Costs &amp; Pricing'!V16="Yes",'Variable Costs &amp; Pricing'!U16," ")</f>
        <v xml:space="preserve"> </v>
      </c>
      <c r="O14" s="56">
        <f>IF('Variable Costs &amp; Pricing'!V16="Yes",'Variable Costs &amp; Pricing'!W16,)</f>
        <v>0</v>
      </c>
      <c r="Q14" s="17" t="str">
        <f>IF('Variable Costs &amp; Pricing'!Z16="Yes",'Variable Costs &amp; Pricing'!Y16," ")</f>
        <v xml:space="preserve"> </v>
      </c>
      <c r="R14" s="56">
        <f>IF('Variable Costs &amp; Pricing'!Z16="Yes",'Variable Costs &amp; Pricing'!AA16,)</f>
        <v>0</v>
      </c>
    </row>
    <row r="15" spans="2:18" x14ac:dyDescent="0.2">
      <c r="B15" s="17" t="str">
        <f>IF('Variable Costs &amp; Pricing'!F17="Yes",'Variable Costs &amp; Pricing'!E17," ")</f>
        <v xml:space="preserve"> </v>
      </c>
      <c r="C15" s="56">
        <f>IF('Variable Costs &amp; Pricing'!F17="Yes",'Variable Costs &amp; Pricing'!G17,)</f>
        <v>0</v>
      </c>
      <c r="E15" s="17" t="str">
        <f>IF('Variable Costs &amp; Pricing'!J17="Yes",'Variable Costs &amp; Pricing'!I17, " ")</f>
        <v xml:space="preserve"> </v>
      </c>
      <c r="F15" s="56">
        <f>IF('Variable Costs &amp; Pricing'!J17="Yes",'Variable Costs &amp; Pricing'!K17,)</f>
        <v>0</v>
      </c>
      <c r="H15" s="17" t="str">
        <f>IF('Variable Costs &amp; Pricing'!N17="Yes",'Variable Costs &amp; Pricing'!M17," ")</f>
        <v xml:space="preserve"> </v>
      </c>
      <c r="I15" s="56">
        <f>IF('Variable Costs &amp; Pricing'!N17="Yes",'Variable Costs &amp; Pricing'!O17,)</f>
        <v>0</v>
      </c>
      <c r="K15" s="17" t="str">
        <f>IF('Variable Costs &amp; Pricing'!R17="Yes",'Variable Costs &amp; Pricing'!Q17," ")</f>
        <v xml:space="preserve"> </v>
      </c>
      <c r="L15" s="56">
        <f>IF('Variable Costs &amp; Pricing'!R17="Yes",'Variable Costs &amp; Pricing'!S17,)</f>
        <v>0</v>
      </c>
      <c r="N15" s="17" t="str">
        <f>IF('Variable Costs &amp; Pricing'!V17="Yes",'Variable Costs &amp; Pricing'!U17," ")</f>
        <v xml:space="preserve"> </v>
      </c>
      <c r="O15" s="56">
        <f>IF('Variable Costs &amp; Pricing'!V17="Yes",'Variable Costs &amp; Pricing'!W17,)</f>
        <v>0</v>
      </c>
      <c r="Q15" s="17" t="str">
        <f>IF('Variable Costs &amp; Pricing'!Z17="Yes",'Variable Costs &amp; Pricing'!Y17," ")</f>
        <v xml:space="preserve"> </v>
      </c>
      <c r="R15" s="56">
        <f>IF('Variable Costs &amp; Pricing'!Z17="Yes",'Variable Costs &amp; Pricing'!AA17,)</f>
        <v>0</v>
      </c>
    </row>
    <row r="16" spans="2:18" x14ac:dyDescent="0.2">
      <c r="B16" s="17" t="str">
        <f>IF('Variable Costs &amp; Pricing'!F18="Yes",'Variable Costs &amp; Pricing'!E18," ")</f>
        <v xml:space="preserve"> </v>
      </c>
      <c r="C16" s="56">
        <f>IF('Variable Costs &amp; Pricing'!F18="Yes",'Variable Costs &amp; Pricing'!G18,)</f>
        <v>0</v>
      </c>
      <c r="E16" s="17" t="str">
        <f>IF('Variable Costs &amp; Pricing'!J18="Yes",'Variable Costs &amp; Pricing'!I18, " ")</f>
        <v xml:space="preserve"> </v>
      </c>
      <c r="F16" s="56">
        <f>IF('Variable Costs &amp; Pricing'!J18="Yes",'Variable Costs &amp; Pricing'!K18,)</f>
        <v>0</v>
      </c>
      <c r="H16" s="17" t="str">
        <f>IF('Variable Costs &amp; Pricing'!N18="Yes",'Variable Costs &amp; Pricing'!M18," ")</f>
        <v xml:space="preserve"> </v>
      </c>
      <c r="I16" s="56">
        <f>IF('Variable Costs &amp; Pricing'!N18="Yes",'Variable Costs &amp; Pricing'!O18,)</f>
        <v>0</v>
      </c>
      <c r="K16" s="17" t="str">
        <f>IF('Variable Costs &amp; Pricing'!R18="Yes",'Variable Costs &amp; Pricing'!Q18," ")</f>
        <v xml:space="preserve"> </v>
      </c>
      <c r="L16" s="56">
        <f>IF('Variable Costs &amp; Pricing'!R18="Yes",'Variable Costs &amp; Pricing'!S18,)</f>
        <v>0</v>
      </c>
      <c r="N16" s="17" t="str">
        <f>IF('Variable Costs &amp; Pricing'!V18="Yes",'Variable Costs &amp; Pricing'!U18," ")</f>
        <v xml:space="preserve"> </v>
      </c>
      <c r="O16" s="56">
        <f>IF('Variable Costs &amp; Pricing'!V18="Yes",'Variable Costs &amp; Pricing'!W18,)</f>
        <v>0</v>
      </c>
      <c r="Q16" s="17" t="str">
        <f>IF('Variable Costs &amp; Pricing'!Z18="Yes",'Variable Costs &amp; Pricing'!Y18," ")</f>
        <v xml:space="preserve"> </v>
      </c>
      <c r="R16" s="56">
        <f>IF('Variable Costs &amp; Pricing'!Z18="Yes",'Variable Costs &amp; Pricing'!AA18,)</f>
        <v>0</v>
      </c>
    </row>
    <row r="17" spans="2:19" x14ac:dyDescent="0.2">
      <c r="B17" s="17" t="str">
        <f>IF('Variable Costs &amp; Pricing'!F19="Yes",'Variable Costs &amp; Pricing'!E19," ")</f>
        <v xml:space="preserve"> </v>
      </c>
      <c r="C17" s="56">
        <f>IF('Variable Costs &amp; Pricing'!F19="Yes",'Variable Costs &amp; Pricing'!G19,)</f>
        <v>0</v>
      </c>
      <c r="E17" s="17" t="str">
        <f>IF('Variable Costs &amp; Pricing'!J19="Yes",'Variable Costs &amp; Pricing'!I19, " ")</f>
        <v xml:space="preserve"> </v>
      </c>
      <c r="F17" s="56">
        <f>IF('Variable Costs &amp; Pricing'!J19="Yes",'Variable Costs &amp; Pricing'!K19,)</f>
        <v>0</v>
      </c>
      <c r="H17" s="17" t="str">
        <f>IF('Variable Costs &amp; Pricing'!N19="Yes",'Variable Costs &amp; Pricing'!M19," ")</f>
        <v xml:space="preserve"> </v>
      </c>
      <c r="I17" s="56">
        <f>IF('Variable Costs &amp; Pricing'!N19="Yes",'Variable Costs &amp; Pricing'!O19,)</f>
        <v>0</v>
      </c>
      <c r="K17" s="17" t="str">
        <f>IF('Variable Costs &amp; Pricing'!R19="Yes",'Variable Costs &amp; Pricing'!Q19," ")</f>
        <v xml:space="preserve"> </v>
      </c>
      <c r="L17" s="56">
        <f>IF('Variable Costs &amp; Pricing'!R19="Yes",'Variable Costs &amp; Pricing'!S19,)</f>
        <v>0</v>
      </c>
      <c r="N17" s="17" t="str">
        <f>IF('Variable Costs &amp; Pricing'!V19="Yes",'Variable Costs &amp; Pricing'!U19," ")</f>
        <v xml:space="preserve"> </v>
      </c>
      <c r="O17" s="56">
        <f>IF('Variable Costs &amp; Pricing'!V19="Yes",'Variable Costs &amp; Pricing'!W19,)</f>
        <v>0</v>
      </c>
      <c r="Q17" s="17" t="str">
        <f>IF('Variable Costs &amp; Pricing'!Z19="Yes",'Variable Costs &amp; Pricing'!Y19," ")</f>
        <v xml:space="preserve"> </v>
      </c>
      <c r="R17" s="56">
        <f>IF('Variable Costs &amp; Pricing'!Z19="Yes",'Variable Costs &amp; Pricing'!AA19,)</f>
        <v>0</v>
      </c>
    </row>
    <row r="18" spans="2:19" x14ac:dyDescent="0.2">
      <c r="B18" s="17" t="str">
        <f>IF('Variable Costs &amp; Pricing'!F20="Yes",'Variable Costs &amp; Pricing'!E20," ")</f>
        <v xml:space="preserve"> </v>
      </c>
      <c r="C18" s="56">
        <f>IF('Variable Costs &amp; Pricing'!F20="Yes",'Variable Costs &amp; Pricing'!G20,)</f>
        <v>0</v>
      </c>
      <c r="E18" s="17" t="str">
        <f>IF('Variable Costs &amp; Pricing'!J20="Yes",'Variable Costs &amp; Pricing'!I20, " ")</f>
        <v xml:space="preserve"> </v>
      </c>
      <c r="F18" s="56">
        <f>IF('Variable Costs &amp; Pricing'!J20="Yes",'Variable Costs &amp; Pricing'!K20,)</f>
        <v>0</v>
      </c>
      <c r="H18" s="17" t="str">
        <f>IF('Variable Costs &amp; Pricing'!N20="Yes",'Variable Costs &amp; Pricing'!M20," ")</f>
        <v xml:space="preserve"> </v>
      </c>
      <c r="I18" s="56">
        <f>IF('Variable Costs &amp; Pricing'!N20="Yes",'Variable Costs &amp; Pricing'!O20,)</f>
        <v>0</v>
      </c>
      <c r="K18" s="17" t="str">
        <f>IF('Variable Costs &amp; Pricing'!R20="Yes",'Variable Costs &amp; Pricing'!Q20," ")</f>
        <v xml:space="preserve"> </v>
      </c>
      <c r="L18" s="56">
        <f>IF('Variable Costs &amp; Pricing'!R20="Yes",'Variable Costs &amp; Pricing'!S20,)</f>
        <v>0</v>
      </c>
      <c r="N18" s="17" t="str">
        <f>IF('Variable Costs &amp; Pricing'!V20="Yes",'Variable Costs &amp; Pricing'!U20," ")</f>
        <v xml:space="preserve"> </v>
      </c>
      <c r="O18" s="56">
        <f>IF('Variable Costs &amp; Pricing'!V20="Yes",'Variable Costs &amp; Pricing'!W20,)</f>
        <v>0</v>
      </c>
      <c r="Q18" s="17" t="str">
        <f>IF('Variable Costs &amp; Pricing'!Z20="Yes",'Variable Costs &amp; Pricing'!Y20," ")</f>
        <v xml:space="preserve"> </v>
      </c>
      <c r="R18" s="56">
        <f>IF('Variable Costs &amp; Pricing'!Z20="Yes",'Variable Costs &amp; Pricing'!AA20,)</f>
        <v>0</v>
      </c>
    </row>
    <row r="19" spans="2:19" x14ac:dyDescent="0.2">
      <c r="B19" s="17" t="str">
        <f>IF('Variable Costs &amp; Pricing'!F21="Yes",'Variable Costs &amp; Pricing'!E21," ")</f>
        <v xml:space="preserve"> </v>
      </c>
      <c r="C19" s="56">
        <f>IF('Variable Costs &amp; Pricing'!F21="Yes",'Variable Costs &amp; Pricing'!G21,)</f>
        <v>0</v>
      </c>
      <c r="E19" s="17" t="str">
        <f>IF('Variable Costs &amp; Pricing'!J21="Yes",'Variable Costs &amp; Pricing'!I21, " ")</f>
        <v xml:space="preserve"> </v>
      </c>
      <c r="F19" s="56">
        <f>IF('Variable Costs &amp; Pricing'!J21="Yes",'Variable Costs &amp; Pricing'!K21,)</f>
        <v>0</v>
      </c>
      <c r="H19" s="17" t="str">
        <f>IF('Variable Costs &amp; Pricing'!N21="Yes",'Variable Costs &amp; Pricing'!M21," ")</f>
        <v xml:space="preserve"> </v>
      </c>
      <c r="I19" s="56">
        <f>IF('Variable Costs &amp; Pricing'!N21="Yes",'Variable Costs &amp; Pricing'!O21,)</f>
        <v>0</v>
      </c>
      <c r="K19" s="17" t="str">
        <f>IF('Variable Costs &amp; Pricing'!R21="Yes",'Variable Costs &amp; Pricing'!Q21," ")</f>
        <v xml:space="preserve"> </v>
      </c>
      <c r="L19" s="56">
        <f>IF('Variable Costs &amp; Pricing'!R21="Yes",'Variable Costs &amp; Pricing'!S21,)</f>
        <v>0</v>
      </c>
      <c r="N19" s="17" t="str">
        <f>IF('Variable Costs &amp; Pricing'!V21="Yes",'Variable Costs &amp; Pricing'!U21," ")</f>
        <v xml:space="preserve"> </v>
      </c>
      <c r="O19" s="56">
        <f>IF('Variable Costs &amp; Pricing'!V21="Yes",'Variable Costs &amp; Pricing'!W21,)</f>
        <v>0</v>
      </c>
      <c r="Q19" s="17" t="str">
        <f>IF('Variable Costs &amp; Pricing'!Z21="Yes",'Variable Costs &amp; Pricing'!Y21," ")</f>
        <v xml:space="preserve"> </v>
      </c>
      <c r="R19" s="56">
        <f>IF('Variable Costs &amp; Pricing'!Z21="Yes",'Variable Costs &amp; Pricing'!AA21,)</f>
        <v>0</v>
      </c>
    </row>
    <row r="20" spans="2:19" x14ac:dyDescent="0.2">
      <c r="B20" s="17" t="str">
        <f>IF('Variable Costs &amp; Pricing'!F22="Yes",'Variable Costs &amp; Pricing'!E22," ")</f>
        <v xml:space="preserve"> </v>
      </c>
      <c r="C20" s="56">
        <f>IF('Variable Costs &amp; Pricing'!F22="Yes",'Variable Costs &amp; Pricing'!G22,)</f>
        <v>0</v>
      </c>
      <c r="E20" s="17" t="str">
        <f>IF('Variable Costs &amp; Pricing'!J22="Yes",'Variable Costs &amp; Pricing'!I22, " ")</f>
        <v xml:space="preserve"> </v>
      </c>
      <c r="F20" s="56">
        <f>IF('Variable Costs &amp; Pricing'!J22="Yes",'Variable Costs &amp; Pricing'!K22,)</f>
        <v>0</v>
      </c>
      <c r="H20" s="17" t="str">
        <f>IF('Variable Costs &amp; Pricing'!N22="Yes",'Variable Costs &amp; Pricing'!M22," ")</f>
        <v xml:space="preserve"> </v>
      </c>
      <c r="I20" s="56">
        <f>IF('Variable Costs &amp; Pricing'!N22="Yes",'Variable Costs &amp; Pricing'!O22,)</f>
        <v>0</v>
      </c>
      <c r="K20" s="17" t="str">
        <f>IF('Variable Costs &amp; Pricing'!R22="Yes",'Variable Costs &amp; Pricing'!Q22," ")</f>
        <v xml:space="preserve"> </v>
      </c>
      <c r="L20" s="56">
        <f>IF('Variable Costs &amp; Pricing'!R22="Yes",'Variable Costs &amp; Pricing'!S22,)</f>
        <v>0</v>
      </c>
      <c r="N20" s="17" t="str">
        <f>IF('Variable Costs &amp; Pricing'!V22="Yes",'Variable Costs &amp; Pricing'!U22," ")</f>
        <v xml:space="preserve"> </v>
      </c>
      <c r="O20" s="56">
        <f>IF('Variable Costs &amp; Pricing'!V22="Yes",'Variable Costs &amp; Pricing'!W22,)</f>
        <v>0</v>
      </c>
      <c r="Q20" s="17" t="str">
        <f>IF('Variable Costs &amp; Pricing'!Z22="Yes",'Variable Costs &amp; Pricing'!Y22," ")</f>
        <v xml:space="preserve"> </v>
      </c>
      <c r="R20" s="56">
        <f>IF('Variable Costs &amp; Pricing'!Z22="Yes",'Variable Costs &amp; Pricing'!AA22,)</f>
        <v>0</v>
      </c>
    </row>
    <row r="21" spans="2:19" x14ac:dyDescent="0.2">
      <c r="B21" s="17" t="str">
        <f>IF('Variable Costs &amp; Pricing'!F23="Yes",'Variable Costs &amp; Pricing'!E23," ")</f>
        <v xml:space="preserve"> </v>
      </c>
      <c r="C21" s="56">
        <f>IF('Variable Costs &amp; Pricing'!F23="Yes",'Variable Costs &amp; Pricing'!G23,)</f>
        <v>0</v>
      </c>
      <c r="E21" s="17" t="str">
        <f>IF('Variable Costs &amp; Pricing'!J23="Yes",'Variable Costs &amp; Pricing'!I23, " ")</f>
        <v xml:space="preserve"> </v>
      </c>
      <c r="F21" s="56">
        <f>IF('Variable Costs &amp; Pricing'!J23="Yes",'Variable Costs &amp; Pricing'!K23,)</f>
        <v>0</v>
      </c>
      <c r="H21" s="17" t="str">
        <f>IF('Variable Costs &amp; Pricing'!N23="Yes",'Variable Costs &amp; Pricing'!M23," ")</f>
        <v xml:space="preserve"> </v>
      </c>
      <c r="I21" s="56">
        <f>IF('Variable Costs &amp; Pricing'!N23="Yes",'Variable Costs &amp; Pricing'!O23,)</f>
        <v>0</v>
      </c>
      <c r="K21" s="17" t="str">
        <f>IF('Variable Costs &amp; Pricing'!R23="Yes",'Variable Costs &amp; Pricing'!Q23," ")</f>
        <v xml:space="preserve"> </v>
      </c>
      <c r="L21" s="56">
        <f>IF('Variable Costs &amp; Pricing'!R23="Yes",'Variable Costs &amp; Pricing'!S23,)</f>
        <v>0</v>
      </c>
      <c r="N21" s="17" t="str">
        <f>IF('Variable Costs &amp; Pricing'!V23="Yes",'Variable Costs &amp; Pricing'!U23," ")</f>
        <v xml:space="preserve"> </v>
      </c>
      <c r="O21" s="56">
        <f>IF('Variable Costs &amp; Pricing'!V23="Yes",'Variable Costs &amp; Pricing'!W23,)</f>
        <v>0</v>
      </c>
      <c r="Q21" s="17" t="str">
        <f>IF('Variable Costs &amp; Pricing'!Z23="Yes",'Variable Costs &amp; Pricing'!Y23," ")</f>
        <v xml:space="preserve"> </v>
      </c>
      <c r="R21" s="56">
        <f>IF('Variable Costs &amp; Pricing'!Z23="Yes",'Variable Costs &amp; Pricing'!AA23,)</f>
        <v>0</v>
      </c>
    </row>
    <row r="22" spans="2:19" x14ac:dyDescent="0.2">
      <c r="B22" s="17" t="str">
        <f>IF('Variable Costs &amp; Pricing'!F24="Yes",'Variable Costs &amp; Pricing'!E24," ")</f>
        <v xml:space="preserve"> </v>
      </c>
      <c r="C22" s="56">
        <f>IF('Variable Costs &amp; Pricing'!F24="Yes",'Variable Costs &amp; Pricing'!G24,)</f>
        <v>0</v>
      </c>
      <c r="E22" s="17" t="str">
        <f>IF('Variable Costs &amp; Pricing'!J24="Yes",'Variable Costs &amp; Pricing'!I24, " ")</f>
        <v xml:space="preserve"> </v>
      </c>
      <c r="F22" s="56">
        <f>IF('Variable Costs &amp; Pricing'!J24="Yes",'Variable Costs &amp; Pricing'!K24,)</f>
        <v>0</v>
      </c>
      <c r="H22" s="17" t="str">
        <f>IF('Variable Costs &amp; Pricing'!N24="Yes",'Variable Costs &amp; Pricing'!M24," ")</f>
        <v xml:space="preserve"> </v>
      </c>
      <c r="I22" s="56">
        <f>IF('Variable Costs &amp; Pricing'!N24="Yes",'Variable Costs &amp; Pricing'!O24,)</f>
        <v>0</v>
      </c>
      <c r="K22" s="17" t="str">
        <f>IF('Variable Costs &amp; Pricing'!R24="Yes",'Variable Costs &amp; Pricing'!Q24," ")</f>
        <v xml:space="preserve"> </v>
      </c>
      <c r="L22" s="56">
        <f>IF('Variable Costs &amp; Pricing'!R24="Yes",'Variable Costs &amp; Pricing'!S24,)</f>
        <v>0</v>
      </c>
      <c r="N22" s="17" t="str">
        <f>IF('Variable Costs &amp; Pricing'!V24="Yes",'Variable Costs &amp; Pricing'!U24," ")</f>
        <v xml:space="preserve"> </v>
      </c>
      <c r="O22" s="56">
        <f>IF('Variable Costs &amp; Pricing'!V24="Yes",'Variable Costs &amp; Pricing'!W24,)</f>
        <v>0</v>
      </c>
      <c r="Q22" s="17" t="str">
        <f>IF('Variable Costs &amp; Pricing'!Z24="Yes",'Variable Costs &amp; Pricing'!Y24," ")</f>
        <v xml:space="preserve"> </v>
      </c>
      <c r="R22" s="56">
        <f>IF('Variable Costs &amp; Pricing'!Z24="Yes",'Variable Costs &amp; Pricing'!AA24,)</f>
        <v>0</v>
      </c>
    </row>
    <row r="23" spans="2:19" x14ac:dyDescent="0.2">
      <c r="B23" s="17" t="str">
        <f>IF('Variable Costs &amp; Pricing'!F25="Yes",'Variable Costs &amp; Pricing'!E25," ")</f>
        <v xml:space="preserve"> </v>
      </c>
      <c r="C23" s="56">
        <f>IF('Variable Costs &amp; Pricing'!F25="Yes",'Variable Costs &amp; Pricing'!G25,)</f>
        <v>0</v>
      </c>
      <c r="E23" s="17" t="str">
        <f>IF('Variable Costs &amp; Pricing'!J25="Yes",'Variable Costs &amp; Pricing'!I25, " ")</f>
        <v xml:space="preserve"> </v>
      </c>
      <c r="F23" s="56">
        <f>IF('Variable Costs &amp; Pricing'!J25="Yes",'Variable Costs &amp; Pricing'!K25,)</f>
        <v>0</v>
      </c>
      <c r="H23" s="17" t="str">
        <f>IF('Variable Costs &amp; Pricing'!N25="Yes",'Variable Costs &amp; Pricing'!M25," ")</f>
        <v xml:space="preserve"> </v>
      </c>
      <c r="I23" s="56">
        <f>IF('Variable Costs &amp; Pricing'!N25="Yes",'Variable Costs &amp; Pricing'!O25,)</f>
        <v>0</v>
      </c>
      <c r="K23" s="17" t="str">
        <f>IF('Variable Costs &amp; Pricing'!R25="Yes",'Variable Costs &amp; Pricing'!Q25," ")</f>
        <v xml:space="preserve"> </v>
      </c>
      <c r="L23" s="56">
        <f>IF('Variable Costs &amp; Pricing'!R25="Yes",'Variable Costs &amp; Pricing'!S25,)</f>
        <v>0</v>
      </c>
      <c r="N23" s="17" t="str">
        <f>IF('Variable Costs &amp; Pricing'!V25="Yes",'Variable Costs &amp; Pricing'!U25," ")</f>
        <v xml:space="preserve"> </v>
      </c>
      <c r="O23" s="56">
        <f>IF('Variable Costs &amp; Pricing'!V25="Yes",'Variable Costs &amp; Pricing'!W25,)</f>
        <v>0</v>
      </c>
      <c r="Q23" s="17" t="str">
        <f>IF('Variable Costs &amp; Pricing'!Z25="Yes",'Variable Costs &amp; Pricing'!Y25," ")</f>
        <v xml:space="preserve"> </v>
      </c>
      <c r="R23" s="56">
        <f>IF('Variable Costs &amp; Pricing'!Z25="Yes",'Variable Costs &amp; Pricing'!AA25,)</f>
        <v>0</v>
      </c>
    </row>
    <row r="24" spans="2:19" x14ac:dyDescent="0.2">
      <c r="B24" s="17" t="str">
        <f>IF('Variable Costs &amp; Pricing'!F26="Yes",'Variable Costs &amp; Pricing'!E26," ")</f>
        <v xml:space="preserve"> </v>
      </c>
      <c r="C24" s="56">
        <f>IF('Variable Costs &amp; Pricing'!F26="Yes",'Variable Costs &amp; Pricing'!G26,)</f>
        <v>0</v>
      </c>
      <c r="E24" s="17" t="str">
        <f>IF('Variable Costs &amp; Pricing'!J26="Yes",'Variable Costs &amp; Pricing'!I26, " ")</f>
        <v xml:space="preserve"> </v>
      </c>
      <c r="F24" s="56">
        <f>IF('Variable Costs &amp; Pricing'!J26="Yes",'Variable Costs &amp; Pricing'!K26,)</f>
        <v>0</v>
      </c>
      <c r="H24" s="17" t="str">
        <f>IF('Variable Costs &amp; Pricing'!N26="Yes",'Variable Costs &amp; Pricing'!M26," ")</f>
        <v xml:space="preserve"> </v>
      </c>
      <c r="I24" s="56">
        <f>IF('Variable Costs &amp; Pricing'!N26="Yes",'Variable Costs &amp; Pricing'!O26,)</f>
        <v>0</v>
      </c>
      <c r="K24" s="17" t="str">
        <f>IF('Variable Costs &amp; Pricing'!R26="Yes",'Variable Costs &amp; Pricing'!Q26," ")</f>
        <v xml:space="preserve"> </v>
      </c>
      <c r="L24" s="56">
        <f>IF('Variable Costs &amp; Pricing'!R26="Yes",'Variable Costs &amp; Pricing'!S26,)</f>
        <v>0</v>
      </c>
      <c r="N24" s="17" t="str">
        <f>IF('Variable Costs &amp; Pricing'!V26="Yes",'Variable Costs &amp; Pricing'!U26," ")</f>
        <v xml:space="preserve"> </v>
      </c>
      <c r="O24" s="56">
        <f>IF('Variable Costs &amp; Pricing'!V26="Yes",'Variable Costs &amp; Pricing'!W26,)</f>
        <v>0</v>
      </c>
      <c r="Q24" s="17" t="str">
        <f>IF('Variable Costs &amp; Pricing'!Z26="Yes",'Variable Costs &amp; Pricing'!Y26," ")</f>
        <v xml:space="preserve"> </v>
      </c>
      <c r="R24" s="56">
        <f>IF('Variable Costs &amp; Pricing'!Z26="Yes",'Variable Costs &amp; Pricing'!AA26,)</f>
        <v>0</v>
      </c>
    </row>
    <row r="25" spans="2:19" x14ac:dyDescent="0.2">
      <c r="B25" s="29" t="str">
        <f>IF('Variable Costs &amp; Pricing'!F27="Yes",'Variable Costs &amp; Pricing'!E27," ")</f>
        <v xml:space="preserve"> </v>
      </c>
      <c r="C25" s="78">
        <f>IF('Variable Costs &amp; Pricing'!F27="Yes",'Variable Costs &amp; Pricing'!G27,)</f>
        <v>0</v>
      </c>
      <c r="E25" s="29" t="str">
        <f>IF('Variable Costs &amp; Pricing'!J27="Yes",'Variable Costs &amp; Pricing'!I27, " ")</f>
        <v xml:space="preserve"> </v>
      </c>
      <c r="F25" s="78">
        <f>IF('Variable Costs &amp; Pricing'!J27="Yes",'Variable Costs &amp; Pricing'!K27,)</f>
        <v>0</v>
      </c>
      <c r="H25" s="29" t="str">
        <f>IF('Variable Costs &amp; Pricing'!N27="Yes",'Variable Costs &amp; Pricing'!M27," ")</f>
        <v xml:space="preserve"> </v>
      </c>
      <c r="I25" s="78">
        <f>IF('Variable Costs &amp; Pricing'!N27="Yes",'Variable Costs &amp; Pricing'!O27,)</f>
        <v>0</v>
      </c>
      <c r="K25" s="29" t="str">
        <f>IF('Variable Costs &amp; Pricing'!R27="Yes",'Variable Costs &amp; Pricing'!Q27," ")</f>
        <v xml:space="preserve"> </v>
      </c>
      <c r="L25" s="78">
        <f>IF('Variable Costs &amp; Pricing'!R27="Yes",'Variable Costs &amp; Pricing'!S27,)</f>
        <v>0</v>
      </c>
      <c r="N25" s="29" t="str">
        <f>IF('Variable Costs &amp; Pricing'!V27="Yes",'Variable Costs &amp; Pricing'!U27," ")</f>
        <v xml:space="preserve"> </v>
      </c>
      <c r="O25" s="78">
        <f>IF('Variable Costs &amp; Pricing'!V27="Yes",'Variable Costs &amp; Pricing'!W27,)</f>
        <v>0</v>
      </c>
      <c r="Q25" s="29" t="str">
        <f>IF('Variable Costs &amp; Pricing'!Z27="Yes",'Variable Costs &amp; Pricing'!Y27," ")</f>
        <v xml:space="preserve"> </v>
      </c>
      <c r="R25" s="78">
        <f>IF('Variable Costs &amp; Pricing'!Z27="Yes",'Variable Costs &amp; Pricing'!AA27,)</f>
        <v>0</v>
      </c>
    </row>
    <row r="26" spans="2:19" x14ac:dyDescent="0.2">
      <c r="B26" s="3" t="s">
        <v>153</v>
      </c>
      <c r="C26" s="73">
        <f>SUM(C8:C25)</f>
        <v>0</v>
      </c>
      <c r="E26" s="3" t="s">
        <v>153</v>
      </c>
      <c r="F26" s="73">
        <f>SUM(F8:F25)</f>
        <v>0</v>
      </c>
      <c r="H26" s="3" t="s">
        <v>153</v>
      </c>
      <c r="I26" s="73">
        <f>SUM(I8:I25)</f>
        <v>0</v>
      </c>
      <c r="K26" s="3" t="s">
        <v>153</v>
      </c>
      <c r="L26" s="73">
        <f>SUM(L8:L25)</f>
        <v>0</v>
      </c>
      <c r="N26" s="3" t="s">
        <v>153</v>
      </c>
      <c r="O26" s="73">
        <f>SUM(O8:O25)</f>
        <v>0</v>
      </c>
      <c r="Q26" s="3" t="s">
        <v>153</v>
      </c>
      <c r="R26" s="73">
        <f>SUM(R8:R25)</f>
        <v>0</v>
      </c>
    </row>
    <row r="28" spans="2:19" x14ac:dyDescent="0.2">
      <c r="B28" s="3" t="s">
        <v>154</v>
      </c>
      <c r="C28" s="72"/>
      <c r="E28" s="3" t="s">
        <v>154</v>
      </c>
      <c r="F28" s="72"/>
      <c r="H28" s="3" t="s">
        <v>154</v>
      </c>
      <c r="I28" s="72"/>
      <c r="K28" s="3" t="s">
        <v>154</v>
      </c>
      <c r="L28" s="72"/>
      <c r="N28" s="3" t="s">
        <v>154</v>
      </c>
      <c r="O28" s="72"/>
      <c r="Q28" s="3" t="s">
        <v>154</v>
      </c>
      <c r="R28" s="72"/>
    </row>
    <row r="30" spans="2:19" x14ac:dyDescent="0.2">
      <c r="B30" s="3" t="s">
        <v>158</v>
      </c>
      <c r="C30" s="73">
        <f>IFERROR(C26/C28,0)</f>
        <v>0</v>
      </c>
      <c r="D30" s="79" t="s">
        <v>155</v>
      </c>
      <c r="E30" s="3" t="s">
        <v>158</v>
      </c>
      <c r="F30" s="73">
        <f>IFERROR(F26/F28,0)</f>
        <v>0</v>
      </c>
      <c r="G30" s="3" t="s">
        <v>155</v>
      </c>
      <c r="H30" s="3" t="s">
        <v>158</v>
      </c>
      <c r="I30" s="73">
        <f>IFERROR(I26/I28,0)</f>
        <v>0</v>
      </c>
      <c r="J30" s="3" t="s">
        <v>155</v>
      </c>
      <c r="K30" s="3" t="s">
        <v>158</v>
      </c>
      <c r="L30" s="73">
        <f>IFERROR(L26/L28,0)</f>
        <v>0</v>
      </c>
      <c r="M30" s="3" t="s">
        <v>155</v>
      </c>
      <c r="N30" s="3" t="s">
        <v>158</v>
      </c>
      <c r="O30" s="73">
        <f>IFERROR(O26/O28,0)</f>
        <v>0</v>
      </c>
      <c r="P30" s="3" t="s">
        <v>155</v>
      </c>
      <c r="Q30" s="3" t="s">
        <v>158</v>
      </c>
      <c r="R30" s="73">
        <f>IFERROR(R26/R28,0)</f>
        <v>0</v>
      </c>
      <c r="S30" s="3" t="s">
        <v>155</v>
      </c>
    </row>
    <row r="32" spans="2:19" x14ac:dyDescent="0.2">
      <c r="B32" s="136" t="s">
        <v>156</v>
      </c>
      <c r="E32" s="136" t="s">
        <v>156</v>
      </c>
      <c r="H32" s="136" t="s">
        <v>156</v>
      </c>
      <c r="K32" s="136" t="s">
        <v>156</v>
      </c>
      <c r="N32" s="136" t="s">
        <v>156</v>
      </c>
      <c r="Q32" s="136" t="s">
        <v>156</v>
      </c>
    </row>
    <row r="33" spans="2:19" x14ac:dyDescent="0.2">
      <c r="B33" s="136"/>
      <c r="C33" s="67">
        <v>0.2</v>
      </c>
      <c r="E33" s="136"/>
      <c r="F33" s="67">
        <v>0.2</v>
      </c>
      <c r="H33" s="136"/>
      <c r="I33" s="67">
        <v>0.2</v>
      </c>
      <c r="K33" s="136"/>
      <c r="L33" s="67">
        <v>0.2</v>
      </c>
      <c r="N33" s="136"/>
      <c r="O33" s="67">
        <v>0.2</v>
      </c>
      <c r="Q33" s="136"/>
      <c r="R33" s="67">
        <v>0.2</v>
      </c>
    </row>
    <row r="34" spans="2:19" x14ac:dyDescent="0.2">
      <c r="B34" s="136"/>
      <c r="E34" s="136"/>
      <c r="H34" s="136"/>
      <c r="K34" s="136"/>
      <c r="N34" s="136"/>
      <c r="Q34" s="136"/>
    </row>
    <row r="36" spans="2:19" x14ac:dyDescent="0.2">
      <c r="B36" s="9" t="s">
        <v>157</v>
      </c>
      <c r="C36" s="7">
        <f>IFERROR(C30/(1+C33),0)</f>
        <v>0</v>
      </c>
      <c r="D36" s="80" t="s">
        <v>155</v>
      </c>
      <c r="E36" s="9" t="s">
        <v>157</v>
      </c>
      <c r="F36" s="7">
        <f>IFERROR(F30/(1+F33),0)</f>
        <v>0</v>
      </c>
      <c r="G36" s="80" t="s">
        <v>155</v>
      </c>
      <c r="H36" s="9" t="s">
        <v>157</v>
      </c>
      <c r="I36" s="7">
        <f>IFERROR(I30/(1+I33),0)</f>
        <v>0</v>
      </c>
      <c r="J36" s="80" t="s">
        <v>155</v>
      </c>
      <c r="K36" s="9" t="s">
        <v>157</v>
      </c>
      <c r="L36" s="7">
        <f>IFERROR(L30/(1+L33),0)</f>
        <v>0</v>
      </c>
      <c r="M36" s="80" t="s">
        <v>155</v>
      </c>
      <c r="N36" s="9" t="s">
        <v>157</v>
      </c>
      <c r="O36" s="7">
        <f>IFERROR(O30/(1+O33),0)</f>
        <v>0</v>
      </c>
      <c r="P36" s="80" t="s">
        <v>155</v>
      </c>
      <c r="Q36" s="9" t="s">
        <v>157</v>
      </c>
      <c r="R36" s="7">
        <f>IFERROR(R30/(1+R33),0)</f>
        <v>0</v>
      </c>
      <c r="S36" s="80" t="s">
        <v>155</v>
      </c>
    </row>
  </sheetData>
  <sheetProtection password="E114" sheet="1" objects="1" scenarios="1" selectLockedCells="1"/>
  <mergeCells count="9">
    <mergeCell ref="B3:E3"/>
    <mergeCell ref="B4:E4"/>
    <mergeCell ref="B5:D5"/>
    <mergeCell ref="Q32:Q34"/>
    <mergeCell ref="B32:B34"/>
    <mergeCell ref="E32:E34"/>
    <mergeCell ref="H32:H34"/>
    <mergeCell ref="K32:K34"/>
    <mergeCell ref="N32:N34"/>
  </mergeCells>
  <hyperlinks>
    <hyperlink ref="B3:E3" location="Facilities!A1" display="Facilities, Equipment, &amp; Regulatory Costs"/>
    <hyperlink ref="B4:E4" location="'Variable Costs &amp; Pricing'!A1" display="Product(s) Variable Costs &amp; Pricing"/>
    <hyperlink ref="B5:D5" location="'Net Returns'!A1" display="Estimated Annual Pre-Tax Returns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ColWidth="11.42578125" defaultRowHeight="12.75" x14ac:dyDescent="0.2"/>
  <sheetData>
    <row r="1" spans="1:1" x14ac:dyDescent="0.2">
      <c r="A1" t="s">
        <v>159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Introduction</vt:lpstr>
      <vt:lpstr>Facilities</vt:lpstr>
      <vt:lpstr>Variable Costs &amp; Pricing</vt:lpstr>
      <vt:lpstr>Net Returns</vt:lpstr>
      <vt:lpstr>Farm Fresh Equiv Pricing</vt:lpstr>
      <vt:lpstr>Sheet1</vt:lpstr>
      <vt:lpstr>Classification</vt:lpstr>
      <vt:lpstr>Onfarm</vt:lpstr>
      <vt:lpstr>Processing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Generic Incubator Kitchen</dc:title>
  <dc:subject>Kitchen incubator equipment &amp; facility</dc:subject>
  <dc:creator>Timothy J. Bowser</dc:creator>
  <dc:description>Draft document for discussion purposes only</dc:description>
  <cp:lastModifiedBy>Rodney Holcomb</cp:lastModifiedBy>
  <cp:lastPrinted>2016-10-07T14:57:11Z</cp:lastPrinted>
  <dcterms:created xsi:type="dcterms:W3CDTF">2006-05-01T17:18:19Z</dcterms:created>
  <dcterms:modified xsi:type="dcterms:W3CDTF">2017-08-21T20:41:28Z</dcterms:modified>
</cp:coreProperties>
</file>