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Rodney Holcomb\Documents\"/>
    </mc:Choice>
  </mc:AlternateContent>
  <xr:revisionPtr revIDLastSave="0" documentId="13_ncr:1_{C4FDFE17-6094-466A-AA88-10C044B36A67}" xr6:coauthVersionLast="44" xr6:coauthVersionMax="44" xr10:uidLastSave="{00000000-0000-0000-0000-000000000000}"/>
  <bookViews>
    <workbookView xWindow="-96" yWindow="-96" windowWidth="23232" windowHeight="12552" tabRatio="913" xr2:uid="{00000000-000D-0000-FFFF-FFFF00000000}"/>
  </bookViews>
  <sheets>
    <sheet name="Introduction" sheetId="1" r:id="rId1"/>
    <sheet name="Spirits Production" sheetId="3" r:id="rId2"/>
    <sheet name="Op Assumptions" sheetId="2" r:id="rId3"/>
    <sheet name="PPE &amp; Depreciation" sheetId="6" r:id="rId4"/>
    <sheet name="Personnel Expenses" sheetId="9" r:id="rId5"/>
    <sheet name="Market Projection" sheetId="7" r:id="rId6"/>
    <sheet name="Loan Amortization" sheetId="8" r:id="rId7"/>
    <sheet name="Expense Projection" sheetId="10" r:id="rId8"/>
    <sheet name="Profit-Loss" sheetId="11" r:id="rId9"/>
    <sheet name="Return On Investment" sheetId="12" r:id="rId10"/>
  </sheet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7" i="7" l="1"/>
  <c r="F47" i="7"/>
  <c r="G47" i="7"/>
  <c r="H47" i="7"/>
  <c r="I47" i="7"/>
  <c r="J47" i="7"/>
  <c r="K47" i="7"/>
  <c r="L47" i="7"/>
  <c r="M47" i="7"/>
  <c r="E42" i="7"/>
  <c r="F42" i="7"/>
  <c r="G42" i="7"/>
  <c r="H42" i="7"/>
  <c r="I42" i="7"/>
  <c r="J42" i="7"/>
  <c r="K42" i="7"/>
  <c r="L42" i="7"/>
  <c r="M42" i="7"/>
  <c r="E37" i="7"/>
  <c r="F37" i="7"/>
  <c r="G37" i="7"/>
  <c r="H37" i="7"/>
  <c r="I37" i="7"/>
  <c r="J37" i="7"/>
  <c r="K37" i="7"/>
  <c r="L37" i="7"/>
  <c r="M37" i="7"/>
  <c r="E32" i="7"/>
  <c r="F32" i="7"/>
  <c r="G32" i="7"/>
  <c r="H32" i="7"/>
  <c r="I32" i="7"/>
  <c r="J32" i="7"/>
  <c r="K32" i="7"/>
  <c r="L32" i="7"/>
  <c r="M32" i="7"/>
  <c r="E27" i="7"/>
  <c r="F27" i="7"/>
  <c r="G27" i="7"/>
  <c r="H27" i="7"/>
  <c r="I27" i="7"/>
  <c r="J27" i="7"/>
  <c r="K27" i="7"/>
  <c r="L27" i="7"/>
  <c r="M27" i="7"/>
  <c r="F22" i="7"/>
  <c r="G22" i="7"/>
  <c r="H22" i="7"/>
  <c r="I22" i="7"/>
  <c r="J22" i="7"/>
  <c r="K22" i="7"/>
  <c r="L22" i="7"/>
  <c r="M22" i="7"/>
  <c r="E22" i="7"/>
  <c r="D19" i="6"/>
  <c r="D23" i="6"/>
  <c r="K32" i="6"/>
  <c r="K33" i="6"/>
  <c r="K34" i="6"/>
  <c r="K35" i="6"/>
  <c r="K36" i="6"/>
  <c r="K37" i="6"/>
  <c r="K38" i="6"/>
  <c r="K39" i="6"/>
  <c r="K40" i="6"/>
  <c r="K41" i="6"/>
  <c r="K42" i="6"/>
  <c r="K45" i="6"/>
  <c r="K46" i="6"/>
  <c r="K47" i="6"/>
  <c r="K48" i="6"/>
  <c r="K49" i="6"/>
  <c r="K50" i="6"/>
  <c r="D43" i="6"/>
  <c r="D51" i="6"/>
  <c r="D58" i="6"/>
  <c r="D60" i="6"/>
  <c r="D61" i="6"/>
  <c r="I19" i="6"/>
  <c r="I28" i="6"/>
  <c r="D64" i="6"/>
  <c r="D30" i="10"/>
  <c r="D28" i="10"/>
  <c r="C8" i="2"/>
  <c r="K5" i="2"/>
  <c r="K6" i="2"/>
  <c r="K7" i="2"/>
  <c r="K8" i="2"/>
  <c r="K9" i="2"/>
  <c r="K10" i="2"/>
  <c r="C32" i="2"/>
  <c r="C33" i="2"/>
  <c r="F17" i="3"/>
  <c r="J15" i="3"/>
  <c r="J68" i="3"/>
  <c r="J24" i="3"/>
  <c r="J69" i="3"/>
  <c r="F35" i="3"/>
  <c r="J33" i="3"/>
  <c r="J70" i="3"/>
  <c r="F44" i="3"/>
  <c r="J42" i="3"/>
  <c r="J71" i="3"/>
  <c r="F53" i="3"/>
  <c r="J51" i="3"/>
  <c r="J72" i="3"/>
  <c r="F62" i="3"/>
  <c r="J60" i="3"/>
  <c r="J73" i="3"/>
  <c r="J74" i="3"/>
  <c r="E19" i="10"/>
  <c r="K15" i="3"/>
  <c r="K68" i="3"/>
  <c r="F26" i="3"/>
  <c r="K24" i="3"/>
  <c r="K69" i="3"/>
  <c r="K33" i="3"/>
  <c r="K70" i="3"/>
  <c r="K42" i="3"/>
  <c r="K71" i="3"/>
  <c r="K51" i="3"/>
  <c r="K72" i="3"/>
  <c r="K60" i="3"/>
  <c r="K73" i="3"/>
  <c r="K74" i="3"/>
  <c r="F19" i="10"/>
  <c r="L15" i="3"/>
  <c r="L68" i="3"/>
  <c r="L24" i="3"/>
  <c r="L69" i="3"/>
  <c r="L33" i="3"/>
  <c r="L70" i="3"/>
  <c r="L42" i="3"/>
  <c r="L71" i="3"/>
  <c r="L51" i="3"/>
  <c r="L72" i="3"/>
  <c r="L60" i="3"/>
  <c r="L73" i="3"/>
  <c r="L74" i="3"/>
  <c r="G19" i="10"/>
  <c r="M15" i="3"/>
  <c r="M68" i="3"/>
  <c r="M24" i="3"/>
  <c r="M69" i="3"/>
  <c r="M33" i="3"/>
  <c r="M70" i="3"/>
  <c r="M42" i="3"/>
  <c r="M71" i="3"/>
  <c r="M51" i="3"/>
  <c r="M72" i="3"/>
  <c r="M60" i="3"/>
  <c r="M73" i="3"/>
  <c r="M74" i="3"/>
  <c r="H19" i="10"/>
  <c r="N15" i="3"/>
  <c r="N68" i="3"/>
  <c r="N24" i="3"/>
  <c r="N69" i="3"/>
  <c r="N33" i="3"/>
  <c r="N70" i="3"/>
  <c r="N42" i="3"/>
  <c r="N71" i="3"/>
  <c r="N51" i="3"/>
  <c r="N72" i="3"/>
  <c r="N60" i="3"/>
  <c r="N73" i="3"/>
  <c r="N74" i="3"/>
  <c r="I19" i="10"/>
  <c r="O15" i="3"/>
  <c r="O68" i="3"/>
  <c r="O24" i="3"/>
  <c r="O69" i="3"/>
  <c r="O33" i="3"/>
  <c r="O70" i="3"/>
  <c r="O42" i="3"/>
  <c r="O71" i="3"/>
  <c r="O51" i="3"/>
  <c r="O72" i="3"/>
  <c r="O60" i="3"/>
  <c r="O73" i="3"/>
  <c r="O74" i="3"/>
  <c r="J19" i="10"/>
  <c r="P15" i="3"/>
  <c r="P68" i="3"/>
  <c r="P24" i="3"/>
  <c r="P69" i="3"/>
  <c r="P33" i="3"/>
  <c r="P70" i="3"/>
  <c r="P42" i="3"/>
  <c r="P71" i="3"/>
  <c r="P51" i="3"/>
  <c r="P72" i="3"/>
  <c r="P60" i="3"/>
  <c r="P73" i="3"/>
  <c r="P74" i="3"/>
  <c r="K19" i="10"/>
  <c r="Q15" i="3"/>
  <c r="Q68" i="3"/>
  <c r="Q24" i="3"/>
  <c r="Q69" i="3"/>
  <c r="Q33" i="3"/>
  <c r="Q70" i="3"/>
  <c r="Q42" i="3"/>
  <c r="Q71" i="3"/>
  <c r="Q51" i="3"/>
  <c r="Q72" i="3"/>
  <c r="Q60" i="3"/>
  <c r="Q73" i="3"/>
  <c r="Q74" i="3"/>
  <c r="L19" i="10"/>
  <c r="R15" i="3"/>
  <c r="R68" i="3"/>
  <c r="R24" i="3"/>
  <c r="R69" i="3"/>
  <c r="R33" i="3"/>
  <c r="R70" i="3"/>
  <c r="R42" i="3"/>
  <c r="R71" i="3"/>
  <c r="R51" i="3"/>
  <c r="R72" i="3"/>
  <c r="R60" i="3"/>
  <c r="R73" i="3"/>
  <c r="R74" i="3"/>
  <c r="M19" i="10"/>
  <c r="I15" i="3"/>
  <c r="I68" i="3"/>
  <c r="I24" i="3"/>
  <c r="I69" i="3"/>
  <c r="I33" i="3"/>
  <c r="I70" i="3"/>
  <c r="I42" i="3"/>
  <c r="I71" i="3"/>
  <c r="I51" i="3"/>
  <c r="I72" i="3"/>
  <c r="I60" i="3"/>
  <c r="I73" i="3"/>
  <c r="I74" i="3"/>
  <c r="D19" i="10"/>
  <c r="H69" i="3"/>
  <c r="H73" i="3"/>
  <c r="H72" i="3"/>
  <c r="H71" i="3"/>
  <c r="H70" i="3"/>
  <c r="H68" i="3"/>
  <c r="D8" i="7"/>
  <c r="D21" i="7"/>
  <c r="D22" i="7"/>
  <c r="D23" i="7"/>
  <c r="D10" i="7"/>
  <c r="D31" i="7"/>
  <c r="D32" i="7"/>
  <c r="D33" i="7"/>
  <c r="D27" i="7"/>
  <c r="D9" i="7"/>
  <c r="D26" i="7"/>
  <c r="D28" i="7"/>
  <c r="D11" i="7"/>
  <c r="D36" i="7"/>
  <c r="D37" i="7"/>
  <c r="D38" i="7"/>
  <c r="D12" i="7"/>
  <c r="D41" i="7"/>
  <c r="D42" i="7"/>
  <c r="D43" i="7"/>
  <c r="D13" i="7"/>
  <c r="D46" i="7"/>
  <c r="D47" i="7"/>
  <c r="D48" i="7"/>
  <c r="D50" i="7"/>
  <c r="D52" i="7"/>
  <c r="D15" i="11"/>
  <c r="D6" i="11"/>
  <c r="D8" i="11"/>
  <c r="D7" i="11"/>
  <c r="E11" i="7"/>
  <c r="E36" i="7"/>
  <c r="E38" i="7"/>
  <c r="D9" i="11"/>
  <c r="D10" i="11"/>
  <c r="D11" i="11"/>
  <c r="D13" i="11"/>
  <c r="D17" i="11"/>
  <c r="F22" i="2"/>
  <c r="F24" i="2"/>
  <c r="E8" i="7"/>
  <c r="E10" i="7"/>
  <c r="E9" i="7"/>
  <c r="E12" i="7"/>
  <c r="E13" i="7"/>
  <c r="E14" i="7"/>
  <c r="F8" i="7"/>
  <c r="F10" i="7"/>
  <c r="F9" i="7"/>
  <c r="F11" i="7"/>
  <c r="F12" i="7"/>
  <c r="F13" i="7"/>
  <c r="F14" i="7"/>
  <c r="G8" i="7"/>
  <c r="G10" i="7"/>
  <c r="G9" i="7"/>
  <c r="G11" i="7"/>
  <c r="G12" i="7"/>
  <c r="G13" i="7"/>
  <c r="G14" i="7"/>
  <c r="H8" i="7"/>
  <c r="H10" i="7"/>
  <c r="H9" i="7"/>
  <c r="H11" i="7"/>
  <c r="H12" i="7"/>
  <c r="H13" i="7"/>
  <c r="H14" i="7"/>
  <c r="I8" i="7"/>
  <c r="I10" i="7"/>
  <c r="I9" i="7"/>
  <c r="I11" i="7"/>
  <c r="I12" i="7"/>
  <c r="I13" i="7"/>
  <c r="I14" i="7"/>
  <c r="J8" i="7"/>
  <c r="J10" i="7"/>
  <c r="J9" i="7"/>
  <c r="J11" i="7"/>
  <c r="J12" i="7"/>
  <c r="J13" i="7"/>
  <c r="J14" i="7"/>
  <c r="K8" i="7"/>
  <c r="K10" i="7"/>
  <c r="K9" i="7"/>
  <c r="K11" i="7"/>
  <c r="K12" i="7"/>
  <c r="K13" i="7"/>
  <c r="K14" i="7"/>
  <c r="L8" i="7"/>
  <c r="L10" i="7"/>
  <c r="L9" i="7"/>
  <c r="L11" i="7"/>
  <c r="L12" i="7"/>
  <c r="L13" i="7"/>
  <c r="L14" i="7"/>
  <c r="M8" i="7"/>
  <c r="M10" i="7"/>
  <c r="M9" i="7"/>
  <c r="M11" i="7"/>
  <c r="M12" i="7"/>
  <c r="M13" i="7"/>
  <c r="M14" i="7"/>
  <c r="D14" i="7"/>
  <c r="D22" i="9"/>
  <c r="D6" i="10"/>
  <c r="E6" i="10"/>
  <c r="D8" i="9"/>
  <c r="F18" i="9"/>
  <c r="F19" i="9"/>
  <c r="F20" i="9"/>
  <c r="F21" i="9"/>
  <c r="F22" i="9"/>
  <c r="D7" i="10"/>
  <c r="E7" i="10"/>
  <c r="J18" i="9"/>
  <c r="J19" i="9"/>
  <c r="J20" i="9"/>
  <c r="J21" i="9"/>
  <c r="J22" i="9"/>
  <c r="D8" i="10"/>
  <c r="E8" i="10"/>
  <c r="L30" i="9"/>
  <c r="L29" i="9"/>
  <c r="L31" i="9"/>
  <c r="L32" i="9"/>
  <c r="L33" i="9"/>
  <c r="L34" i="9"/>
  <c r="D11" i="10"/>
  <c r="E11" i="10"/>
  <c r="D9" i="9"/>
  <c r="N30" i="9"/>
  <c r="N29" i="9"/>
  <c r="N31" i="9"/>
  <c r="N32" i="9"/>
  <c r="N33" i="9"/>
  <c r="N34" i="9"/>
  <c r="D12" i="10"/>
  <c r="E12" i="10"/>
  <c r="R30" i="9"/>
  <c r="R29" i="9"/>
  <c r="R31" i="9"/>
  <c r="R32" i="9"/>
  <c r="R33" i="9"/>
  <c r="R34" i="9"/>
  <c r="D13" i="10"/>
  <c r="E13" i="10"/>
  <c r="E15" i="10"/>
  <c r="F17" i="2"/>
  <c r="F16" i="3"/>
  <c r="H15" i="3"/>
  <c r="J17" i="3"/>
  <c r="E57" i="7"/>
  <c r="F25" i="3"/>
  <c r="H24" i="3"/>
  <c r="J26" i="3"/>
  <c r="E58" i="7"/>
  <c r="F34" i="3"/>
  <c r="H33" i="3"/>
  <c r="J35" i="3"/>
  <c r="E59" i="7"/>
  <c r="F43" i="3"/>
  <c r="H42" i="3"/>
  <c r="J44" i="3"/>
  <c r="E60" i="7"/>
  <c r="F52" i="3"/>
  <c r="H51" i="3"/>
  <c r="J53" i="3"/>
  <c r="E61" i="7"/>
  <c r="F61" i="3"/>
  <c r="H60" i="3"/>
  <c r="J62" i="3"/>
  <c r="E62" i="7"/>
  <c r="E63" i="7"/>
  <c r="E17" i="10"/>
  <c r="F9" i="2"/>
  <c r="D21" i="10"/>
  <c r="E21" i="10"/>
  <c r="E31" i="7"/>
  <c r="E33" i="7"/>
  <c r="E21" i="7"/>
  <c r="E23" i="7"/>
  <c r="E26" i="7"/>
  <c r="E28" i="7"/>
  <c r="E41" i="7"/>
  <c r="E43" i="7"/>
  <c r="E46" i="7"/>
  <c r="E48" i="7"/>
  <c r="E50" i="7"/>
  <c r="E52" i="7"/>
  <c r="E23" i="10"/>
  <c r="E25" i="10"/>
  <c r="F6" i="10"/>
  <c r="F7" i="10"/>
  <c r="F8" i="10"/>
  <c r="F11" i="10"/>
  <c r="F12" i="10"/>
  <c r="F13" i="10"/>
  <c r="F15" i="10"/>
  <c r="K17" i="3"/>
  <c r="F57" i="7"/>
  <c r="K26" i="3"/>
  <c r="F58" i="7"/>
  <c r="K35" i="3"/>
  <c r="F59" i="7"/>
  <c r="K44" i="3"/>
  <c r="F60" i="7"/>
  <c r="K53" i="3"/>
  <c r="F61" i="7"/>
  <c r="K62" i="3"/>
  <c r="F62" i="7"/>
  <c r="F63" i="7"/>
  <c r="F17" i="10"/>
  <c r="F21" i="10"/>
  <c r="F31" i="7"/>
  <c r="F33" i="7"/>
  <c r="F21" i="7"/>
  <c r="F23" i="7"/>
  <c r="F26" i="7"/>
  <c r="F28" i="7"/>
  <c r="F36" i="7"/>
  <c r="F38" i="7"/>
  <c r="F41" i="7"/>
  <c r="F43" i="7"/>
  <c r="F46" i="7"/>
  <c r="F48" i="7"/>
  <c r="F50" i="7"/>
  <c r="F52" i="7"/>
  <c r="F23" i="10"/>
  <c r="F25" i="10"/>
  <c r="G6" i="10"/>
  <c r="G7" i="10"/>
  <c r="G8" i="10"/>
  <c r="G11" i="10"/>
  <c r="G12" i="10"/>
  <c r="G13" i="10"/>
  <c r="G15" i="10"/>
  <c r="L17" i="3"/>
  <c r="G57" i="7"/>
  <c r="L26" i="3"/>
  <c r="G58" i="7"/>
  <c r="L35" i="3"/>
  <c r="G59" i="7"/>
  <c r="L44" i="3"/>
  <c r="G60" i="7"/>
  <c r="L53" i="3"/>
  <c r="G61" i="7"/>
  <c r="L62" i="3"/>
  <c r="G62" i="7"/>
  <c r="G63" i="7"/>
  <c r="G17" i="10"/>
  <c r="G21" i="10"/>
  <c r="G31" i="7"/>
  <c r="G33" i="7"/>
  <c r="G21" i="7"/>
  <c r="G23" i="7"/>
  <c r="G26" i="7"/>
  <c r="G28" i="7"/>
  <c r="G36" i="7"/>
  <c r="G38" i="7"/>
  <c r="G41" i="7"/>
  <c r="G43" i="7"/>
  <c r="G46" i="7"/>
  <c r="G48" i="7"/>
  <c r="G50" i="7"/>
  <c r="G52" i="7"/>
  <c r="G23" i="10"/>
  <c r="G25" i="10"/>
  <c r="H6" i="10"/>
  <c r="H7" i="10"/>
  <c r="H8" i="10"/>
  <c r="H11" i="10"/>
  <c r="H12" i="10"/>
  <c r="H13" i="10"/>
  <c r="H15" i="10"/>
  <c r="M17" i="3"/>
  <c r="H57" i="7"/>
  <c r="M26" i="3"/>
  <c r="H58" i="7"/>
  <c r="M35" i="3"/>
  <c r="H59" i="7"/>
  <c r="M44" i="3"/>
  <c r="H60" i="7"/>
  <c r="M53" i="3"/>
  <c r="H61" i="7"/>
  <c r="M62" i="3"/>
  <c r="H62" i="7"/>
  <c r="H63" i="7"/>
  <c r="H17" i="10"/>
  <c r="H21" i="10"/>
  <c r="H31" i="7"/>
  <c r="H33" i="7"/>
  <c r="H21" i="7"/>
  <c r="H23" i="7"/>
  <c r="H26" i="7"/>
  <c r="H28" i="7"/>
  <c r="H36" i="7"/>
  <c r="H38" i="7"/>
  <c r="H41" i="7"/>
  <c r="H43" i="7"/>
  <c r="H46" i="7"/>
  <c r="H48" i="7"/>
  <c r="H50" i="7"/>
  <c r="H52" i="7"/>
  <c r="H23" i="10"/>
  <c r="H25" i="10"/>
  <c r="I6" i="10"/>
  <c r="I7" i="10"/>
  <c r="I8" i="10"/>
  <c r="I11" i="10"/>
  <c r="I12" i="10"/>
  <c r="I13" i="10"/>
  <c r="I15" i="10"/>
  <c r="N17" i="3"/>
  <c r="I57" i="7"/>
  <c r="N26" i="3"/>
  <c r="I58" i="7"/>
  <c r="N35" i="3"/>
  <c r="I59" i="7"/>
  <c r="N44" i="3"/>
  <c r="I60" i="7"/>
  <c r="N53" i="3"/>
  <c r="I61" i="7"/>
  <c r="N62" i="3"/>
  <c r="I62" i="7"/>
  <c r="I63" i="7"/>
  <c r="I17" i="10"/>
  <c r="I21" i="10"/>
  <c r="I31" i="7"/>
  <c r="I33" i="7"/>
  <c r="I21" i="7"/>
  <c r="I23" i="7"/>
  <c r="I26" i="7"/>
  <c r="I28" i="7"/>
  <c r="I36" i="7"/>
  <c r="I38" i="7"/>
  <c r="I41" i="7"/>
  <c r="I43" i="7"/>
  <c r="I46" i="7"/>
  <c r="I48" i="7"/>
  <c r="I50" i="7"/>
  <c r="I52" i="7"/>
  <c r="I23" i="10"/>
  <c r="I25" i="10"/>
  <c r="J6" i="10"/>
  <c r="J7" i="10"/>
  <c r="J8" i="10"/>
  <c r="J11" i="10"/>
  <c r="J12" i="10"/>
  <c r="J13" i="10"/>
  <c r="J15" i="10"/>
  <c r="O17" i="3"/>
  <c r="J57" i="7"/>
  <c r="O26" i="3"/>
  <c r="J58" i="7"/>
  <c r="O35" i="3"/>
  <c r="J59" i="7"/>
  <c r="O44" i="3"/>
  <c r="J60" i="7"/>
  <c r="O53" i="3"/>
  <c r="J61" i="7"/>
  <c r="O62" i="3"/>
  <c r="J62" i="7"/>
  <c r="J63" i="7"/>
  <c r="J17" i="10"/>
  <c r="J21" i="10"/>
  <c r="J31" i="7"/>
  <c r="J33" i="7"/>
  <c r="J21" i="7"/>
  <c r="J23" i="7"/>
  <c r="J26" i="7"/>
  <c r="J28" i="7"/>
  <c r="J36" i="7"/>
  <c r="J38" i="7"/>
  <c r="J41" i="7"/>
  <c r="J43" i="7"/>
  <c r="J46" i="7"/>
  <c r="J48" i="7"/>
  <c r="J50" i="7"/>
  <c r="J52" i="7"/>
  <c r="J23" i="10"/>
  <c r="J25" i="10"/>
  <c r="K6" i="10"/>
  <c r="K7" i="10"/>
  <c r="K8" i="10"/>
  <c r="K11" i="10"/>
  <c r="K12" i="10"/>
  <c r="K13" i="10"/>
  <c r="K15" i="10"/>
  <c r="P17" i="3"/>
  <c r="K57" i="7"/>
  <c r="P26" i="3"/>
  <c r="K58" i="7"/>
  <c r="P35" i="3"/>
  <c r="K59" i="7"/>
  <c r="P44" i="3"/>
  <c r="K60" i="7"/>
  <c r="P53" i="3"/>
  <c r="K61" i="7"/>
  <c r="P62" i="3"/>
  <c r="K62" i="7"/>
  <c r="K63" i="7"/>
  <c r="K17" i="10"/>
  <c r="K21" i="10"/>
  <c r="K31" i="7"/>
  <c r="K33" i="7"/>
  <c r="K21" i="7"/>
  <c r="K23" i="7"/>
  <c r="K26" i="7"/>
  <c r="K28" i="7"/>
  <c r="K36" i="7"/>
  <c r="K38" i="7"/>
  <c r="K41" i="7"/>
  <c r="K43" i="7"/>
  <c r="K46" i="7"/>
  <c r="K48" i="7"/>
  <c r="K50" i="7"/>
  <c r="K52" i="7"/>
  <c r="K23" i="10"/>
  <c r="K25" i="10"/>
  <c r="L6" i="10"/>
  <c r="L7" i="10"/>
  <c r="L8" i="10"/>
  <c r="L11" i="10"/>
  <c r="L12" i="10"/>
  <c r="L13" i="10"/>
  <c r="L15" i="10"/>
  <c r="Q17" i="3"/>
  <c r="L57" i="7"/>
  <c r="Q26" i="3"/>
  <c r="L58" i="7"/>
  <c r="Q35" i="3"/>
  <c r="L59" i="7"/>
  <c r="Q44" i="3"/>
  <c r="L60" i="7"/>
  <c r="Q53" i="3"/>
  <c r="L61" i="7"/>
  <c r="Q62" i="3"/>
  <c r="L62" i="7"/>
  <c r="L63" i="7"/>
  <c r="L17" i="10"/>
  <c r="L21" i="10"/>
  <c r="L31" i="7"/>
  <c r="L33" i="7"/>
  <c r="L21" i="7"/>
  <c r="L23" i="7"/>
  <c r="L26" i="7"/>
  <c r="L28" i="7"/>
  <c r="L36" i="7"/>
  <c r="L38" i="7"/>
  <c r="L41" i="7"/>
  <c r="L43" i="7"/>
  <c r="L46" i="7"/>
  <c r="L48" i="7"/>
  <c r="L50" i="7"/>
  <c r="L52" i="7"/>
  <c r="L23" i="10"/>
  <c r="L25" i="10"/>
  <c r="M6" i="10"/>
  <c r="M7" i="10"/>
  <c r="M8" i="10"/>
  <c r="M11" i="10"/>
  <c r="M12" i="10"/>
  <c r="M13" i="10"/>
  <c r="M15" i="10"/>
  <c r="R17" i="3"/>
  <c r="M57" i="7"/>
  <c r="R26" i="3"/>
  <c r="M58" i="7"/>
  <c r="R35" i="3"/>
  <c r="M59" i="7"/>
  <c r="R44" i="3"/>
  <c r="M60" i="7"/>
  <c r="R53" i="3"/>
  <c r="M61" i="7"/>
  <c r="R62" i="3"/>
  <c r="M62" i="7"/>
  <c r="M63" i="7"/>
  <c r="M17" i="10"/>
  <c r="M21" i="10"/>
  <c r="M31" i="7"/>
  <c r="M33" i="7"/>
  <c r="M21" i="7"/>
  <c r="M23" i="7"/>
  <c r="M26" i="7"/>
  <c r="M28" i="7"/>
  <c r="M36" i="7"/>
  <c r="M38" i="7"/>
  <c r="M41" i="7"/>
  <c r="M43" i="7"/>
  <c r="M46" i="7"/>
  <c r="M48" i="7"/>
  <c r="M50" i="7"/>
  <c r="M52" i="7"/>
  <c r="M23" i="10"/>
  <c r="M25" i="10"/>
  <c r="D15" i="10"/>
  <c r="I17" i="3"/>
  <c r="D57" i="7"/>
  <c r="I26" i="3"/>
  <c r="D58" i="7"/>
  <c r="I35" i="3"/>
  <c r="D59" i="7"/>
  <c r="I44" i="3"/>
  <c r="D60" i="7"/>
  <c r="I53" i="3"/>
  <c r="D61" i="7"/>
  <c r="I62" i="3"/>
  <c r="D62" i="7"/>
  <c r="D63" i="7"/>
  <c r="D17" i="10"/>
  <c r="D23" i="10"/>
  <c r="D25" i="10"/>
  <c r="I56" i="3"/>
  <c r="I47" i="3"/>
  <c r="I38" i="3"/>
  <c r="I29" i="3"/>
  <c r="I20" i="3"/>
  <c r="B56" i="3"/>
  <c r="B47" i="3"/>
  <c r="B38" i="3"/>
  <c r="B29" i="3"/>
  <c r="B20" i="3"/>
  <c r="R63" i="3"/>
  <c r="Q63" i="3"/>
  <c r="P63" i="3"/>
  <c r="O63" i="3"/>
  <c r="N63" i="3"/>
  <c r="M63" i="3"/>
  <c r="L63" i="3"/>
  <c r="K63" i="3"/>
  <c r="J63" i="3"/>
  <c r="I63" i="3"/>
  <c r="R54" i="3"/>
  <c r="Q54" i="3"/>
  <c r="P54" i="3"/>
  <c r="O54" i="3"/>
  <c r="N54" i="3"/>
  <c r="M54" i="3"/>
  <c r="L54" i="3"/>
  <c r="K54" i="3"/>
  <c r="J54" i="3"/>
  <c r="I54" i="3"/>
  <c r="R45" i="3"/>
  <c r="Q45" i="3"/>
  <c r="P45" i="3"/>
  <c r="O45" i="3"/>
  <c r="N45" i="3"/>
  <c r="M45" i="3"/>
  <c r="L45" i="3"/>
  <c r="K45" i="3"/>
  <c r="J45" i="3"/>
  <c r="I45" i="3"/>
  <c r="R36" i="3"/>
  <c r="Q36" i="3"/>
  <c r="P36" i="3"/>
  <c r="O36" i="3"/>
  <c r="N36" i="3"/>
  <c r="M36" i="3"/>
  <c r="L36" i="3"/>
  <c r="K36" i="3"/>
  <c r="J36" i="3"/>
  <c r="I36" i="3"/>
  <c r="R27" i="3"/>
  <c r="Q27" i="3"/>
  <c r="P27" i="3"/>
  <c r="O27" i="3"/>
  <c r="N27" i="3"/>
  <c r="M27" i="3"/>
  <c r="L27" i="3"/>
  <c r="K27" i="3"/>
  <c r="J27" i="3"/>
  <c r="I27" i="3"/>
  <c r="R18" i="3"/>
  <c r="Q18" i="3"/>
  <c r="P18" i="3"/>
  <c r="O18" i="3"/>
  <c r="N18" i="3"/>
  <c r="M18" i="3"/>
  <c r="L18" i="3"/>
  <c r="K18" i="3"/>
  <c r="J18" i="3"/>
  <c r="I18" i="3"/>
  <c r="E9" i="11"/>
  <c r="F9" i="11"/>
  <c r="G9" i="11"/>
  <c r="H9" i="11"/>
  <c r="I9" i="11"/>
  <c r="J9" i="11"/>
  <c r="K9" i="11"/>
  <c r="L9" i="11"/>
  <c r="M9" i="11"/>
  <c r="C9" i="11"/>
  <c r="G52" i="3"/>
  <c r="H58" i="3"/>
  <c r="G59" i="3"/>
  <c r="G61" i="3"/>
  <c r="H49" i="3"/>
  <c r="H40" i="3"/>
  <c r="G41" i="3"/>
  <c r="G43" i="3"/>
  <c r="H31" i="3"/>
  <c r="G32" i="3"/>
  <c r="G34" i="3"/>
  <c r="H22" i="3"/>
  <c r="G23" i="3"/>
  <c r="G25" i="3"/>
  <c r="H13" i="3"/>
  <c r="L8" i="12"/>
  <c r="C5" i="12"/>
  <c r="L9" i="12"/>
  <c r="L10" i="12"/>
  <c r="C6" i="8"/>
  <c r="C5" i="8"/>
  <c r="G14" i="8"/>
  <c r="C24" i="8"/>
  <c r="D41" i="10"/>
  <c r="D45" i="10"/>
  <c r="C8" i="8"/>
  <c r="E43" i="10"/>
  <c r="E45" i="10"/>
  <c r="F43" i="10"/>
  <c r="G43" i="10"/>
  <c r="H43" i="10"/>
  <c r="I43" i="10"/>
  <c r="J43" i="10"/>
  <c r="K43" i="10"/>
  <c r="L43" i="10"/>
  <c r="M43" i="10"/>
  <c r="F45" i="10"/>
  <c r="F41" i="11"/>
  <c r="G45" i="10"/>
  <c r="G41" i="11"/>
  <c r="H45" i="10"/>
  <c r="I45" i="10"/>
  <c r="J45" i="10"/>
  <c r="K45" i="10"/>
  <c r="K41" i="11"/>
  <c r="L45" i="10"/>
  <c r="L41" i="11"/>
  <c r="M45" i="10"/>
  <c r="M41" i="11"/>
  <c r="E19" i="6"/>
  <c r="C94" i="6"/>
  <c r="C6" i="11"/>
  <c r="C7" i="11"/>
  <c r="C8" i="11"/>
  <c r="C10" i="11"/>
  <c r="C11" i="11"/>
  <c r="C15" i="11"/>
  <c r="C23" i="10"/>
  <c r="C15" i="10"/>
  <c r="C25" i="10"/>
  <c r="C22" i="11"/>
  <c r="C38" i="10"/>
  <c r="C23" i="11"/>
  <c r="C22" i="2"/>
  <c r="C45" i="10"/>
  <c r="C47" i="10"/>
  <c r="C24" i="11"/>
  <c r="D10" i="12"/>
  <c r="E9" i="12"/>
  <c r="E16" i="12"/>
  <c r="B13" i="7"/>
  <c r="B45" i="7"/>
  <c r="B12" i="7"/>
  <c r="B40" i="7"/>
  <c r="B10" i="11"/>
  <c r="B10" i="7"/>
  <c r="B30" i="7"/>
  <c r="B8" i="11"/>
  <c r="B11" i="7"/>
  <c r="B35" i="7"/>
  <c r="B9" i="11"/>
  <c r="B9" i="7"/>
  <c r="B8" i="7"/>
  <c r="C13" i="7"/>
  <c r="C12" i="7"/>
  <c r="C99" i="6"/>
  <c r="M54" i="10"/>
  <c r="M52" i="10"/>
  <c r="AD10" i="3"/>
  <c r="B26" i="7"/>
  <c r="B36" i="7"/>
  <c r="B33" i="7"/>
  <c r="B32" i="7"/>
  <c r="B31" i="7"/>
  <c r="B28" i="7"/>
  <c r="B27" i="7"/>
  <c r="C11" i="7"/>
  <c r="C10" i="7"/>
  <c r="C9" i="7"/>
  <c r="C8" i="7"/>
  <c r="M39" i="11"/>
  <c r="L39" i="11"/>
  <c r="K39" i="11"/>
  <c r="J39" i="11"/>
  <c r="I39" i="11"/>
  <c r="H39" i="11"/>
  <c r="G39" i="11"/>
  <c r="F39" i="11"/>
  <c r="E39" i="11"/>
  <c r="D39" i="11"/>
  <c r="C39" i="11"/>
  <c r="T32" i="9"/>
  <c r="D34" i="9"/>
  <c r="L20" i="9"/>
  <c r="N9" i="12"/>
  <c r="N16" i="12"/>
  <c r="M9" i="12"/>
  <c r="M16" i="12"/>
  <c r="L16" i="12"/>
  <c r="K9" i="12"/>
  <c r="K16" i="12"/>
  <c r="J9" i="12"/>
  <c r="J16" i="12"/>
  <c r="I9" i="12"/>
  <c r="I16" i="12"/>
  <c r="H9" i="12"/>
  <c r="H16" i="12"/>
  <c r="G9" i="12"/>
  <c r="G16" i="12"/>
  <c r="F9" i="12"/>
  <c r="F16" i="12"/>
  <c r="C49" i="10"/>
  <c r="D12" i="12"/>
  <c r="C92" i="6"/>
  <c r="C96" i="6"/>
  <c r="G7" i="11"/>
  <c r="F78" i="6"/>
  <c r="K78" i="6"/>
  <c r="H78" i="6"/>
  <c r="C78" i="6"/>
  <c r="G78" i="6"/>
  <c r="B25" i="7"/>
  <c r="B7" i="11"/>
  <c r="B58" i="7"/>
  <c r="D15" i="12"/>
  <c r="F14" i="8"/>
  <c r="K14" i="8"/>
  <c r="D14" i="8"/>
  <c r="C28" i="11"/>
  <c r="B60" i="7"/>
  <c r="E7" i="11"/>
  <c r="B11" i="11"/>
  <c r="B59" i="7"/>
  <c r="C13" i="11"/>
  <c r="C17" i="11"/>
  <c r="C30" i="11"/>
  <c r="J14" i="8"/>
  <c r="H14" i="8"/>
  <c r="E14" i="8"/>
  <c r="C14" i="8"/>
  <c r="L14" i="8"/>
  <c r="I14" i="8"/>
  <c r="B61" i="7"/>
  <c r="E11" i="11"/>
  <c r="G8" i="11"/>
  <c r="F11" i="11"/>
  <c r="I7" i="11"/>
  <c r="H7" i="11"/>
  <c r="F6" i="11"/>
  <c r="G6" i="11"/>
  <c r="I8" i="11"/>
  <c r="H11" i="11"/>
  <c r="I11" i="11"/>
  <c r="K8" i="11"/>
  <c r="L7" i="11"/>
  <c r="D17" i="12"/>
  <c r="D20" i="12"/>
  <c r="J8" i="11"/>
  <c r="J7" i="11"/>
  <c r="C32" i="11"/>
  <c r="C34" i="11"/>
  <c r="D19" i="12"/>
  <c r="D32" i="10"/>
  <c r="E32" i="10"/>
  <c r="F32" i="10"/>
  <c r="G32" i="10"/>
  <c r="H32" i="10"/>
  <c r="I32" i="10"/>
  <c r="J32" i="10"/>
  <c r="K32" i="10"/>
  <c r="L32" i="10"/>
  <c r="M32" i="10"/>
  <c r="C4" i="8"/>
  <c r="C7" i="8"/>
  <c r="B57" i="7"/>
  <c r="B20" i="7"/>
  <c r="B6" i="11"/>
  <c r="E30" i="10"/>
  <c r="F30" i="10"/>
  <c r="G30" i="10"/>
  <c r="H30" i="10"/>
  <c r="I30" i="10"/>
  <c r="J30" i="10"/>
  <c r="K30" i="10"/>
  <c r="L30" i="10"/>
  <c r="M30" i="10"/>
  <c r="M7" i="11"/>
  <c r="F7" i="11"/>
  <c r="K7" i="11"/>
  <c r="E17" i="8"/>
  <c r="J17" i="8"/>
  <c r="B62" i="7"/>
  <c r="D17" i="8"/>
  <c r="F17" i="8"/>
  <c r="T29" i="9"/>
  <c r="T30" i="9"/>
  <c r="T31" i="9"/>
  <c r="E8" i="11"/>
  <c r="E78" i="6"/>
  <c r="J78" i="6"/>
  <c r="L78" i="6"/>
  <c r="I78" i="6"/>
  <c r="D78" i="6"/>
  <c r="C130" i="6"/>
  <c r="E81" i="6"/>
  <c r="C131" i="6"/>
  <c r="F81" i="6"/>
  <c r="C133" i="6"/>
  <c r="H81" i="6"/>
  <c r="C132" i="6"/>
  <c r="G81" i="6"/>
  <c r="C129" i="6"/>
  <c r="D81" i="6"/>
  <c r="C128" i="6"/>
  <c r="C81" i="6"/>
  <c r="C106" i="6"/>
  <c r="E79" i="6"/>
  <c r="C107" i="6"/>
  <c r="F79" i="6"/>
  <c r="C111" i="6"/>
  <c r="J79" i="6"/>
  <c r="C112" i="6"/>
  <c r="K79" i="6"/>
  <c r="K83" i="6"/>
  <c r="L34" i="10"/>
  <c r="C113" i="6"/>
  <c r="L79" i="6"/>
  <c r="C109" i="6"/>
  <c r="H79" i="6"/>
  <c r="C110" i="6"/>
  <c r="I79" i="6"/>
  <c r="C108" i="6"/>
  <c r="G79" i="6"/>
  <c r="C105" i="6"/>
  <c r="D79" i="6"/>
  <c r="C104" i="6"/>
  <c r="C79" i="6"/>
  <c r="E41" i="10"/>
  <c r="D47" i="10"/>
  <c r="D24" i="11"/>
  <c r="C119" i="6"/>
  <c r="E80" i="6"/>
  <c r="C121" i="6"/>
  <c r="G80" i="6"/>
  <c r="G83" i="6"/>
  <c r="C118" i="6"/>
  <c r="D80" i="6"/>
  <c r="C120" i="6"/>
  <c r="F80" i="6"/>
  <c r="F83" i="6"/>
  <c r="G34" i="10"/>
  <c r="C124" i="6"/>
  <c r="J80" i="6"/>
  <c r="C123" i="6"/>
  <c r="I80" i="6"/>
  <c r="I83" i="6"/>
  <c r="C117" i="6"/>
  <c r="C80" i="6"/>
  <c r="C83" i="6"/>
  <c r="C122" i="6"/>
  <c r="H80" i="6"/>
  <c r="L19" i="9"/>
  <c r="E47" i="10"/>
  <c r="E24" i="11"/>
  <c r="F41" i="10"/>
  <c r="D83" i="6"/>
  <c r="L83" i="6"/>
  <c r="M34" i="10"/>
  <c r="E83" i="6"/>
  <c r="F34" i="10"/>
  <c r="E6" i="11"/>
  <c r="D28" i="12"/>
  <c r="C40" i="11"/>
  <c r="C43" i="11"/>
  <c r="H83" i="6"/>
  <c r="L21" i="9"/>
  <c r="J83" i="6"/>
  <c r="K34" i="10"/>
  <c r="T33" i="9"/>
  <c r="E10" i="11"/>
  <c r="C9" i="2"/>
  <c r="D32" i="12"/>
  <c r="H8" i="11"/>
  <c r="G11" i="11"/>
  <c r="E28" i="10"/>
  <c r="C13" i="8"/>
  <c r="C17" i="8"/>
  <c r="H17" i="8"/>
  <c r="G17" i="8"/>
  <c r="I17" i="8"/>
  <c r="K17" i="8"/>
  <c r="L17" i="8"/>
  <c r="D34" i="10"/>
  <c r="D41" i="11"/>
  <c r="J34" i="10"/>
  <c r="J41" i="11"/>
  <c r="C15" i="8"/>
  <c r="F28" i="10"/>
  <c r="J11" i="11"/>
  <c r="H6" i="11"/>
  <c r="F8" i="11"/>
  <c r="F10" i="11"/>
  <c r="F13" i="11"/>
  <c r="C18" i="8"/>
  <c r="D42" i="11"/>
  <c r="I34" i="10"/>
  <c r="I41" i="11"/>
  <c r="M8" i="11"/>
  <c r="T34" i="9"/>
  <c r="E34" i="10"/>
  <c r="E41" i="11"/>
  <c r="F47" i="10"/>
  <c r="F24" i="11"/>
  <c r="G41" i="10"/>
  <c r="L18" i="9"/>
  <c r="L22" i="9"/>
  <c r="L8" i="11"/>
  <c r="E13" i="11"/>
  <c r="H34" i="10"/>
  <c r="H41" i="11"/>
  <c r="I6" i="11"/>
  <c r="F8" i="12"/>
  <c r="F10" i="12"/>
  <c r="G28" i="10"/>
  <c r="G47" i="10"/>
  <c r="G24" i="11"/>
  <c r="H41" i="10"/>
  <c r="K11" i="11"/>
  <c r="C20" i="8"/>
  <c r="D13" i="8"/>
  <c r="L11" i="11"/>
  <c r="E15" i="11"/>
  <c r="E17" i="11"/>
  <c r="J6" i="11"/>
  <c r="D15" i="8"/>
  <c r="F15" i="11"/>
  <c r="F17" i="11"/>
  <c r="F54" i="7"/>
  <c r="G8" i="12"/>
  <c r="G10" i="11"/>
  <c r="G13" i="11"/>
  <c r="I41" i="10"/>
  <c r="H47" i="10"/>
  <c r="H24" i="11"/>
  <c r="H28" i="10"/>
  <c r="M11" i="11"/>
  <c r="E54" i="7"/>
  <c r="K6" i="11"/>
  <c r="J41" i="10"/>
  <c r="I47" i="10"/>
  <c r="I24" i="11"/>
  <c r="I28" i="10"/>
  <c r="G10" i="12"/>
  <c r="D18" i="8"/>
  <c r="H10" i="11"/>
  <c r="H13" i="11"/>
  <c r="E42" i="11"/>
  <c r="D20" i="8"/>
  <c r="E13" i="8"/>
  <c r="J28" i="10"/>
  <c r="L6" i="11"/>
  <c r="K41" i="10"/>
  <c r="J47" i="10"/>
  <c r="J24" i="11"/>
  <c r="I10" i="11"/>
  <c r="I13" i="11"/>
  <c r="L41" i="10"/>
  <c r="K47" i="10"/>
  <c r="K24" i="11"/>
  <c r="K28" i="10"/>
  <c r="J10" i="11"/>
  <c r="J13" i="11"/>
  <c r="M6" i="11"/>
  <c r="J8" i="12"/>
  <c r="J10" i="12"/>
  <c r="I54" i="7"/>
  <c r="E15" i="8"/>
  <c r="L28" i="10"/>
  <c r="K10" i="11"/>
  <c r="K13" i="11"/>
  <c r="M41" i="10"/>
  <c r="M47" i="10"/>
  <c r="M24" i="11"/>
  <c r="L47" i="10"/>
  <c r="L24" i="11"/>
  <c r="E18" i="8"/>
  <c r="K8" i="12"/>
  <c r="J54" i="7"/>
  <c r="M28" i="10"/>
  <c r="J15" i="11"/>
  <c r="J17" i="11"/>
  <c r="K10" i="12"/>
  <c r="F42" i="11"/>
  <c r="E20" i="8"/>
  <c r="F13" i="8"/>
  <c r="K15" i="11"/>
  <c r="K17" i="11"/>
  <c r="K54" i="7"/>
  <c r="L10" i="11"/>
  <c r="L13" i="11"/>
  <c r="F15" i="8"/>
  <c r="M10" i="11"/>
  <c r="M13" i="11"/>
  <c r="N8" i="12"/>
  <c r="F18" i="8"/>
  <c r="G42" i="11"/>
  <c r="F20" i="8"/>
  <c r="G13" i="8"/>
  <c r="N10" i="12"/>
  <c r="M15" i="11"/>
  <c r="M17" i="11"/>
  <c r="M54" i="7"/>
  <c r="G15" i="8"/>
  <c r="G18" i="8"/>
  <c r="H42" i="11"/>
  <c r="G20" i="8"/>
  <c r="H13" i="8"/>
  <c r="H15" i="8"/>
  <c r="H18" i="8"/>
  <c r="I42" i="11"/>
  <c r="H20" i="8"/>
  <c r="I13" i="8"/>
  <c r="I15" i="8"/>
  <c r="I18" i="8"/>
  <c r="J42" i="11"/>
  <c r="I20" i="8"/>
  <c r="J13" i="8"/>
  <c r="J15" i="8"/>
  <c r="J18" i="8"/>
  <c r="K42" i="11"/>
  <c r="J20" i="8"/>
  <c r="K13" i="8"/>
  <c r="K15" i="8"/>
  <c r="K18" i="8"/>
  <c r="L42" i="11"/>
  <c r="K20" i="8"/>
  <c r="L13" i="8"/>
  <c r="L15" i="8"/>
  <c r="L18" i="8"/>
  <c r="M42" i="11"/>
  <c r="L20" i="8"/>
  <c r="H15" i="11"/>
  <c r="H17" i="11"/>
  <c r="G15" i="11"/>
  <c r="G17" i="11"/>
  <c r="I8" i="12"/>
  <c r="I10" i="12"/>
  <c r="H8" i="12"/>
  <c r="H10" i="12"/>
  <c r="M8" i="12"/>
  <c r="M10" i="12"/>
  <c r="H54" i="7"/>
  <c r="G54" i="7"/>
  <c r="L54" i="7"/>
  <c r="I15" i="11"/>
  <c r="I17" i="11"/>
  <c r="D54" i="7"/>
  <c r="E8" i="12"/>
  <c r="E10" i="12"/>
  <c r="C22" i="12"/>
  <c r="L15" i="11"/>
  <c r="L17" i="11"/>
  <c r="C10" i="2"/>
  <c r="C23" i="8"/>
  <c r="C25" i="8"/>
  <c r="C27" i="8"/>
  <c r="D36" i="10"/>
  <c r="E13" i="12"/>
  <c r="D27" i="8"/>
  <c r="E36" i="10"/>
  <c r="F13" i="12"/>
  <c r="E27" i="8"/>
  <c r="F36" i="10"/>
  <c r="G13" i="12"/>
  <c r="F27" i="8"/>
  <c r="G36" i="10"/>
  <c r="H13" i="12"/>
  <c r="G27" i="8"/>
  <c r="H36" i="10"/>
  <c r="I13" i="12"/>
  <c r="H27" i="8"/>
  <c r="I36" i="10"/>
  <c r="J13" i="12"/>
  <c r="I27" i="8"/>
  <c r="J36" i="10"/>
  <c r="K13" i="12"/>
  <c r="J27" i="8"/>
  <c r="K36" i="10"/>
  <c r="L13" i="12"/>
  <c r="K27" i="8"/>
  <c r="L36" i="10"/>
  <c r="M13" i="12"/>
  <c r="L27" i="8"/>
  <c r="M36" i="10"/>
  <c r="N13" i="12"/>
  <c r="D38" i="10"/>
  <c r="D49" i="10"/>
  <c r="E12" i="12"/>
  <c r="E15" i="12"/>
  <c r="E17" i="12"/>
  <c r="F12" i="12"/>
  <c r="F15" i="12"/>
  <c r="F17" i="12"/>
  <c r="E38" i="10"/>
  <c r="E49" i="10"/>
  <c r="G12" i="12"/>
  <c r="G15" i="12"/>
  <c r="G17" i="12"/>
  <c r="F38" i="10"/>
  <c r="F49" i="10"/>
  <c r="H12" i="12"/>
  <c r="H15" i="12"/>
  <c r="H17" i="12"/>
  <c r="G38" i="10"/>
  <c r="G49" i="10"/>
  <c r="I12" i="12"/>
  <c r="I15" i="12"/>
  <c r="I17" i="12"/>
  <c r="H38" i="10"/>
  <c r="H49" i="10"/>
  <c r="J12" i="12"/>
  <c r="J15" i="12"/>
  <c r="J17" i="12"/>
  <c r="I38" i="10"/>
  <c r="I49" i="10"/>
  <c r="K12" i="12"/>
  <c r="K15" i="12"/>
  <c r="K17" i="12"/>
  <c r="J38" i="10"/>
  <c r="J49" i="10"/>
  <c r="L12" i="12"/>
  <c r="L15" i="12"/>
  <c r="L17" i="12"/>
  <c r="K38" i="10"/>
  <c r="K49" i="10"/>
  <c r="M12" i="12"/>
  <c r="M15" i="12"/>
  <c r="M17" i="12"/>
  <c r="L38" i="10"/>
  <c r="L49" i="10"/>
  <c r="N12" i="12"/>
  <c r="N15" i="12"/>
  <c r="N17" i="12"/>
  <c r="C23" i="12"/>
  <c r="C24" i="12"/>
  <c r="C26" i="12"/>
  <c r="D23" i="11"/>
  <c r="D22" i="11"/>
  <c r="D28" i="11"/>
  <c r="D30" i="11"/>
  <c r="D32" i="11"/>
  <c r="E23" i="11"/>
  <c r="E22" i="11"/>
  <c r="E28" i="11"/>
  <c r="E30" i="11"/>
  <c r="E32" i="11"/>
  <c r="E34" i="11"/>
  <c r="E40" i="11"/>
  <c r="E43" i="11"/>
  <c r="F23" i="11"/>
  <c r="F22" i="11"/>
  <c r="F28" i="11"/>
  <c r="F30" i="11"/>
  <c r="F32" i="11"/>
  <c r="F34" i="11"/>
  <c r="F40" i="11"/>
  <c r="F43" i="11"/>
  <c r="D34" i="11"/>
  <c r="D40" i="11"/>
  <c r="D43" i="11"/>
  <c r="F56" i="12"/>
  <c r="G23" i="11"/>
  <c r="G22" i="11"/>
  <c r="G28" i="11"/>
  <c r="G30" i="11"/>
  <c r="G32" i="11"/>
  <c r="G34" i="11"/>
  <c r="G40" i="11"/>
  <c r="G43" i="11"/>
  <c r="G56" i="12"/>
  <c r="H23" i="11"/>
  <c r="H22" i="11"/>
  <c r="H28" i="11"/>
  <c r="H30" i="11"/>
  <c r="H32" i="11"/>
  <c r="H34" i="11"/>
  <c r="H40" i="11"/>
  <c r="H43" i="11"/>
  <c r="H56" i="12"/>
  <c r="I23" i="11"/>
  <c r="I22" i="11"/>
  <c r="I28" i="11"/>
  <c r="I30" i="11"/>
  <c r="I32" i="11"/>
  <c r="I34" i="11"/>
  <c r="I40" i="11"/>
  <c r="I43" i="11"/>
  <c r="I56" i="12"/>
  <c r="J23" i="11"/>
  <c r="J22" i="11"/>
  <c r="J28" i="11"/>
  <c r="J30" i="11"/>
  <c r="J32" i="11"/>
  <c r="J34" i="11"/>
  <c r="J40" i="11"/>
  <c r="J43" i="11"/>
  <c r="J56" i="12"/>
  <c r="K23" i="11"/>
  <c r="K22" i="11"/>
  <c r="K28" i="11"/>
  <c r="K30" i="11"/>
  <c r="K32" i="11"/>
  <c r="K34" i="11"/>
  <c r="K40" i="11"/>
  <c r="K43" i="11"/>
  <c r="K56" i="12"/>
  <c r="L23" i="11"/>
  <c r="L22" i="11"/>
  <c r="L28" i="11"/>
  <c r="L30" i="11"/>
  <c r="L32" i="11"/>
  <c r="L34" i="11"/>
  <c r="L40" i="11"/>
  <c r="L43" i="11"/>
  <c r="L56" i="12"/>
  <c r="M38" i="10"/>
  <c r="M23" i="11"/>
  <c r="M22" i="11"/>
  <c r="M28" i="11"/>
  <c r="M30" i="11"/>
  <c r="M32" i="11"/>
  <c r="M34" i="11"/>
  <c r="M40" i="11"/>
  <c r="M43" i="11"/>
  <c r="M56" i="12"/>
  <c r="N56" i="12"/>
  <c r="E56" i="12"/>
  <c r="C36" i="12"/>
  <c r="F28" i="12"/>
  <c r="G28" i="12"/>
  <c r="H28" i="12"/>
  <c r="I28" i="12"/>
  <c r="J28" i="12"/>
  <c r="K28" i="12"/>
  <c r="L28" i="12"/>
  <c r="M28" i="12"/>
  <c r="N28" i="12"/>
  <c r="E28" i="12"/>
  <c r="C30" i="12"/>
  <c r="E54" i="12"/>
  <c r="D36" i="12"/>
  <c r="F54" i="12"/>
  <c r="F32" i="12"/>
  <c r="G32" i="12"/>
  <c r="H32" i="12"/>
  <c r="I32" i="12"/>
  <c r="J32" i="12"/>
  <c r="K32" i="12"/>
  <c r="L32" i="12"/>
  <c r="M32" i="12"/>
  <c r="N32" i="12"/>
  <c r="E32" i="12"/>
  <c r="C34" i="12"/>
  <c r="E20" i="12"/>
  <c r="F19" i="12"/>
  <c r="G19" i="12"/>
  <c r="H19" i="12"/>
  <c r="I19" i="12"/>
  <c r="J19" i="12"/>
  <c r="K19" i="12"/>
  <c r="L19" i="12"/>
  <c r="M19" i="12"/>
  <c r="N19" i="12"/>
  <c r="E19" i="12"/>
  <c r="C25" i="12"/>
  <c r="F20" i="12"/>
  <c r="G20" i="12"/>
  <c r="M20" i="12"/>
  <c r="K20" i="12"/>
  <c r="J20" i="12"/>
  <c r="I20" i="12"/>
  <c r="L20" i="12"/>
  <c r="N20" i="12"/>
  <c r="H20" i="12"/>
  <c r="M4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Rodney Holcomb</author>
  </authors>
  <commentList>
    <comment ref="F29" authorId="0" shapeId="0" xr:uid="{8D0704A3-6F79-4B51-BFA4-B753507CA2F3}">
      <text>
        <r>
          <rPr>
            <sz val="9"/>
            <color indexed="81"/>
            <rFont val="Tahoma"/>
            <charset val="1"/>
          </rPr>
          <t xml:space="preserve">Be careful when choosing an inflation rate for your spirits' selling prices, as it can drastically change revenue.  As a general rule, do not have a sales price inflation rate greater than the expense inflation rate.
</t>
        </r>
      </text>
    </comment>
  </commentList>
</comments>
</file>

<file path=xl/sharedStrings.xml><?xml version="1.0" encoding="utf-8"?>
<sst xmlns="http://schemas.openxmlformats.org/spreadsheetml/2006/main" count="517" uniqueCount="325">
  <si>
    <t>Year 1</t>
  </si>
  <si>
    <t>Year 2</t>
  </si>
  <si>
    <t>Year 3</t>
  </si>
  <si>
    <t>Year 4</t>
  </si>
  <si>
    <t>Year 5</t>
  </si>
  <si>
    <t>Year 6</t>
  </si>
  <si>
    <t>Year 7</t>
  </si>
  <si>
    <t>Year 8</t>
  </si>
  <si>
    <t>Year 9</t>
  </si>
  <si>
    <t>Year 10</t>
  </si>
  <si>
    <t>Units</t>
  </si>
  <si>
    <t>Year 0</t>
  </si>
  <si>
    <t>Total Investment</t>
  </si>
  <si>
    <t>Loan Amount</t>
  </si>
  <si>
    <t>Loan Term</t>
  </si>
  <si>
    <t>Long Term Interest Rate</t>
  </si>
  <si>
    <t>Percent Financed</t>
  </si>
  <si>
    <t>Working Capital</t>
  </si>
  <si>
    <t>Beginning Balance</t>
  </si>
  <si>
    <t>Interest Rate</t>
  </si>
  <si>
    <t>Interest</t>
  </si>
  <si>
    <t>Annual Payment</t>
  </si>
  <si>
    <t>Principal</t>
  </si>
  <si>
    <t>Ending Balance</t>
  </si>
  <si>
    <t>Short Term Interest Rate</t>
  </si>
  <si>
    <t>Interest Amount</t>
  </si>
  <si>
    <t>Total Interest Expense</t>
  </si>
  <si>
    <t>Occupation</t>
  </si>
  <si>
    <t>Salary</t>
  </si>
  <si>
    <t>Overtime</t>
  </si>
  <si>
    <t>Benefits</t>
  </si>
  <si>
    <t>Salaries</t>
  </si>
  <si>
    <t>% of Payroll Tax to Salaries</t>
  </si>
  <si>
    <t>% of Retirement Tax to Salaries</t>
  </si>
  <si>
    <t>Total Labor</t>
  </si>
  <si>
    <t>Fixed</t>
  </si>
  <si>
    <t>Maintenance</t>
  </si>
  <si>
    <t>Property Tax</t>
  </si>
  <si>
    <t>Insurance</t>
  </si>
  <si>
    <t>Buildings</t>
  </si>
  <si>
    <t>Special Purpose Buildings</t>
  </si>
  <si>
    <t>Equipment and Heavy Rolling Stock</t>
  </si>
  <si>
    <t>Light Trucks and Vehicles</t>
  </si>
  <si>
    <t>Depreciation</t>
  </si>
  <si>
    <t>Other</t>
  </si>
  <si>
    <t>Total Other</t>
  </si>
  <si>
    <t>Total Fixed</t>
  </si>
  <si>
    <t>Total Expenses</t>
  </si>
  <si>
    <t>Total</t>
  </si>
  <si>
    <t>Expenses</t>
  </si>
  <si>
    <t>Discount Rate</t>
  </si>
  <si>
    <t>Gross Margin</t>
  </si>
  <si>
    <t>Discount Factor</t>
  </si>
  <si>
    <t>PV of Income</t>
  </si>
  <si>
    <t>Total Expense</t>
  </si>
  <si>
    <t>Cash Expenses</t>
  </si>
  <si>
    <t>PV of Expenses</t>
  </si>
  <si>
    <t>Benefits Less Costs</t>
  </si>
  <si>
    <t>Net Present Value</t>
  </si>
  <si>
    <t>Internal Rate of Return</t>
  </si>
  <si>
    <t>Year</t>
  </si>
  <si>
    <t>Annual Total Depreciation</t>
  </si>
  <si>
    <t>39 year Straight Line</t>
  </si>
  <si>
    <t>Total Depreciation</t>
  </si>
  <si>
    <t>10 year with percentage from table</t>
  </si>
  <si>
    <t>7 year with percentage from table</t>
  </si>
  <si>
    <t>5 year with percentage from table</t>
  </si>
  <si>
    <t>Cost</t>
  </si>
  <si>
    <t>Life</t>
  </si>
  <si>
    <t>Salvage</t>
  </si>
  <si>
    <t>Period</t>
  </si>
  <si>
    <t>Rate</t>
  </si>
  <si>
    <t>Description</t>
  </si>
  <si>
    <t>Value</t>
  </si>
  <si>
    <t>#4</t>
  </si>
  <si>
    <t>#5</t>
  </si>
  <si>
    <t>Total Buildings</t>
  </si>
  <si>
    <t>10 year Straight Line</t>
  </si>
  <si>
    <t>7 Yr MACRS with half year convention</t>
  </si>
  <si>
    <t>5 Yr MACRS with half year convention</t>
  </si>
  <si>
    <t>Wage Inflation</t>
  </si>
  <si>
    <t>Property Tax as % of Prop and Plant</t>
  </si>
  <si>
    <t>Expense Inflation Rate</t>
  </si>
  <si>
    <t>Total Plant Property &amp; Equip</t>
  </si>
  <si>
    <t>Payroll Information</t>
  </si>
  <si>
    <t>Income Tax Rate</t>
  </si>
  <si>
    <t>Overtime%</t>
  </si>
  <si>
    <t>Sales Projections</t>
  </si>
  <si>
    <t>Product Name</t>
  </si>
  <si>
    <t>Price/unit</t>
  </si>
  <si>
    <t>Production Expense</t>
  </si>
  <si>
    <t>Production Expenses</t>
  </si>
  <si>
    <t>Total Utilities</t>
  </si>
  <si>
    <t>Insurance as % of Plant &amp; Equip</t>
  </si>
  <si>
    <t>Discount rate for NPV calculation</t>
  </si>
  <si>
    <t>Total PV of Income</t>
  </si>
  <si>
    <t>Total PV of Expenses</t>
  </si>
  <si>
    <t>PV Benefits Less PV Costs</t>
  </si>
  <si>
    <t>Land</t>
  </si>
  <si>
    <t>Before Tax Profit</t>
  </si>
  <si>
    <t>Tax</t>
  </si>
  <si>
    <t>After Tax Profit</t>
  </si>
  <si>
    <t>Developed by:</t>
  </si>
  <si>
    <t>For comments or suggestions contact:</t>
  </si>
  <si>
    <t>PV Benefit/PV Cost Ratio</t>
  </si>
  <si>
    <t>% of Employee INS Tax to Salaries</t>
  </si>
  <si>
    <t>Maintenance as % of Plant &amp; Equip</t>
  </si>
  <si>
    <t>Gross Sales Projection</t>
  </si>
  <si>
    <t>Price/Unit</t>
  </si>
  <si>
    <t>Gross Sales</t>
  </si>
  <si>
    <t>TOTAL GROSS SALES</t>
  </si>
  <si>
    <t>After Tax Profits</t>
  </si>
  <si>
    <t>Principle</t>
  </si>
  <si>
    <t xml:space="preserve">Cash Flow </t>
  </si>
  <si>
    <t>Return on Assets</t>
  </si>
  <si>
    <t>Estimate of Cash Flows</t>
  </si>
  <si>
    <t>(after tax income/total PPE investment)</t>
  </si>
  <si>
    <t>(does not consider increases or decreases in working capital loan)</t>
  </si>
  <si>
    <t>Payback Period (years)</t>
  </si>
  <si>
    <t>(payback period only displayed if less than 10 years)</t>
  </si>
  <si>
    <t>Less Depreciation and Term Interest</t>
  </si>
  <si>
    <t>Miscellaneous*</t>
  </si>
  <si>
    <t>Depreciation per yr. for 39 yrs.</t>
  </si>
  <si>
    <t>(after tax income/non-borrowed PPE investment)</t>
  </si>
  <si>
    <t>Average ROA</t>
  </si>
  <si>
    <t>Return on (Beginning) Equity</t>
  </si>
  <si>
    <t>Average ROE</t>
  </si>
  <si>
    <t>Bottles</t>
  </si>
  <si>
    <t>Equipment</t>
  </si>
  <si>
    <t>Bottle</t>
  </si>
  <si>
    <t>Label</t>
  </si>
  <si>
    <t>Water</t>
  </si>
  <si>
    <t>Gas</t>
  </si>
  <si>
    <t>Sewer</t>
  </si>
  <si>
    <t>Special Purpose Building</t>
  </si>
  <si>
    <t>Total Special Purpose Bldg</t>
  </si>
  <si>
    <t>Total Lt. Trucks/Vehicles</t>
  </si>
  <si>
    <t xml:space="preserve">Equipment </t>
  </si>
  <si>
    <t>REFERENCE</t>
  </si>
  <si>
    <t>1 Bottle = 750 mL</t>
  </si>
  <si>
    <t>1 Liter = 0.264172 Gallons</t>
  </si>
  <si>
    <t>1 Bottle = 0.1981 Gallons</t>
  </si>
  <si>
    <t>1 Gallon = 5.0472 Bottles</t>
  </si>
  <si>
    <t>TOTAL:</t>
  </si>
  <si>
    <t>TOTAL</t>
  </si>
  <si>
    <t>Marketing</t>
  </si>
  <si>
    <t>Lab Supplies</t>
  </si>
  <si>
    <t>Tankage</t>
  </si>
  <si>
    <t xml:space="preserve">PERSONNEL - MANAGERIAL AND ADMINISTRATIVE </t>
  </si>
  <si>
    <t>Variable Cost/unit</t>
  </si>
  <si>
    <t>Production Equipment</t>
  </si>
  <si>
    <t>Other Containers</t>
  </si>
  <si>
    <t>Bottling/PackingEquipment</t>
  </si>
  <si>
    <t>Office Equipment</t>
  </si>
  <si>
    <t>Value of Each</t>
  </si>
  <si>
    <t>Quantity</t>
  </si>
  <si>
    <t>Total # of Employees</t>
  </si>
  <si>
    <t>Hourly Wage Rate</t>
  </si>
  <si>
    <t>Hours Per Week</t>
  </si>
  <si>
    <t>Weeks Per Year</t>
  </si>
  <si>
    <t>Overtime %</t>
  </si>
  <si>
    <t xml:space="preserve">Total </t>
  </si>
  <si>
    <t>Managerial/Administrative Subtotal</t>
  </si>
  <si>
    <t>Benefit calculations are based on the percentage you entered above.</t>
  </si>
  <si>
    <t>Equipment Cost</t>
  </si>
  <si>
    <t>Total Equipment Cost</t>
  </si>
  <si>
    <t>Permits/Licenses</t>
  </si>
  <si>
    <t>Managerial</t>
  </si>
  <si>
    <t>* Year 0 miscellaneous expenses may include legal fees and other organizational expenses.</t>
  </si>
  <si>
    <t>Utilities Expenses</t>
  </si>
  <si>
    <t>Additional WC for Contingency</t>
  </si>
  <si>
    <t>Total WC Requirements</t>
  </si>
  <si>
    <t>Volume</t>
  </si>
  <si>
    <t>Merchandise</t>
  </si>
  <si>
    <t>Merchandise Mark-up %</t>
  </si>
  <si>
    <t>Merchandise Expense</t>
  </si>
  <si>
    <t>Merchandise Sales</t>
  </si>
  <si>
    <t>Sales Volume</t>
  </si>
  <si>
    <t>Installation Cost</t>
  </si>
  <si>
    <t>Utilities - per month</t>
  </si>
  <si>
    <t>Benefits as % of Salaries (Mgr/Admin)</t>
  </si>
  <si>
    <t>Benefits as % of Wage (Part-Time/Seasonal))</t>
  </si>
  <si>
    <t>Annual Supplies/Expenses/Licenses</t>
  </si>
  <si>
    <t>Air compressor</t>
  </si>
  <si>
    <t>Instruments (alcohol, temperature &amp; dissolved solids)</t>
  </si>
  <si>
    <t>Tubing, plastic, copper</t>
  </si>
  <si>
    <t>Floor scale, T&amp;A</t>
  </si>
  <si>
    <t>Spirits filter</t>
  </si>
  <si>
    <t>Water softener/treatment</t>
  </si>
  <si>
    <t>Hand bottle filler</t>
  </si>
  <si>
    <t>Utensils, allowance</t>
  </si>
  <si>
    <t>Distillery Manager</t>
  </si>
  <si>
    <t>Office/Sales Assistant</t>
  </si>
  <si>
    <t>HOURLY PERSONNEL</t>
  </si>
  <si>
    <t>Hourly Employees</t>
  </si>
  <si>
    <t>Net Marketable Gal/Batch</t>
  </si>
  <si>
    <t>Peach Moonshine</t>
  </si>
  <si>
    <t>Peach Brandy</t>
  </si>
  <si>
    <t>Craft Vodka</t>
  </si>
  <si>
    <t>Spirit 1</t>
  </si>
  <si>
    <t>Spirit 2</t>
  </si>
  <si>
    <t>Spirit 3</t>
  </si>
  <si>
    <t>Spirit 4</t>
  </si>
  <si>
    <t>Spirit 5</t>
  </si>
  <si>
    <t>Spirit 6</t>
  </si>
  <si>
    <t>Years Aged</t>
  </si>
  <si>
    <t>Production Year</t>
  </si>
  <si>
    <t>Percent of Annual Production Capacity</t>
  </si>
  <si>
    <t>Annual Marketable Production (bottles)</t>
  </si>
  <si>
    <t>Feedstock Cost/Batch</t>
  </si>
  <si>
    <t>Feedstock Cost/Bottle</t>
  </si>
  <si>
    <t>Bottles/Batch</t>
  </si>
  <si>
    <t>#6</t>
  </si>
  <si>
    <t>Actual Annual Production (bottles)</t>
  </si>
  <si>
    <t>Merchandise Sales as % of Spirit Sales</t>
  </si>
  <si>
    <t>Total Gross Spirits Sales</t>
  </si>
  <si>
    <t>Distillery's Number of Batches/Year:</t>
  </si>
  <si>
    <t>Electricity</t>
  </si>
  <si>
    <t>CRAFT DISTILLERY PRODUCTION ASSUMPTIONS</t>
  </si>
  <si>
    <t>*Estimates of product yields per batch</t>
  </si>
  <si>
    <t>*Annual production (what's made) vs. annual sales (what's available to sell)</t>
  </si>
  <si>
    <t xml:space="preserve">     -Accounts for the aging process for designated spirits.</t>
  </si>
  <si>
    <t>BATCH PRODUCTION ASSUMPTIONS, COSTS, YIELDS (account for aging losses in yield), &amp; PRICES</t>
  </si>
  <si>
    <t>ANNUAL MARKETABLE PRODUCTION (accounts for aging) vs. ACTUAL ANNUAL PRODUCTION</t>
  </si>
  <si>
    <t>Lid/Cap/Cork</t>
  </si>
  <si>
    <t>Boxing (for cases)</t>
  </si>
  <si>
    <t>Bottling/Labeling/Pkg. Costs</t>
  </si>
  <si>
    <t>OTHER PRODUCTION, OPERATING, AND REGULATORY ASSUMPTIONS &amp; COSTS</t>
  </si>
  <si>
    <t>Start-Up Licenses, Fees, &amp; Bonds</t>
  </si>
  <si>
    <t>State Review, Approval, Bonding</t>
  </si>
  <si>
    <t>Federal Review, Approval, Bonding</t>
  </si>
  <si>
    <t>Total Bottles Marketing during Fiscal Year</t>
  </si>
  <si>
    <t>Total Labor &amp; Variable</t>
  </si>
  <si>
    <t>Labor &amp; Variable</t>
  </si>
  <si>
    <t>Federal/State Excise Taxes</t>
  </si>
  <si>
    <t>Federal Licenses/Permits</t>
  </si>
  <si>
    <t>TX Distillers/Rectifiers permit/surcharge</t>
  </si>
  <si>
    <t>Distlliler's Agent Permit/surcharge</t>
  </si>
  <si>
    <t>Wholesaler's Permit/surcharge</t>
  </si>
  <si>
    <t>Bottle/Label/Packaging Costs, 750 ml Bottles*</t>
  </si>
  <si>
    <t>*Average across all production options</t>
  </si>
  <si>
    <t>Production Employee</t>
  </si>
  <si>
    <t>Hourly Subtotal</t>
  </si>
  <si>
    <t>Working Capital as % of Sales</t>
  </si>
  <si>
    <t>Working Capital in Dollars</t>
  </si>
  <si>
    <t>Plant, Property, &amp; Equipment</t>
  </si>
  <si>
    <t>(Depreciation calculated here)</t>
  </si>
  <si>
    <t>Personnel Expenses</t>
  </si>
  <si>
    <t>Marketing/Sales Projections: Accounting for Annual Production vs. Annual Marketable Production</t>
  </si>
  <si>
    <t xml:space="preserve">(There are no inputs on this page.) </t>
  </si>
  <si>
    <t>Loan Amortization, Interest Expense Calculations</t>
  </si>
  <si>
    <t>Distillery Expense Projections</t>
  </si>
  <si>
    <t xml:space="preserve">(Inputs for "Supplies" and "Miscellaneous" expenses.)  </t>
  </si>
  <si>
    <t>Profit/Loss Statement, with Estimated Annual Cash Flows</t>
  </si>
  <si>
    <t>Return on Investment Calculations</t>
  </si>
  <si>
    <t>(NPV, ROA, ROE, Payback Period)</t>
  </si>
  <si>
    <t>Spirit's Alcohol by Volume (%)</t>
  </si>
  <si>
    <t>Property &amp; Income Tax Information</t>
  </si>
  <si>
    <t>*Assumes &lt;100,000 gal/year production</t>
  </si>
  <si>
    <t>Federal Excise Tax per Gallon*</t>
  </si>
  <si>
    <t>State Excise Tax per Gallon</t>
  </si>
  <si>
    <t>Excise Taxes per Proof Gallon</t>
  </si>
  <si>
    <t>PROOF GALLONS "REMOVED" (i.e. marketed after accounting for aging, for excise tax calculations)</t>
  </si>
  <si>
    <t>Total Proof Gallons</t>
  </si>
  <si>
    <t>Gross Spirits Sales</t>
  </si>
  <si>
    <t>Supplies &amp; Marketing</t>
  </si>
  <si>
    <t>Walk-in cooler (indoor, 8'x10')</t>
  </si>
  <si>
    <t>$/Each</t>
  </si>
  <si>
    <t>Annual Barrel Costs</t>
  </si>
  <si>
    <t>Capital Requirements/Debt Financing Information</t>
  </si>
  <si>
    <t>Annual Wood Barrel Costs*</t>
  </si>
  <si>
    <t>reused. Depending on the type of spirit manufactured, barrels might only</t>
  </si>
  <si>
    <t>be used once for aging spirits. They may/may not have a salvage value.</t>
  </si>
  <si>
    <t>*Barrels may/may not be needed, depending on spirits manufactured.</t>
  </si>
  <si>
    <t>Annual barrel costs can vary by size of barrel and if/how often they are</t>
  </si>
  <si>
    <t>If barrels are used, make sure you calculate your expected barrel needs.</t>
  </si>
  <si>
    <t>Annual barrel costs</t>
  </si>
  <si>
    <t>Total Plant Property and Equipment</t>
  </si>
  <si>
    <t>Distilled Spirits Manufacturing - Feasibility Assessment Tool</t>
  </si>
  <si>
    <t xml:space="preserve">Rodney Holcomb, Tim Bowser, and Phil Kenkel - Oklahoma State University </t>
  </si>
  <si>
    <t>Rodney Holcomb, rodney.holcomb@okstate.edu, 405-744-6272</t>
  </si>
  <si>
    <t>Tim Bowser, bowser@okstate.edu, 405-744-6688</t>
  </si>
  <si>
    <t>Phil Kenkel, phil.kenkel@okstate.edu, 405-744-9818</t>
  </si>
  <si>
    <t>Wash/sanitize three-compartment sink with faucet</t>
  </si>
  <si>
    <t>Dishmachine</t>
  </si>
  <si>
    <t>Wire storage shelves</t>
  </si>
  <si>
    <t>24'x36' metal building on concrete slab</t>
  </si>
  <si>
    <t>Water &amp; sewer connections and commercial upgrades</t>
  </si>
  <si>
    <t>Electrical &amp; gas connections and commercial upgrades</t>
  </si>
  <si>
    <t>Security system (BATF requirement)</t>
  </si>
  <si>
    <t>100 gallon pot still w/ accessories</t>
  </si>
  <si>
    <t>Installation Cost as Percent of Equipment Costs</t>
  </si>
  <si>
    <t>Backflow prevention</t>
  </si>
  <si>
    <t>Mash pump, air diaphram</t>
  </si>
  <si>
    <t>Mop and sink faucet</t>
  </si>
  <si>
    <t>Pipes and valves (brass and stainless)</t>
  </si>
  <si>
    <t>Stainless storage shelves (4)</t>
  </si>
  <si>
    <t>Furniture allowance for offices, reception area</t>
  </si>
  <si>
    <t>Receiving tank (90 gallons)</t>
  </si>
  <si>
    <t>To protect the many formulas in the template, you can only access the peach-colored cells:</t>
  </si>
  <si>
    <t>To get started go to one of the tab links below.  Your input is required on each of the following tabs:</t>
  </si>
  <si>
    <r>
      <rPr>
        <b/>
        <u/>
        <sz val="13"/>
        <rFont val="Arial"/>
        <family val="2"/>
      </rPr>
      <t>Personnel Expenses</t>
    </r>
    <r>
      <rPr>
        <b/>
        <sz val="13"/>
        <rFont val="Arial"/>
        <family val="2"/>
      </rPr>
      <t>: Salaried employees (all other employees not listed as production labor) and information on payroll taxes, benefits, wage inflation, etc.</t>
    </r>
  </si>
  <si>
    <r>
      <rPr>
        <b/>
        <u/>
        <sz val="13"/>
        <rFont val="Arial"/>
        <family val="2"/>
      </rPr>
      <t>PPE &amp; Depreciation</t>
    </r>
    <r>
      <rPr>
        <b/>
        <sz val="13"/>
        <rFont val="Arial"/>
        <family val="2"/>
      </rPr>
      <t>: Determination of Plant, Property and Equipment (PPE) costs, with information on depreciation schedules and links to loan amortization.</t>
    </r>
  </si>
  <si>
    <r>
      <t>Spirits Production:</t>
    </r>
    <r>
      <rPr>
        <b/>
        <sz val="13"/>
        <rFont val="Arial"/>
        <family val="2"/>
      </rPr>
      <t xml:space="preserve"> Input information for up to six different types of spirits to be manufactured, including batch size and yield per batch.</t>
    </r>
  </si>
  <si>
    <t>Note: Details on loan amortization, using financing information</t>
  </si>
  <si>
    <t>Loan Amortization</t>
  </si>
  <si>
    <t>from the "Op Assumptions" tab and this tab, can be seen by</t>
  </si>
  <si>
    <t>clicking on this link:</t>
  </si>
  <si>
    <r>
      <rPr>
        <b/>
        <u/>
        <sz val="13"/>
        <rFont val="Arial"/>
        <family val="2"/>
      </rPr>
      <t>Expense Projection</t>
    </r>
    <r>
      <rPr>
        <b/>
        <sz val="13"/>
        <rFont val="Arial"/>
        <family val="2"/>
      </rPr>
      <t>:  Start-up and annual supplies and miscellaneous expenses.</t>
    </r>
  </si>
  <si>
    <t>Non-input tabs include:</t>
  </si>
  <si>
    <r>
      <rPr>
        <b/>
        <u/>
        <sz val="13"/>
        <rFont val="Arial"/>
        <family val="2"/>
      </rPr>
      <t>Market Projection</t>
    </r>
    <r>
      <rPr>
        <b/>
        <sz val="13"/>
        <rFont val="Arial"/>
        <family val="2"/>
      </rPr>
      <t>: Estimates of annual sales revenues and costs of goods sold (COGS) for years 1-10.</t>
    </r>
  </si>
  <si>
    <r>
      <rPr>
        <b/>
        <u/>
        <sz val="13"/>
        <rFont val="Arial"/>
        <family val="2"/>
      </rPr>
      <t>Loan Amortization</t>
    </r>
    <r>
      <rPr>
        <b/>
        <sz val="13"/>
        <rFont val="Arial"/>
        <family val="2"/>
      </rPr>
      <t>: Annual principal and interest payment calculations, plus interest expense for working capital loans.</t>
    </r>
  </si>
  <si>
    <r>
      <rPr>
        <b/>
        <u/>
        <sz val="13"/>
        <rFont val="Arial"/>
        <family val="2"/>
      </rPr>
      <t>Profit-Loss</t>
    </r>
    <r>
      <rPr>
        <b/>
        <sz val="13"/>
        <rFont val="Arial"/>
        <family val="2"/>
      </rPr>
      <t>: Estimates of annual profit/loss and annual cash flows for the startup year (Year 0) and years 1-10.</t>
    </r>
  </si>
  <si>
    <t>30 gallon oak barrels</t>
  </si>
  <si>
    <t>53 gallon oak barrels</t>
  </si>
  <si>
    <t>15 gallon oak barrels</t>
  </si>
  <si>
    <t>Sales Price Inflation Rate</t>
  </si>
  <si>
    <t>The template is a free, "what you see is what you get" (WYSIWYG) tool, but it can be modified with permission and assistance from the authors.</t>
  </si>
  <si>
    <r>
      <t>Operating ("Op") Assumptions:</t>
    </r>
    <r>
      <rPr>
        <b/>
        <sz val="13"/>
        <rFont val="Arial"/>
        <family val="2"/>
      </rPr>
      <t xml:space="preserve"> Enter details about operating costs, financing assumptions, licenses and fees, taxes, discount rate for NPV calculations, etc.</t>
    </r>
  </si>
  <si>
    <r>
      <rPr>
        <b/>
        <u/>
        <sz val="13"/>
        <rFont val="Arial"/>
        <family val="2"/>
      </rPr>
      <t>Return on Investment</t>
    </r>
    <r>
      <rPr>
        <b/>
        <sz val="13"/>
        <rFont val="Arial"/>
        <family val="2"/>
      </rPr>
      <t>: Estimates of Net Present Value, Internal Rate of Return, Payback Period (if &lt;10 years), Return on Assets, and Return on Equity.</t>
    </r>
  </si>
  <si>
    <t>This template is designed to assist you in assessing the feasibility of a micro-distillery venture.</t>
  </si>
  <si>
    <r>
      <rPr>
        <b/>
        <u/>
        <sz val="13"/>
        <rFont val="Arial"/>
        <family val="2"/>
      </rPr>
      <t>Disclaimer</t>
    </r>
    <r>
      <rPr>
        <b/>
        <sz val="13"/>
        <rFont val="Arial"/>
        <family val="2"/>
      </rPr>
      <t xml:space="preserve">: This decision-making template helps you compare "what if" scenarios by entering your own numbers and assumptions.  We have made the template as user-friendly as possible, but you do need basic familiarity with Microsoft Excel.  Information in the cells represent a </t>
    </r>
    <r>
      <rPr>
        <b/>
        <u/>
        <sz val="13"/>
        <rFont val="Arial"/>
        <family val="2"/>
      </rPr>
      <t>hypothetical</t>
    </r>
    <r>
      <rPr>
        <b/>
        <sz val="13"/>
        <rFont val="Arial"/>
        <family val="2"/>
      </rPr>
      <t xml:space="preserve"> venture. All results are approximate and should be treated with caution.  Even small errors in your assumptions can lead to highly misleading conclusions.  While every precaution has been taken in preparing this template, the authors and Oklahoma State University do not assume any liability for any loss or damage caused or alleged to be caused, directly or indirectly, to any person or entity by the use of this template.</t>
    </r>
  </si>
  <si>
    <t>Chemical cabinet</t>
  </si>
  <si>
    <t>Labeler, manual</t>
  </si>
  <si>
    <t>Click icon above to open user's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</si>
</sst>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0_);[Red]\(&quot;$&quot;#,##0.000\)"/>
    <numFmt numFmtId="165" formatCode="&quot;$&quot;#,##0"/>
    <numFmt numFmtId="166" formatCode="_(&quot;$&quot;* #,##0_);_(&quot;$&quot;* \(#,##0\);_(&quot;$&quot;* &quot;-&quot;??_);_(@_)"/>
    <numFmt numFmtId="167" formatCode="&quot;$&quot;#,##0.00"/>
    <numFmt numFmtId="168" formatCode="_(* #,##0_);_(* \(#,##0\);_(* &quot;-&quot;??_);_(@_)"/>
    <numFmt numFmtId="169" formatCode="_(* #,##0.0000_);_(* \(#,##0.0000\);_(* &quot;-&quot;????_);_(@_)"/>
  </numFmts>
  <fonts count="28" x14ac:knownFonts="1">
    <font>
      <sz val="10"/>
      <name val="Arial"/>
    </font>
    <font>
      <sz val="10"/>
      <name val="Arial"/>
      <family val="2"/>
    </font>
    <font>
      <b/>
      <sz val="10"/>
      <name val="Arial"/>
      <family val="2"/>
    </font>
    <font>
      <b/>
      <u/>
      <sz val="10"/>
      <name val="Arial"/>
      <family val="2"/>
    </font>
    <font>
      <sz val="10"/>
      <name val="Arial"/>
      <family val="2"/>
    </font>
    <font>
      <b/>
      <sz val="10"/>
      <name val="Arial"/>
      <family val="2"/>
    </font>
    <font>
      <sz val="10"/>
      <name val="Book Antiqua"/>
      <family val="1"/>
    </font>
    <font>
      <b/>
      <sz val="14"/>
      <name val="Arial"/>
      <family val="2"/>
    </font>
    <font>
      <b/>
      <sz val="12"/>
      <name val="Arial"/>
      <family val="2"/>
    </font>
    <font>
      <b/>
      <i/>
      <sz val="14"/>
      <name val="Arial"/>
      <family val="2"/>
    </font>
    <font>
      <b/>
      <sz val="13"/>
      <name val="Arial"/>
      <family val="2"/>
    </font>
    <font>
      <sz val="18"/>
      <name val="Arial"/>
      <family val="2"/>
    </font>
    <font>
      <sz val="10"/>
      <color indexed="9"/>
      <name val="Arial"/>
      <family val="2"/>
    </font>
    <font>
      <u/>
      <sz val="10"/>
      <color indexed="12"/>
      <name val="Arial"/>
      <family val="2"/>
    </font>
    <font>
      <u/>
      <sz val="10"/>
      <color indexed="9"/>
      <name val="Arial"/>
      <family val="2"/>
    </font>
    <font>
      <b/>
      <i/>
      <sz val="10"/>
      <name val="Arial"/>
      <family val="2"/>
    </font>
    <font>
      <b/>
      <sz val="10"/>
      <color indexed="10"/>
      <name val="Arial"/>
      <family val="2"/>
    </font>
    <font>
      <sz val="10"/>
      <color indexed="9"/>
      <name val="Arial"/>
      <family val="2"/>
    </font>
    <font>
      <u/>
      <sz val="10"/>
      <color indexed="9"/>
      <name val="Arial"/>
      <family val="2"/>
    </font>
    <font>
      <sz val="12"/>
      <name val="Arial"/>
      <family val="2"/>
    </font>
    <font>
      <sz val="10"/>
      <name val="Arial"/>
      <family val="2"/>
    </font>
    <font>
      <sz val="10"/>
      <name val="Arial"/>
      <family val="2"/>
    </font>
    <font>
      <sz val="10"/>
      <name val="Arial"/>
      <family val="2"/>
    </font>
    <font>
      <sz val="10"/>
      <color rgb="FFFF0000"/>
      <name val="Arial"/>
      <family val="2"/>
    </font>
    <font>
      <b/>
      <u/>
      <sz val="13"/>
      <name val="Arial"/>
      <family val="2"/>
    </font>
    <font>
      <b/>
      <sz val="24"/>
      <name val="Arial"/>
      <family val="2"/>
    </font>
    <font>
      <sz val="24"/>
      <name val="Arial"/>
      <family val="2"/>
    </font>
    <font>
      <sz val="9"/>
      <color indexed="81"/>
      <name val="Tahoma"/>
      <charset val="1"/>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rgb="FFFFCC99"/>
        <bgColor indexed="64"/>
      </patternFill>
    </fill>
    <fill>
      <patternFill patternType="solid">
        <fgColor theme="2" tint="-9.9978637043366805E-2"/>
        <bgColor indexed="64"/>
      </patternFill>
    </fill>
  </fills>
  <borders count="34">
    <border>
      <left/>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ck">
        <color indexed="64"/>
      </left>
      <right/>
      <top/>
      <bottom/>
      <diagonal/>
    </border>
    <border>
      <left/>
      <right style="thick">
        <color indexed="64"/>
      </right>
      <top/>
      <bottom/>
      <diagonal/>
    </border>
    <border>
      <left style="medium">
        <color indexed="64"/>
      </left>
      <right/>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s>
  <cellStyleXfs count="6">
    <xf numFmtId="0" fontId="0" fillId="0" borderId="0" applyFill="0" applyBorder="0"/>
    <xf numFmtId="43" fontId="1" fillId="0" borderId="0" applyFont="0" applyFill="0" applyBorder="0" applyAlignment="0" applyProtection="0"/>
    <xf numFmtId="44" fontId="1" fillId="0" borderId="0" applyFont="0" applyFill="0" applyBorder="0" applyAlignment="0" applyProtection="0"/>
    <xf numFmtId="0" fontId="13"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cellStyleXfs>
  <cellXfs count="387">
    <xf numFmtId="0" fontId="0" fillId="0" borderId="0" xfId="0"/>
    <xf numFmtId="0" fontId="2" fillId="0" borderId="0" xfId="0" applyFont="1"/>
    <xf numFmtId="0" fontId="3" fillId="0" borderId="0" xfId="0" applyFont="1" applyAlignment="1">
      <alignment horizontal="center"/>
    </xf>
    <xf numFmtId="0" fontId="3" fillId="0" borderId="0" xfId="0" applyFont="1"/>
    <xf numFmtId="9" fontId="0" fillId="0" borderId="0" xfId="0" applyNumberFormat="1"/>
    <xf numFmtId="9" fontId="3" fillId="0" borderId="0" xfId="0" applyNumberFormat="1" applyFont="1" applyAlignment="1">
      <alignment horizontal="center"/>
    </xf>
    <xf numFmtId="38" fontId="0" fillId="0" borderId="0" xfId="0" applyNumberFormat="1"/>
    <xf numFmtId="38" fontId="2" fillId="0" borderId="0" xfId="0" applyNumberFormat="1" applyFont="1"/>
    <xf numFmtId="6" fontId="0" fillId="0" borderId="0" xfId="0" applyNumberFormat="1"/>
    <xf numFmtId="6" fontId="2" fillId="0" borderId="0" xfId="0" applyNumberFormat="1" applyFont="1"/>
    <xf numFmtId="9" fontId="4" fillId="0" borderId="0" xfId="0" applyNumberFormat="1" applyFont="1"/>
    <xf numFmtId="9" fontId="4" fillId="0" borderId="0" xfId="0" applyNumberFormat="1" applyFont="1" applyFill="1"/>
    <xf numFmtId="0" fontId="0" fillId="0" borderId="0" xfId="0" applyFill="1" applyBorder="1"/>
    <xf numFmtId="0" fontId="2" fillId="0" borderId="0" xfId="0" applyFont="1" applyBorder="1"/>
    <xf numFmtId="166" fontId="0" fillId="0" borderId="0" xfId="2" applyNumberFormat="1" applyFont="1"/>
    <xf numFmtId="6" fontId="0" fillId="0" borderId="0" xfId="0" applyNumberFormat="1" applyFill="1" applyProtection="1"/>
    <xf numFmtId="44" fontId="0" fillId="0" borderId="0" xfId="2" applyFont="1"/>
    <xf numFmtId="0" fontId="7" fillId="0" borderId="0" xfId="0" applyFont="1" applyFill="1" applyBorder="1"/>
    <xf numFmtId="0" fontId="9" fillId="0" borderId="0" xfId="0" applyFont="1" applyFill="1" applyBorder="1"/>
    <xf numFmtId="0" fontId="10" fillId="0" borderId="0" xfId="0" applyFont="1" applyFill="1" applyBorder="1"/>
    <xf numFmtId="0" fontId="2" fillId="0" borderId="0" xfId="0" applyFont="1" applyFill="1" applyBorder="1"/>
    <xf numFmtId="166" fontId="2" fillId="0" borderId="0" xfId="0" applyNumberFormat="1" applyFont="1"/>
    <xf numFmtId="10" fontId="0" fillId="0" borderId="0" xfId="0" applyNumberFormat="1" applyFill="1" applyProtection="1"/>
    <xf numFmtId="1" fontId="0" fillId="0" borderId="0" xfId="2" applyNumberFormat="1" applyFont="1"/>
    <xf numFmtId="0" fontId="11" fillId="0" borderId="0" xfId="0" applyFont="1"/>
    <xf numFmtId="0" fontId="2" fillId="0" borderId="0" xfId="0" applyFont="1" applyBorder="1" applyProtection="1"/>
    <xf numFmtId="0" fontId="0" fillId="0" borderId="0" xfId="0" applyBorder="1" applyProtection="1"/>
    <xf numFmtId="0" fontId="0" fillId="0" borderId="0" xfId="0" applyProtection="1"/>
    <xf numFmtId="0" fontId="2" fillId="0" borderId="0" xfId="0" applyFont="1" applyProtection="1"/>
    <xf numFmtId="38" fontId="2" fillId="0" borderId="0" xfId="0" applyNumberFormat="1" applyFont="1" applyProtection="1"/>
    <xf numFmtId="0" fontId="0" fillId="0" borderId="0" xfId="0" applyFill="1" applyProtection="1"/>
    <xf numFmtId="0" fontId="8" fillId="0" borderId="0" xfId="0" applyFont="1" applyProtection="1"/>
    <xf numFmtId="0" fontId="2" fillId="0" borderId="1" xfId="0" applyFont="1" applyBorder="1" applyProtection="1"/>
    <xf numFmtId="0" fontId="3" fillId="0" borderId="0" xfId="0" applyFont="1" applyAlignment="1" applyProtection="1">
      <alignment horizontal="center"/>
    </xf>
    <xf numFmtId="0" fontId="3" fillId="0" borderId="0" xfId="0" applyFont="1" applyProtection="1"/>
    <xf numFmtId="9" fontId="0" fillId="0" borderId="0" xfId="0" applyNumberFormat="1" applyProtection="1"/>
    <xf numFmtId="38" fontId="0" fillId="0" borderId="0" xfId="0" applyNumberFormat="1" applyProtection="1"/>
    <xf numFmtId="0" fontId="2" fillId="0" borderId="0" xfId="0" applyFont="1" applyFill="1" applyProtection="1"/>
    <xf numFmtId="164" fontId="0" fillId="0" borderId="0" xfId="0" applyNumberFormat="1" applyFill="1" applyProtection="1"/>
    <xf numFmtId="6" fontId="0" fillId="0" borderId="0" xfId="0" applyNumberFormat="1" applyProtection="1"/>
    <xf numFmtId="166" fontId="0" fillId="0" borderId="0" xfId="2" applyNumberFormat="1" applyFont="1" applyProtection="1"/>
    <xf numFmtId="0" fontId="0" fillId="0" borderId="0" xfId="0" applyNumberFormat="1" applyFill="1" applyProtection="1"/>
    <xf numFmtId="8" fontId="0" fillId="0" borderId="0" xfId="0" applyNumberFormat="1" applyProtection="1"/>
    <xf numFmtId="165" fontId="0" fillId="0" borderId="0" xfId="0" applyNumberFormat="1" applyProtection="1"/>
    <xf numFmtId="10" fontId="0" fillId="0" borderId="0" xfId="0" applyNumberFormat="1" applyProtection="1"/>
    <xf numFmtId="0" fontId="0" fillId="0" borderId="0" xfId="0" applyFill="1" applyBorder="1" applyProtection="1"/>
    <xf numFmtId="166" fontId="2" fillId="0" borderId="0" xfId="2" applyNumberFormat="1" applyFont="1" applyProtection="1"/>
    <xf numFmtId="166" fontId="0" fillId="0" borderId="0" xfId="2" applyNumberFormat="1" applyFont="1" applyFill="1" applyProtection="1"/>
    <xf numFmtId="0" fontId="15" fillId="0" borderId="0" xfId="0" applyFont="1" applyProtection="1"/>
    <xf numFmtId="0" fontId="2" fillId="0" borderId="0" xfId="0" applyFont="1" applyAlignment="1" applyProtection="1">
      <alignment horizontal="center"/>
    </xf>
    <xf numFmtId="6" fontId="2" fillId="0" borderId="0" xfId="0" applyNumberFormat="1" applyFont="1" applyAlignment="1" applyProtection="1">
      <alignment horizontal="center"/>
    </xf>
    <xf numFmtId="9" fontId="2" fillId="0" borderId="0" xfId="0" applyNumberFormat="1" applyFont="1" applyProtection="1"/>
    <xf numFmtId="10" fontId="2" fillId="0" borderId="0" xfId="0" applyNumberFormat="1" applyFont="1" applyFill="1" applyProtection="1"/>
    <xf numFmtId="6" fontId="0" fillId="0" borderId="2" xfId="0" applyNumberFormat="1" applyBorder="1" applyProtection="1"/>
    <xf numFmtId="10" fontId="0" fillId="0" borderId="3" xfId="0" applyNumberFormat="1" applyBorder="1" applyProtection="1"/>
    <xf numFmtId="2" fontId="0" fillId="0" borderId="4" xfId="0" applyNumberFormat="1" applyBorder="1" applyProtection="1"/>
    <xf numFmtId="0" fontId="2" fillId="0" borderId="0" xfId="0" applyFont="1" applyFill="1" applyBorder="1" applyProtection="1"/>
    <xf numFmtId="10" fontId="0" fillId="0" borderId="0" xfId="5" applyNumberFormat="1" applyFont="1" applyProtection="1"/>
    <xf numFmtId="1" fontId="0" fillId="0" borderId="0" xfId="0" applyNumberFormat="1" applyProtection="1"/>
    <xf numFmtId="44" fontId="0" fillId="0" borderId="0" xfId="0" applyNumberFormat="1"/>
    <xf numFmtId="44" fontId="2" fillId="0" borderId="0" xfId="0" applyNumberFormat="1" applyFont="1"/>
    <xf numFmtId="2" fontId="0" fillId="0" borderId="0" xfId="0" applyNumberFormat="1" applyBorder="1" applyProtection="1"/>
    <xf numFmtId="0" fontId="3" fillId="0" borderId="0" xfId="0" applyFont="1" applyFill="1" applyBorder="1" applyProtection="1"/>
    <xf numFmtId="166" fontId="0" fillId="2" borderId="0" xfId="2" applyNumberFormat="1" applyFont="1" applyFill="1" applyProtection="1"/>
    <xf numFmtId="167" fontId="0" fillId="0" borderId="0" xfId="2" applyNumberFormat="1" applyFont="1" applyFill="1" applyBorder="1" applyProtection="1"/>
    <xf numFmtId="0" fontId="0" fillId="0" borderId="5" xfId="0" applyBorder="1" applyProtection="1"/>
    <xf numFmtId="8" fontId="3" fillId="0" borderId="0" xfId="0" applyNumberFormat="1" applyFont="1" applyBorder="1" applyAlignment="1" applyProtection="1">
      <alignment horizontal="center"/>
    </xf>
    <xf numFmtId="0" fontId="0" fillId="0" borderId="6" xfId="0" applyBorder="1" applyProtection="1"/>
    <xf numFmtId="8" fontId="0" fillId="0" borderId="0" xfId="0" applyNumberFormat="1" applyBorder="1" applyProtection="1"/>
    <xf numFmtId="0" fontId="2" fillId="0" borderId="6" xfId="0" applyFont="1" applyBorder="1" applyProtection="1"/>
    <xf numFmtId="6" fontId="0" fillId="0" borderId="0" xfId="0" applyNumberFormat="1" applyBorder="1" applyProtection="1"/>
    <xf numFmtId="0" fontId="2" fillId="0" borderId="7" xfId="0" applyFont="1" applyBorder="1" applyProtection="1"/>
    <xf numFmtId="0" fontId="2" fillId="0" borderId="8" xfId="0" applyFont="1" applyBorder="1" applyProtection="1"/>
    <xf numFmtId="6" fontId="0" fillId="0" borderId="0" xfId="0" applyNumberFormat="1" applyFill="1" applyBorder="1" applyAlignment="1" applyProtection="1">
      <alignment horizontal="center"/>
    </xf>
    <xf numFmtId="6" fontId="0" fillId="0" borderId="0" xfId="0" applyNumberFormat="1" applyBorder="1" applyAlignment="1" applyProtection="1">
      <alignment horizontal="center"/>
    </xf>
    <xf numFmtId="9" fontId="0" fillId="0" borderId="0" xfId="5" applyFont="1" applyFill="1" applyBorder="1" applyAlignment="1" applyProtection="1">
      <alignment horizontal="center"/>
    </xf>
    <xf numFmtId="166" fontId="0" fillId="0" borderId="0" xfId="2" applyNumberFormat="1" applyFont="1" applyBorder="1" applyAlignment="1" applyProtection="1">
      <alignment horizontal="center"/>
    </xf>
    <xf numFmtId="6" fontId="0" fillId="0" borderId="9" xfId="0" applyNumberFormat="1" applyBorder="1" applyAlignment="1" applyProtection="1">
      <alignment horizontal="center"/>
    </xf>
    <xf numFmtId="6" fontId="0" fillId="0" borderId="7" xfId="0" applyNumberFormat="1" applyBorder="1" applyAlignment="1" applyProtection="1">
      <alignment horizontal="center"/>
    </xf>
    <xf numFmtId="8" fontId="0" fillId="0" borderId="7" xfId="0" applyNumberFormat="1" applyBorder="1" applyAlignment="1" applyProtection="1">
      <alignment horizontal="center"/>
    </xf>
    <xf numFmtId="6" fontId="0" fillId="0" borderId="10" xfId="0" applyNumberFormat="1" applyBorder="1" applyAlignment="1" applyProtection="1">
      <alignment horizontal="center"/>
    </xf>
    <xf numFmtId="0" fontId="2" fillId="0" borderId="11" xfId="0" applyFont="1" applyBorder="1" applyAlignment="1" applyProtection="1">
      <alignment horizontal="center"/>
    </xf>
    <xf numFmtId="0" fontId="2" fillId="0" borderId="12" xfId="0" applyFont="1" applyBorder="1" applyAlignment="1" applyProtection="1">
      <alignment horizontal="center"/>
    </xf>
    <xf numFmtId="8" fontId="2" fillId="0" borderId="12" xfId="0" applyNumberFormat="1" applyFont="1" applyBorder="1" applyAlignment="1" applyProtection="1">
      <alignment horizontal="center"/>
    </xf>
    <xf numFmtId="8" fontId="2" fillId="0" borderId="13" xfId="0" applyNumberFormat="1" applyFont="1" applyBorder="1" applyAlignment="1" applyProtection="1">
      <alignment horizontal="center"/>
    </xf>
    <xf numFmtId="0" fontId="2" fillId="0" borderId="11" xfId="0" applyFont="1" applyBorder="1" applyProtection="1"/>
    <xf numFmtId="0" fontId="0" fillId="0" borderId="12" xfId="0" applyFill="1" applyBorder="1" applyProtection="1"/>
    <xf numFmtId="8" fontId="0" fillId="0" borderId="13" xfId="0" applyNumberFormat="1" applyBorder="1" applyProtection="1"/>
    <xf numFmtId="10" fontId="0" fillId="0" borderId="0" xfId="0" applyNumberFormat="1" applyFill="1" applyBorder="1" applyProtection="1"/>
    <xf numFmtId="0" fontId="4" fillId="0" borderId="6" xfId="0" applyFont="1" applyBorder="1" applyProtection="1"/>
    <xf numFmtId="0" fontId="4" fillId="0" borderId="8" xfId="0" applyFont="1" applyBorder="1" applyProtection="1"/>
    <xf numFmtId="0" fontId="2" fillId="0" borderId="14" xfId="0" applyFont="1" applyBorder="1" applyProtection="1"/>
    <xf numFmtId="6" fontId="0" fillId="0" borderId="14" xfId="0" applyNumberFormat="1" applyFill="1" applyBorder="1" applyAlignment="1" applyProtection="1">
      <alignment horizontal="center"/>
    </xf>
    <xf numFmtId="6" fontId="0" fillId="0" borderId="14" xfId="0" applyNumberFormat="1" applyBorder="1" applyAlignment="1" applyProtection="1">
      <alignment horizontal="center"/>
    </xf>
    <xf numFmtId="9" fontId="0" fillId="0" borderId="14" xfId="5" applyFont="1" applyFill="1" applyBorder="1" applyAlignment="1" applyProtection="1">
      <alignment horizontal="center"/>
    </xf>
    <xf numFmtId="166" fontId="0" fillId="0" borderId="14" xfId="2" applyNumberFormat="1" applyFont="1" applyBorder="1" applyAlignment="1" applyProtection="1">
      <alignment horizontal="center"/>
    </xf>
    <xf numFmtId="6" fontId="0" fillId="0" borderId="15" xfId="0" applyNumberFormat="1" applyBorder="1" applyAlignment="1" applyProtection="1">
      <alignment horizontal="center"/>
    </xf>
    <xf numFmtId="0" fontId="0" fillId="0" borderId="0" xfId="0" applyFill="1" applyAlignment="1" applyProtection="1">
      <alignment horizontal="center"/>
    </xf>
    <xf numFmtId="38" fontId="0" fillId="0" borderId="0" xfId="0" applyNumberFormat="1" applyFill="1" applyProtection="1"/>
    <xf numFmtId="9" fontId="0" fillId="0" borderId="0" xfId="5" applyFont="1" applyFill="1" applyProtection="1"/>
    <xf numFmtId="44" fontId="0" fillId="0" borderId="0" xfId="2" applyFont="1" applyFill="1" applyProtection="1"/>
    <xf numFmtId="38" fontId="2" fillId="0" borderId="0" xfId="0" applyNumberFormat="1" applyFont="1" applyFill="1" applyProtection="1"/>
    <xf numFmtId="6" fontId="0" fillId="0" borderId="9" xfId="0" applyNumberFormat="1" applyFill="1" applyBorder="1" applyProtection="1"/>
    <xf numFmtId="0" fontId="4" fillId="0" borderId="8" xfId="0" applyFont="1" applyBorder="1" applyAlignment="1" applyProtection="1">
      <alignment horizontal="left"/>
    </xf>
    <xf numFmtId="0" fontId="2" fillId="0" borderId="8" xfId="0" applyFont="1" applyFill="1" applyBorder="1" applyProtection="1"/>
    <xf numFmtId="0" fontId="0" fillId="0" borderId="13" xfId="0" applyFill="1" applyBorder="1" applyProtection="1"/>
    <xf numFmtId="9" fontId="0" fillId="0" borderId="0" xfId="0" applyNumberFormat="1" applyFill="1" applyBorder="1" applyProtection="1"/>
    <xf numFmtId="0" fontId="0" fillId="0" borderId="8" xfId="0" applyBorder="1" applyProtection="1"/>
    <xf numFmtId="10" fontId="0" fillId="0" borderId="13" xfId="0" applyNumberFormat="1" applyFill="1" applyBorder="1" applyProtection="1"/>
    <xf numFmtId="0" fontId="0" fillId="0" borderId="9" xfId="0" applyFill="1" applyBorder="1" applyAlignment="1" applyProtection="1">
      <alignment horizontal="center"/>
    </xf>
    <xf numFmtId="0" fontId="0" fillId="0" borderId="0" xfId="0" applyAlignment="1" applyProtection="1">
      <alignment horizontal="center"/>
    </xf>
    <xf numFmtId="38" fontId="0" fillId="0" borderId="0" xfId="0" applyNumberFormat="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6" fontId="0" fillId="0" borderId="0" xfId="0" applyNumberFormat="1" applyAlignment="1" applyProtection="1">
      <alignment horizontal="center"/>
    </xf>
    <xf numFmtId="44" fontId="0" fillId="0" borderId="0" xfId="0" applyNumberFormat="1" applyAlignment="1" applyProtection="1">
      <alignment horizontal="center"/>
    </xf>
    <xf numFmtId="37" fontId="0" fillId="0" borderId="0" xfId="0" applyNumberFormat="1" applyAlignment="1" applyProtection="1">
      <alignment horizontal="center"/>
    </xf>
    <xf numFmtId="3" fontId="0" fillId="0" borderId="0" xfId="0" applyNumberFormat="1" applyAlignment="1" applyProtection="1">
      <alignment horizontal="center"/>
    </xf>
    <xf numFmtId="38" fontId="2" fillId="0" borderId="0" xfId="0" applyNumberFormat="1" applyFont="1" applyAlignment="1" applyProtection="1">
      <alignment horizontal="center"/>
    </xf>
    <xf numFmtId="165" fontId="0" fillId="0" borderId="0" xfId="0" applyNumberFormat="1" applyAlignment="1" applyProtection="1">
      <alignment horizontal="center"/>
    </xf>
    <xf numFmtId="0" fontId="8" fillId="0" borderId="0" xfId="0" applyFont="1"/>
    <xf numFmtId="0" fontId="19" fillId="0" borderId="0" xfId="0" applyFont="1" applyProtection="1"/>
    <xf numFmtId="0" fontId="19" fillId="0" borderId="0" xfId="0" applyFont="1"/>
    <xf numFmtId="8" fontId="19" fillId="0" borderId="0" xfId="0" applyNumberFormat="1" applyFont="1" applyProtection="1"/>
    <xf numFmtId="9" fontId="8" fillId="0" borderId="0" xfId="0" applyNumberFormat="1" applyFont="1" applyProtection="1"/>
    <xf numFmtId="6" fontId="0" fillId="0" borderId="0" xfId="0" applyNumberFormat="1" applyAlignment="1" applyProtection="1">
      <alignment horizontal="right"/>
    </xf>
    <xf numFmtId="0" fontId="3" fillId="0" borderId="0" xfId="0" applyFont="1" applyAlignment="1" applyProtection="1">
      <alignment horizontal="right"/>
    </xf>
    <xf numFmtId="167" fontId="0" fillId="0" borderId="9" xfId="0" applyNumberFormat="1" applyBorder="1" applyProtection="1"/>
    <xf numFmtId="167" fontId="0" fillId="0" borderId="9" xfId="0" applyNumberFormat="1" applyFill="1" applyBorder="1" applyAlignment="1" applyProtection="1"/>
    <xf numFmtId="167" fontId="0" fillId="0" borderId="9" xfId="0" applyNumberFormat="1" applyFill="1" applyBorder="1" applyProtection="1"/>
    <xf numFmtId="10" fontId="0" fillId="0" borderId="9" xfId="0" applyNumberFormat="1" applyFill="1" applyBorder="1" applyProtection="1"/>
    <xf numFmtId="167" fontId="0" fillId="0" borderId="9" xfId="0" applyNumberFormat="1" applyBorder="1" applyAlignment="1" applyProtection="1">
      <alignment horizontal="center"/>
    </xf>
    <xf numFmtId="167" fontId="0" fillId="0" borderId="0" xfId="0" applyNumberFormat="1" applyAlignment="1" applyProtection="1">
      <alignment horizontal="center"/>
    </xf>
    <xf numFmtId="9" fontId="2" fillId="0" borderId="0" xfId="0" applyNumberFormat="1" applyFont="1" applyAlignment="1" applyProtection="1">
      <alignment horizontal="center"/>
    </xf>
    <xf numFmtId="0" fontId="0" fillId="0" borderId="13" xfId="0" applyBorder="1" applyProtection="1"/>
    <xf numFmtId="0" fontId="2" fillId="3" borderId="1" xfId="0" applyFont="1" applyFill="1" applyBorder="1" applyProtection="1"/>
    <xf numFmtId="0" fontId="0" fillId="3" borderId="5" xfId="0" applyFill="1" applyBorder="1" applyProtection="1"/>
    <xf numFmtId="0" fontId="0" fillId="3" borderId="6" xfId="0" applyFill="1" applyBorder="1" applyProtection="1"/>
    <xf numFmtId="0" fontId="0" fillId="3" borderId="9" xfId="0" applyFill="1" applyBorder="1" applyProtection="1"/>
    <xf numFmtId="0" fontId="0" fillId="3" borderId="8" xfId="0" applyFill="1" applyBorder="1" applyProtection="1"/>
    <xf numFmtId="0" fontId="0" fillId="3" borderId="10" xfId="0" applyFill="1" applyBorder="1" applyProtection="1"/>
    <xf numFmtId="0" fontId="0" fillId="0" borderId="16" xfId="0" applyBorder="1" applyProtection="1"/>
    <xf numFmtId="0" fontId="0" fillId="0" borderId="17" xfId="0" applyBorder="1" applyProtection="1"/>
    <xf numFmtId="9" fontId="2" fillId="0" borderId="1" xfId="0" applyNumberFormat="1" applyFont="1" applyBorder="1" applyProtection="1"/>
    <xf numFmtId="0" fontId="2" fillId="0" borderId="5" xfId="0" applyFont="1" applyBorder="1" applyProtection="1"/>
    <xf numFmtId="0" fontId="0" fillId="0" borderId="1" xfId="0" applyBorder="1" applyProtection="1"/>
    <xf numFmtId="167" fontId="2" fillId="0" borderId="10" xfId="0" applyNumberFormat="1" applyFont="1" applyBorder="1" applyProtection="1"/>
    <xf numFmtId="0" fontId="2" fillId="0" borderId="13" xfId="0" applyFont="1" applyBorder="1" applyProtection="1"/>
    <xf numFmtId="165" fontId="0" fillId="0" borderId="9" xfId="0" applyNumberFormat="1" applyBorder="1" applyProtection="1"/>
    <xf numFmtId="167" fontId="0" fillId="0" borderId="13" xfId="0" applyNumberFormat="1" applyBorder="1" applyProtection="1"/>
    <xf numFmtId="165" fontId="2" fillId="0" borderId="10" xfId="0" applyNumberFormat="1" applyFont="1" applyBorder="1" applyProtection="1"/>
    <xf numFmtId="0" fontId="4" fillId="0" borderId="8" xfId="0" applyFont="1" applyFill="1" applyBorder="1" applyProtection="1"/>
    <xf numFmtId="0" fontId="2" fillId="0" borderId="0" xfId="0" applyNumberFormat="1" applyFont="1" applyProtection="1"/>
    <xf numFmtId="0" fontId="0" fillId="0" borderId="0" xfId="0" applyNumberFormat="1" applyProtection="1"/>
    <xf numFmtId="167" fontId="0" fillId="0" borderId="0" xfId="0" applyNumberFormat="1" applyFill="1" applyBorder="1" applyProtection="1"/>
    <xf numFmtId="0" fontId="3" fillId="0" borderId="0" xfId="0" applyNumberFormat="1" applyFont="1" applyAlignment="1" applyProtection="1">
      <alignment horizontal="center"/>
    </xf>
    <xf numFmtId="8" fontId="0" fillId="0" borderId="0" xfId="0" applyNumberFormat="1" applyFill="1" applyProtection="1"/>
    <xf numFmtId="0" fontId="2" fillId="0" borderId="0" xfId="0" applyFont="1" applyFill="1" applyBorder="1" applyAlignment="1" applyProtection="1">
      <alignment horizontal="right"/>
    </xf>
    <xf numFmtId="7" fontId="0" fillId="0" borderId="0" xfId="2" applyNumberFormat="1" applyFont="1" applyProtection="1"/>
    <xf numFmtId="6" fontId="2" fillId="0" borderId="0" xfId="0" applyNumberFormat="1" applyFont="1" applyProtection="1"/>
    <xf numFmtId="9" fontId="0" fillId="0" borderId="0" xfId="0" applyNumberFormat="1" applyFill="1" applyProtection="1"/>
    <xf numFmtId="167" fontId="0" fillId="0" borderId="0" xfId="0" applyNumberFormat="1" applyFill="1" applyProtection="1"/>
    <xf numFmtId="167" fontId="2" fillId="0" borderId="0" xfId="0" applyNumberFormat="1" applyFont="1" applyFill="1" applyProtection="1"/>
    <xf numFmtId="0" fontId="12" fillId="0" borderId="0" xfId="0" applyFont="1" applyFill="1" applyBorder="1" applyProtection="1"/>
    <xf numFmtId="0" fontId="2" fillId="0" borderId="0" xfId="0" applyFont="1" applyFill="1" applyAlignment="1" applyProtection="1">
      <alignment horizontal="center"/>
    </xf>
    <xf numFmtId="0" fontId="5" fillId="0" borderId="0" xfId="0" applyFont="1" applyProtection="1"/>
    <xf numFmtId="6" fontId="4" fillId="0" borderId="0" xfId="0" applyNumberFormat="1" applyFont="1" applyFill="1" applyProtection="1"/>
    <xf numFmtId="6" fontId="2" fillId="0" borderId="0" xfId="0" applyNumberFormat="1" applyFont="1" applyFill="1" applyProtection="1"/>
    <xf numFmtId="166" fontId="0" fillId="0" borderId="0" xfId="0" applyNumberFormat="1" applyProtection="1"/>
    <xf numFmtId="44" fontId="0" fillId="0" borderId="0" xfId="2" applyFont="1" applyProtection="1"/>
    <xf numFmtId="166" fontId="4" fillId="0" borderId="0" xfId="0" applyNumberFormat="1" applyFont="1" applyFill="1" applyProtection="1"/>
    <xf numFmtId="0" fontId="4" fillId="0" borderId="0" xfId="0" applyFont="1" applyFill="1" applyProtection="1"/>
    <xf numFmtId="43" fontId="0" fillId="0" borderId="0" xfId="0" applyNumberFormat="1" applyProtection="1"/>
    <xf numFmtId="0" fontId="4" fillId="0" borderId="0" xfId="0" applyFont="1" applyAlignment="1" applyProtection="1">
      <alignment horizontal="center"/>
    </xf>
    <xf numFmtId="0" fontId="4" fillId="0" borderId="0" xfId="0" applyFont="1" applyProtection="1"/>
    <xf numFmtId="9" fontId="4" fillId="0" borderId="0" xfId="0" applyNumberFormat="1" applyFont="1" applyFill="1" applyProtection="1"/>
    <xf numFmtId="10" fontId="4" fillId="0" borderId="0" xfId="0" applyNumberFormat="1" applyFont="1" applyBorder="1" applyAlignment="1" applyProtection="1">
      <alignment horizontal="center" vertical="top" wrapText="1"/>
    </xf>
    <xf numFmtId="10" fontId="4" fillId="0" borderId="0" xfId="0" applyNumberFormat="1" applyFont="1" applyAlignment="1" applyProtection="1">
      <alignment horizontal="center" vertical="top" wrapText="1"/>
    </xf>
    <xf numFmtId="10" fontId="6" fillId="0" borderId="0" xfId="0" applyNumberFormat="1" applyFont="1" applyBorder="1" applyAlignment="1" applyProtection="1">
      <alignment horizontal="center" vertical="top" wrapText="1"/>
    </xf>
    <xf numFmtId="10" fontId="6" fillId="0" borderId="0" xfId="0" applyNumberFormat="1" applyFont="1" applyAlignment="1" applyProtection="1">
      <alignment horizontal="center" vertical="top" wrapText="1"/>
    </xf>
    <xf numFmtId="10" fontId="0" fillId="5" borderId="9" xfId="0" applyNumberFormat="1" applyFill="1" applyBorder="1" applyProtection="1">
      <protection locked="0"/>
    </xf>
    <xf numFmtId="0" fontId="0" fillId="5" borderId="9" xfId="0" applyFill="1" applyBorder="1" applyProtection="1">
      <protection locked="0"/>
    </xf>
    <xf numFmtId="10" fontId="0" fillId="5" borderId="10" xfId="0" applyNumberFormat="1" applyFill="1" applyBorder="1" applyProtection="1">
      <protection locked="0"/>
    </xf>
    <xf numFmtId="167" fontId="0" fillId="5" borderId="5" xfId="0" applyNumberFormat="1" applyFill="1" applyBorder="1" applyProtection="1">
      <protection locked="0"/>
    </xf>
    <xf numFmtId="167" fontId="0" fillId="5" borderId="9" xfId="0" applyNumberFormat="1" applyFill="1" applyBorder="1" applyProtection="1">
      <protection locked="0"/>
    </xf>
    <xf numFmtId="9" fontId="0" fillId="5" borderId="9" xfId="0" applyNumberFormat="1" applyFill="1" applyBorder="1" applyProtection="1">
      <protection locked="0"/>
    </xf>
    <xf numFmtId="10" fontId="20" fillId="5" borderId="9" xfId="5" applyNumberFormat="1" applyFont="1" applyFill="1" applyBorder="1" applyProtection="1">
      <protection locked="0"/>
    </xf>
    <xf numFmtId="10" fontId="20" fillId="5" borderId="10" xfId="5" quotePrefix="1" applyNumberFormat="1" applyFont="1" applyFill="1" applyBorder="1" applyAlignment="1" applyProtection="1">
      <alignment horizontal="right"/>
      <protection locked="0"/>
    </xf>
    <xf numFmtId="9" fontId="0" fillId="5" borderId="10" xfId="0" applyNumberFormat="1" applyFill="1" applyBorder="1" applyProtection="1">
      <protection locked="0"/>
    </xf>
    <xf numFmtId="38" fontId="0" fillId="5" borderId="9" xfId="0" applyNumberFormat="1" applyFill="1" applyBorder="1" applyAlignment="1" applyProtection="1">
      <protection locked="0"/>
    </xf>
    <xf numFmtId="167" fontId="20" fillId="5" borderId="10" xfId="2" applyNumberFormat="1" applyFont="1" applyFill="1" applyBorder="1" applyAlignment="1" applyProtection="1">
      <protection locked="0"/>
    </xf>
    <xf numFmtId="167" fontId="20" fillId="5" borderId="10" xfId="2" applyNumberFormat="1" applyFont="1" applyFill="1" applyBorder="1" applyProtection="1">
      <protection locked="0"/>
    </xf>
    <xf numFmtId="166" fontId="20" fillId="5" borderId="0" xfId="2" applyNumberFormat="1" applyFont="1" applyFill="1" applyProtection="1">
      <protection locked="0"/>
    </xf>
    <xf numFmtId="9" fontId="4" fillId="5" borderId="0" xfId="2" applyNumberFormat="1" applyFont="1" applyFill="1" applyProtection="1">
      <protection locked="0"/>
    </xf>
    <xf numFmtId="0" fontId="2" fillId="5" borderId="6" xfId="0" applyFont="1" applyFill="1" applyBorder="1" applyProtection="1">
      <protection locked="0"/>
    </xf>
    <xf numFmtId="0" fontId="2" fillId="5" borderId="18" xfId="0" applyFont="1" applyFill="1" applyBorder="1" applyProtection="1">
      <protection locked="0"/>
    </xf>
    <xf numFmtId="6" fontId="0" fillId="5" borderId="0" xfId="0" applyNumberFormat="1" applyFill="1" applyBorder="1" applyAlignment="1" applyProtection="1">
      <alignment horizontal="center"/>
      <protection locked="0"/>
    </xf>
    <xf numFmtId="6" fontId="0" fillId="5" borderId="14" xfId="0" applyNumberFormat="1" applyFill="1" applyBorder="1" applyAlignment="1" applyProtection="1">
      <alignment horizontal="center"/>
      <protection locked="0"/>
    </xf>
    <xf numFmtId="9" fontId="20" fillId="5" borderId="0" xfId="5" applyFont="1" applyFill="1" applyBorder="1" applyAlignment="1" applyProtection="1">
      <alignment horizontal="center"/>
      <protection locked="0"/>
    </xf>
    <xf numFmtId="9" fontId="20" fillId="5" borderId="14" xfId="5" applyFont="1" applyFill="1" applyBorder="1" applyAlignment="1" applyProtection="1">
      <alignment horizontal="center"/>
      <protection locked="0"/>
    </xf>
    <xf numFmtId="38" fontId="0" fillId="5" borderId="0" xfId="0" applyNumberFormat="1" applyFill="1" applyBorder="1" applyAlignment="1" applyProtection="1">
      <alignment horizontal="center"/>
      <protection locked="0"/>
    </xf>
    <xf numFmtId="38" fontId="0" fillId="5" borderId="14" xfId="0" applyNumberFormat="1" applyFill="1" applyBorder="1" applyAlignment="1" applyProtection="1">
      <alignment horizontal="center"/>
      <protection locked="0"/>
    </xf>
    <xf numFmtId="8" fontId="0" fillId="5" borderId="0" xfId="0" applyNumberFormat="1" applyFill="1" applyBorder="1" applyAlignment="1" applyProtection="1">
      <alignment horizontal="center"/>
      <protection locked="0"/>
    </xf>
    <xf numFmtId="8" fontId="0" fillId="5" borderId="14" xfId="0" applyNumberFormat="1" applyFill="1" applyBorder="1" applyAlignment="1" applyProtection="1">
      <alignment horizontal="center"/>
      <protection locked="0"/>
    </xf>
    <xf numFmtId="1" fontId="0" fillId="5" borderId="0" xfId="0" applyNumberFormat="1" applyFill="1" applyBorder="1" applyAlignment="1" applyProtection="1">
      <alignment horizontal="center"/>
      <protection locked="0"/>
    </xf>
    <xf numFmtId="1" fontId="0" fillId="5" borderId="14" xfId="0" applyNumberFormat="1" applyFill="1" applyBorder="1" applyAlignment="1" applyProtection="1">
      <alignment horizontal="center"/>
      <protection locked="0"/>
    </xf>
    <xf numFmtId="9" fontId="0" fillId="5" borderId="0" xfId="0" applyNumberFormat="1" applyFill="1" applyBorder="1" applyAlignment="1" applyProtection="1">
      <alignment horizontal="center"/>
      <protection locked="0"/>
    </xf>
    <xf numFmtId="9" fontId="0" fillId="5" borderId="14" xfId="0" applyNumberFormat="1" applyFill="1" applyBorder="1" applyAlignment="1" applyProtection="1">
      <alignment horizontal="center"/>
      <protection locked="0"/>
    </xf>
    <xf numFmtId="0" fontId="0" fillId="5" borderId="0" xfId="0" applyFill="1" applyBorder="1"/>
    <xf numFmtId="0" fontId="1" fillId="0" borderId="0" xfId="0" applyFont="1" applyFill="1" applyBorder="1"/>
    <xf numFmtId="0" fontId="18" fillId="0" borderId="0" xfId="3" applyFont="1" applyFill="1" applyBorder="1" applyAlignment="1" applyProtection="1"/>
    <xf numFmtId="0" fontId="17" fillId="0" borderId="0" xfId="0" applyFont="1" applyFill="1" applyBorder="1"/>
    <xf numFmtId="49" fontId="2" fillId="0" borderId="9" xfId="0" applyNumberFormat="1" applyFont="1" applyFill="1" applyBorder="1" applyAlignment="1" applyProtection="1">
      <alignment horizontal="center"/>
    </xf>
    <xf numFmtId="0" fontId="2" fillId="0" borderId="9" xfId="0" applyNumberFormat="1" applyFont="1" applyFill="1" applyBorder="1" applyAlignment="1" applyProtection="1">
      <alignment horizontal="center"/>
    </xf>
    <xf numFmtId="49" fontId="4" fillId="5" borderId="19" xfId="0" applyNumberFormat="1" applyFont="1" applyFill="1" applyBorder="1" applyProtection="1">
      <protection locked="0"/>
    </xf>
    <xf numFmtId="167" fontId="0" fillId="5" borderId="9" xfId="0" applyNumberFormat="1" applyFill="1" applyBorder="1" applyAlignment="1" applyProtection="1">
      <alignment horizontal="center"/>
      <protection locked="0"/>
    </xf>
    <xf numFmtId="43" fontId="22" fillId="5" borderId="9" xfId="1" applyFont="1" applyFill="1" applyBorder="1" applyAlignment="1" applyProtection="1">
      <alignment horizontal="center"/>
      <protection locked="0"/>
    </xf>
    <xf numFmtId="49" fontId="4" fillId="5" borderId="19" xfId="0" applyNumberFormat="1" applyFont="1" applyFill="1" applyBorder="1" applyAlignment="1" applyProtection="1">
      <alignment horizontal="left"/>
      <protection locked="0"/>
    </xf>
    <xf numFmtId="0" fontId="0" fillId="0" borderId="19" xfId="0" applyBorder="1" applyProtection="1"/>
    <xf numFmtId="0" fontId="4" fillId="0" borderId="5" xfId="0" applyFont="1" applyBorder="1" applyProtection="1"/>
    <xf numFmtId="6" fontId="0" fillId="0" borderId="0" xfId="2" applyNumberFormat="1" applyFont="1" applyAlignment="1" applyProtection="1">
      <alignment horizontal="center"/>
    </xf>
    <xf numFmtId="6" fontId="4" fillId="0" borderId="0" xfId="2" applyNumberFormat="1" applyFont="1" applyAlignment="1" applyProtection="1">
      <alignment horizontal="center"/>
    </xf>
    <xf numFmtId="9" fontId="21" fillId="5" borderId="6" xfId="5" applyFont="1" applyFill="1" applyBorder="1" applyProtection="1">
      <protection locked="0"/>
    </xf>
    <xf numFmtId="9" fontId="21" fillId="5" borderId="0" xfId="5" applyFont="1" applyFill="1" applyBorder="1" applyProtection="1">
      <protection locked="0"/>
    </xf>
    <xf numFmtId="9" fontId="21" fillId="5" borderId="9" xfId="5" applyFont="1" applyFill="1" applyBorder="1" applyProtection="1">
      <protection locked="0"/>
    </xf>
    <xf numFmtId="0" fontId="14" fillId="0" borderId="0" xfId="3" applyFont="1" applyFill="1" applyBorder="1" applyAlignment="1" applyProtection="1"/>
    <xf numFmtId="0" fontId="0" fillId="5" borderId="0" xfId="0" applyFill="1" applyProtection="1">
      <protection locked="0"/>
    </xf>
    <xf numFmtId="0" fontId="4" fillId="0" borderId="0" xfId="0" applyFont="1" applyBorder="1" applyProtection="1"/>
    <xf numFmtId="9" fontId="4" fillId="0" borderId="6" xfId="0" applyNumberFormat="1" applyFont="1" applyBorder="1" applyProtection="1"/>
    <xf numFmtId="0" fontId="4" fillId="0" borderId="16" xfId="0" applyFont="1" applyBorder="1" applyProtection="1"/>
    <xf numFmtId="0" fontId="4" fillId="0" borderId="17" xfId="0" applyFont="1" applyBorder="1" applyProtection="1"/>
    <xf numFmtId="167" fontId="0" fillId="5" borderId="10" xfId="0" applyNumberFormat="1" applyFill="1" applyBorder="1" applyProtection="1">
      <protection locked="0"/>
    </xf>
    <xf numFmtId="0" fontId="4" fillId="0" borderId="13" xfId="0" applyFont="1" applyBorder="1" applyProtection="1"/>
    <xf numFmtId="167" fontId="0" fillId="5" borderId="20" xfId="0" applyNumberFormat="1" applyFill="1" applyBorder="1" applyProtection="1">
      <protection locked="0"/>
    </xf>
    <xf numFmtId="167" fontId="0" fillId="5" borderId="21" xfId="0" applyNumberFormat="1" applyFill="1" applyBorder="1" applyProtection="1">
      <protection locked="0"/>
    </xf>
    <xf numFmtId="167" fontId="2" fillId="0" borderId="22" xfId="0" applyNumberFormat="1" applyFont="1" applyBorder="1" applyProtection="1"/>
    <xf numFmtId="0" fontId="0" fillId="5" borderId="6" xfId="0" applyFill="1" applyBorder="1" applyProtection="1">
      <protection locked="0"/>
    </xf>
    <xf numFmtId="0" fontId="4" fillId="5" borderId="6" xfId="0" applyFont="1" applyFill="1" applyBorder="1" applyProtection="1">
      <protection locked="0"/>
    </xf>
    <xf numFmtId="167" fontId="0" fillId="5" borderId="3" xfId="0" applyNumberFormat="1" applyFill="1" applyBorder="1" applyAlignment="1" applyProtection="1">
      <alignment horizontal="center"/>
      <protection locked="0"/>
    </xf>
    <xf numFmtId="167" fontId="0" fillId="5" borderId="4" xfId="0" applyNumberFormat="1" applyFill="1" applyBorder="1" applyAlignment="1" applyProtection="1">
      <alignment horizontal="center"/>
      <protection locked="0"/>
    </xf>
    <xf numFmtId="165" fontId="20" fillId="5" borderId="0" xfId="2" applyNumberFormat="1" applyFont="1" applyFill="1" applyProtection="1">
      <protection locked="0"/>
    </xf>
    <xf numFmtId="165" fontId="0" fillId="5" borderId="0" xfId="0" applyNumberFormat="1" applyFill="1" applyProtection="1">
      <protection locked="0"/>
    </xf>
    <xf numFmtId="165" fontId="0" fillId="0" borderId="0" xfId="2" applyNumberFormat="1" applyFont="1" applyProtection="1"/>
    <xf numFmtId="165" fontId="20" fillId="5" borderId="2" xfId="2" applyNumberFormat="1" applyFont="1" applyFill="1" applyBorder="1" applyProtection="1">
      <protection locked="0"/>
    </xf>
    <xf numFmtId="165" fontId="20" fillId="5" borderId="3" xfId="2" applyNumberFormat="1" applyFont="1" applyFill="1" applyBorder="1" applyProtection="1">
      <protection locked="0"/>
    </xf>
    <xf numFmtId="165" fontId="4" fillId="5" borderId="3" xfId="0" applyNumberFormat="1" applyFont="1" applyFill="1" applyBorder="1" applyProtection="1">
      <protection locked="0"/>
    </xf>
    <xf numFmtId="165" fontId="4" fillId="0" borderId="0" xfId="0" applyNumberFormat="1" applyFont="1" applyFill="1" applyProtection="1"/>
    <xf numFmtId="165" fontId="4" fillId="5" borderId="4" xfId="0" applyNumberFormat="1" applyFont="1" applyFill="1" applyBorder="1" applyProtection="1">
      <protection locked="0"/>
    </xf>
    <xf numFmtId="165" fontId="4" fillId="0" borderId="0" xfId="2" applyNumberFormat="1" applyFont="1" applyProtection="1"/>
    <xf numFmtId="165" fontId="4" fillId="0" borderId="0" xfId="2" applyNumberFormat="1" applyFont="1" applyFill="1" applyProtection="1"/>
    <xf numFmtId="165" fontId="2" fillId="0" borderId="0" xfId="0" applyNumberFormat="1" applyFont="1" applyProtection="1"/>
    <xf numFmtId="9" fontId="0" fillId="0" borderId="0" xfId="0" applyNumberFormat="1" applyAlignment="1" applyProtection="1">
      <alignment horizontal="center"/>
    </xf>
    <xf numFmtId="44" fontId="2" fillId="0" borderId="0" xfId="2" applyFont="1" applyBorder="1" applyProtection="1"/>
    <xf numFmtId="0" fontId="4" fillId="4" borderId="19" xfId="0" applyFont="1" applyFill="1" applyBorder="1" applyProtection="1"/>
    <xf numFmtId="0" fontId="0" fillId="0" borderId="19" xfId="0" applyFill="1" applyBorder="1" applyProtection="1"/>
    <xf numFmtId="0" fontId="0" fillId="0" borderId="5" xfId="0" applyFill="1" applyBorder="1" applyProtection="1"/>
    <xf numFmtId="0" fontId="0" fillId="0" borderId="9" xfId="0" applyBorder="1" applyProtection="1"/>
    <xf numFmtId="168" fontId="0" fillId="0" borderId="6" xfId="1" applyNumberFormat="1" applyFont="1" applyBorder="1" applyProtection="1"/>
    <xf numFmtId="168" fontId="0" fillId="0" borderId="0" xfId="1" applyNumberFormat="1" applyFont="1" applyBorder="1" applyProtection="1"/>
    <xf numFmtId="168" fontId="0" fillId="0" borderId="9" xfId="1" applyNumberFormat="1" applyFont="1" applyBorder="1" applyProtection="1"/>
    <xf numFmtId="0" fontId="0" fillId="0" borderId="7" xfId="0" applyBorder="1" applyProtection="1"/>
    <xf numFmtId="0" fontId="4" fillId="0" borderId="7" xfId="0" applyFont="1" applyBorder="1" applyProtection="1"/>
    <xf numFmtId="1" fontId="0" fillId="0" borderId="10" xfId="0" applyNumberFormat="1" applyBorder="1" applyProtection="1"/>
    <xf numFmtId="168" fontId="0" fillId="0" borderId="8" xfId="1" applyNumberFormat="1" applyFont="1" applyBorder="1" applyProtection="1"/>
    <xf numFmtId="168" fontId="0" fillId="0" borderId="7" xfId="1" applyNumberFormat="1" applyFont="1" applyBorder="1" applyProtection="1"/>
    <xf numFmtId="168" fontId="0" fillId="0" borderId="10" xfId="1" applyNumberFormat="1" applyFont="1" applyBorder="1" applyProtection="1"/>
    <xf numFmtId="1" fontId="0" fillId="0" borderId="0" xfId="0" applyNumberFormat="1" applyBorder="1" applyProtection="1"/>
    <xf numFmtId="167" fontId="20" fillId="0" borderId="0" xfId="2" applyNumberFormat="1" applyFont="1" applyFill="1" applyBorder="1" applyAlignment="1" applyProtection="1"/>
    <xf numFmtId="168" fontId="23" fillId="0" borderId="0" xfId="1" applyNumberFormat="1" applyFont="1" applyBorder="1" applyProtection="1"/>
    <xf numFmtId="9" fontId="0" fillId="0" borderId="0" xfId="0" applyNumberFormat="1" applyFill="1" applyAlignment="1" applyProtection="1">
      <alignment horizontal="center"/>
    </xf>
    <xf numFmtId="0" fontId="0" fillId="4" borderId="0" xfId="0" applyFill="1" applyBorder="1" applyAlignment="1" applyProtection="1">
      <alignment horizontal="left"/>
    </xf>
    <xf numFmtId="167" fontId="20" fillId="0" borderId="0" xfId="2" applyNumberFormat="1" applyFont="1" applyFill="1" applyBorder="1" applyProtection="1"/>
    <xf numFmtId="0" fontId="0" fillId="4" borderId="0" xfId="0" applyFill="1" applyBorder="1" applyProtection="1"/>
    <xf numFmtId="0" fontId="1" fillId="0" borderId="0" xfId="4" applyBorder="1" applyProtection="1"/>
    <xf numFmtId="44" fontId="1" fillId="0" borderId="0" xfId="2" applyBorder="1" applyProtection="1"/>
    <xf numFmtId="0" fontId="16" fillId="0" borderId="0" xfId="0" applyFont="1" applyFill="1" applyProtection="1"/>
    <xf numFmtId="0" fontId="2" fillId="0" borderId="24" xfId="0" applyFont="1" applyFill="1" applyBorder="1" applyProtection="1"/>
    <xf numFmtId="165" fontId="2" fillId="0" borderId="25" xfId="0" applyNumberFormat="1" applyFont="1" applyFill="1" applyBorder="1" applyProtection="1"/>
    <xf numFmtId="0" fontId="2" fillId="0" borderId="26" xfId="0" applyFont="1" applyFill="1" applyBorder="1" applyProtection="1"/>
    <xf numFmtId="0" fontId="2" fillId="0" borderId="27" xfId="0" applyFont="1" applyFill="1" applyBorder="1" applyProtection="1"/>
    <xf numFmtId="6" fontId="2" fillId="0" borderId="26" xfId="0" applyNumberFormat="1" applyFont="1" applyFill="1" applyBorder="1" applyAlignment="1" applyProtection="1">
      <alignment horizontal="center"/>
    </xf>
    <xf numFmtId="6" fontId="2" fillId="0" borderId="24" xfId="0" applyNumberFormat="1" applyFont="1" applyFill="1" applyBorder="1" applyAlignment="1" applyProtection="1">
      <alignment horizontal="center"/>
    </xf>
    <xf numFmtId="6" fontId="2" fillId="0" borderId="24" xfId="0" applyNumberFormat="1" applyFont="1" applyFill="1" applyBorder="1" applyProtection="1"/>
    <xf numFmtId="6" fontId="2" fillId="0" borderId="25" xfId="0" applyNumberFormat="1" applyFont="1" applyFill="1" applyBorder="1" applyAlignment="1" applyProtection="1">
      <alignment horizontal="center"/>
    </xf>
    <xf numFmtId="0" fontId="2" fillId="0" borderId="26" xfId="0" applyFont="1" applyFill="1" applyBorder="1" applyAlignment="1" applyProtection="1">
      <alignment horizontal="center"/>
    </xf>
    <xf numFmtId="0" fontId="2" fillId="0" borderId="24" xfId="0" applyFont="1" applyFill="1" applyBorder="1" applyAlignment="1" applyProtection="1">
      <alignment horizontal="center"/>
    </xf>
    <xf numFmtId="0" fontId="2" fillId="0" borderId="25" xfId="0" applyFont="1" applyFill="1" applyBorder="1" applyAlignment="1" applyProtection="1">
      <alignment horizontal="center"/>
    </xf>
    <xf numFmtId="165" fontId="0" fillId="0" borderId="0" xfId="0" applyNumberFormat="1" applyFill="1" applyProtection="1"/>
    <xf numFmtId="165" fontId="0" fillId="0" borderId="28" xfId="0" applyNumberFormat="1" applyFill="1" applyBorder="1" applyAlignment="1" applyProtection="1">
      <alignment horizontal="center"/>
    </xf>
    <xf numFmtId="165" fontId="0" fillId="0" borderId="29" xfId="0" applyNumberFormat="1" applyFill="1" applyBorder="1" applyAlignment="1" applyProtection="1">
      <alignment horizontal="center"/>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167" fontId="0" fillId="5" borderId="2" xfId="0" applyNumberFormat="1" applyFill="1" applyBorder="1" applyAlignment="1" applyProtection="1">
      <alignment horizontal="center"/>
      <protection locked="0"/>
    </xf>
    <xf numFmtId="1" fontId="0" fillId="5" borderId="2" xfId="0" applyNumberFormat="1" applyFill="1" applyBorder="1" applyAlignment="1" applyProtection="1">
      <alignment horizontal="center"/>
      <protection locked="0"/>
    </xf>
    <xf numFmtId="1" fontId="0" fillId="5" borderId="3" xfId="0" applyNumberFormat="1" applyFill="1" applyBorder="1" applyAlignment="1" applyProtection="1">
      <alignment horizontal="center"/>
      <protection locked="0"/>
    </xf>
    <xf numFmtId="1" fontId="0" fillId="5" borderId="4" xfId="0" applyNumberFormat="1" applyFill="1" applyBorder="1" applyAlignment="1" applyProtection="1">
      <alignment horizontal="center"/>
      <protection locked="0"/>
    </xf>
    <xf numFmtId="167" fontId="0" fillId="5" borderId="2" xfId="0" applyNumberFormat="1" applyFill="1" applyBorder="1" applyProtection="1">
      <protection locked="0"/>
    </xf>
    <xf numFmtId="1" fontId="0" fillId="5" borderId="2" xfId="0" applyNumberFormat="1" applyFill="1" applyBorder="1" applyProtection="1">
      <protection locked="0"/>
    </xf>
    <xf numFmtId="167" fontId="0" fillId="5" borderId="3" xfId="0" applyNumberFormat="1" applyFill="1" applyBorder="1" applyProtection="1">
      <protection locked="0"/>
    </xf>
    <xf numFmtId="1" fontId="0" fillId="5" borderId="3" xfId="0" applyNumberFormat="1" applyFill="1" applyBorder="1" applyProtection="1">
      <protection locked="0"/>
    </xf>
    <xf numFmtId="167" fontId="0" fillId="5" borderId="4" xfId="0" applyNumberFormat="1" applyFill="1" applyBorder="1" applyProtection="1">
      <protection locked="0"/>
    </xf>
    <xf numFmtId="1" fontId="0" fillId="5" borderId="4" xfId="0" applyNumberFormat="1" applyFill="1" applyBorder="1" applyProtection="1">
      <protection locked="0"/>
    </xf>
    <xf numFmtId="0" fontId="2" fillId="0" borderId="13" xfId="0" applyFont="1" applyBorder="1" applyAlignment="1" applyProtection="1">
      <alignment horizontal="center"/>
    </xf>
    <xf numFmtId="8" fontId="0" fillId="0" borderId="0" xfId="0" applyNumberFormat="1" applyBorder="1" applyAlignment="1" applyProtection="1">
      <alignment horizontal="center"/>
    </xf>
    <xf numFmtId="166" fontId="0" fillId="0" borderId="0" xfId="0" applyNumberFormat="1" applyBorder="1" applyAlignment="1" applyProtection="1">
      <alignment horizontal="center"/>
    </xf>
    <xf numFmtId="0" fontId="0" fillId="0" borderId="0" xfId="0" applyBorder="1" applyAlignment="1" applyProtection="1">
      <alignment horizontal="center"/>
    </xf>
    <xf numFmtId="9" fontId="0" fillId="0" borderId="0" xfId="0" applyNumberFormat="1" applyBorder="1" applyAlignment="1" applyProtection="1">
      <alignment horizontal="center"/>
    </xf>
    <xf numFmtId="166" fontId="0" fillId="0" borderId="9" xfId="0" applyNumberFormat="1" applyBorder="1" applyAlignment="1" applyProtection="1">
      <alignment horizontal="center"/>
    </xf>
    <xf numFmtId="0" fontId="0" fillId="0" borderId="14" xfId="0" applyBorder="1" applyProtection="1"/>
    <xf numFmtId="8" fontId="0" fillId="0" borderId="14" xfId="0" applyNumberFormat="1" applyBorder="1" applyAlignment="1" applyProtection="1">
      <alignment horizontal="center"/>
    </xf>
    <xf numFmtId="166" fontId="0" fillId="0" borderId="14" xfId="0" applyNumberFormat="1" applyBorder="1" applyAlignment="1" applyProtection="1">
      <alignment horizontal="center"/>
    </xf>
    <xf numFmtId="0" fontId="0" fillId="0" borderId="14" xfId="0" applyBorder="1" applyAlignment="1" applyProtection="1">
      <alignment horizontal="center"/>
    </xf>
    <xf numFmtId="9" fontId="0" fillId="0" borderId="14" xfId="0" applyNumberFormat="1" applyBorder="1" applyAlignment="1" applyProtection="1">
      <alignment horizontal="center"/>
    </xf>
    <xf numFmtId="166" fontId="0" fillId="0" borderId="15" xfId="0" applyNumberFormat="1" applyBorder="1" applyAlignment="1" applyProtection="1">
      <alignment horizontal="center"/>
    </xf>
    <xf numFmtId="38" fontId="0" fillId="0" borderId="7" xfId="0" applyNumberFormat="1" applyBorder="1" applyAlignment="1" applyProtection="1">
      <alignment horizontal="center"/>
    </xf>
    <xf numFmtId="8" fontId="0" fillId="0" borderId="7" xfId="0" applyNumberFormat="1" applyFill="1" applyBorder="1" applyAlignment="1" applyProtection="1">
      <alignment horizontal="center"/>
    </xf>
    <xf numFmtId="166" fontId="0" fillId="0" borderId="7" xfId="0" applyNumberFormat="1" applyBorder="1" applyAlignment="1" applyProtection="1">
      <alignment horizontal="center"/>
    </xf>
    <xf numFmtId="1" fontId="0" fillId="0" borderId="7" xfId="0" applyNumberFormat="1" applyBorder="1" applyAlignment="1" applyProtection="1">
      <alignment horizontal="center"/>
    </xf>
    <xf numFmtId="0" fontId="0" fillId="0" borderId="7" xfId="0" applyBorder="1" applyAlignment="1" applyProtection="1">
      <alignment horizontal="center"/>
    </xf>
    <xf numFmtId="9" fontId="0" fillId="0" borderId="7" xfId="0" applyNumberFormat="1" applyBorder="1" applyAlignment="1" applyProtection="1">
      <alignment horizontal="center"/>
    </xf>
    <xf numFmtId="166" fontId="0" fillId="0" borderId="10" xfId="0" applyNumberFormat="1" applyBorder="1" applyAlignment="1" applyProtection="1">
      <alignment horizontal="center"/>
    </xf>
    <xf numFmtId="38" fontId="0" fillId="0" borderId="0" xfId="0" applyNumberFormat="1" applyBorder="1" applyAlignment="1" applyProtection="1">
      <alignment horizontal="center"/>
    </xf>
    <xf numFmtId="8" fontId="0" fillId="0" borderId="0" xfId="0" applyNumberFormat="1" applyFill="1" applyBorder="1" applyAlignment="1" applyProtection="1">
      <alignment horizontal="center"/>
    </xf>
    <xf numFmtId="1" fontId="0" fillId="0" borderId="0" xfId="0" applyNumberFormat="1" applyBorder="1" applyAlignment="1" applyProtection="1">
      <alignment horizontal="center"/>
    </xf>
    <xf numFmtId="9" fontId="0" fillId="5" borderId="9" xfId="5" applyFont="1" applyFill="1" applyBorder="1" applyAlignment="1" applyProtection="1">
      <alignment horizontal="center"/>
      <protection locked="0"/>
    </xf>
    <xf numFmtId="49" fontId="0" fillId="0" borderId="0" xfId="0" applyNumberFormat="1" applyProtection="1"/>
    <xf numFmtId="169" fontId="0" fillId="0" borderId="0" xfId="0" applyNumberFormat="1" applyProtection="1"/>
    <xf numFmtId="49" fontId="0" fillId="0" borderId="14" xfId="0" applyNumberFormat="1" applyBorder="1" applyProtection="1"/>
    <xf numFmtId="169" fontId="0" fillId="0" borderId="14" xfId="0" applyNumberFormat="1" applyBorder="1" applyProtection="1"/>
    <xf numFmtId="165" fontId="4" fillId="0" borderId="0" xfId="0" applyNumberFormat="1" applyFont="1" applyProtection="1"/>
    <xf numFmtId="0" fontId="1" fillId="0" borderId="0" xfId="0" applyFont="1" applyBorder="1" applyProtection="1"/>
    <xf numFmtId="0" fontId="1" fillId="5" borderId="23" xfId="0" applyFont="1" applyFill="1" applyBorder="1" applyProtection="1">
      <protection locked="0"/>
    </xf>
    <xf numFmtId="0" fontId="1" fillId="5" borderId="31" xfId="0" applyFont="1" applyFill="1" applyBorder="1" applyProtection="1">
      <protection locked="0"/>
    </xf>
    <xf numFmtId="0" fontId="0" fillId="0" borderId="32" xfId="0" applyBorder="1" applyProtection="1"/>
    <xf numFmtId="165" fontId="20" fillId="5" borderId="9" xfId="2" applyNumberFormat="1" applyFont="1" applyFill="1" applyBorder="1" applyProtection="1">
      <protection locked="0"/>
    </xf>
    <xf numFmtId="165" fontId="2" fillId="0" borderId="10" xfId="2" applyNumberFormat="1" applyFont="1" applyFill="1" applyBorder="1" applyProtection="1"/>
    <xf numFmtId="165" fontId="0" fillId="0" borderId="30" xfId="0" applyNumberFormat="1" applyFill="1" applyBorder="1" applyAlignment="1" applyProtection="1">
      <alignment horizontal="right"/>
    </xf>
    <xf numFmtId="165" fontId="0" fillId="0" borderId="28" xfId="0" applyNumberFormat="1" applyFill="1" applyBorder="1" applyAlignment="1" applyProtection="1">
      <alignment horizontal="right"/>
    </xf>
    <xf numFmtId="165" fontId="0" fillId="0" borderId="29" xfId="0" applyNumberFormat="1" applyFill="1" applyBorder="1" applyAlignment="1" applyProtection="1">
      <alignment horizontal="right"/>
    </xf>
    <xf numFmtId="165" fontId="2" fillId="0" borderId="29" xfId="0" applyNumberFormat="1" applyFont="1" applyBorder="1" applyAlignment="1" applyProtection="1">
      <alignment horizontal="right"/>
    </xf>
    <xf numFmtId="0" fontId="1" fillId="0" borderId="33" xfId="0" applyFont="1" applyFill="1" applyBorder="1" applyProtection="1">
      <protection locked="0"/>
    </xf>
    <xf numFmtId="0" fontId="1" fillId="0" borderId="0" xfId="0" applyFont="1" applyFill="1" applyBorder="1" applyProtection="1">
      <protection locked="0"/>
    </xf>
    <xf numFmtId="167" fontId="0" fillId="0" borderId="21" xfId="0" applyNumberFormat="1" applyFill="1" applyBorder="1" applyProtection="1"/>
    <xf numFmtId="0" fontId="1" fillId="0" borderId="6" xfId="0" applyFont="1" applyFill="1" applyBorder="1" applyProtection="1"/>
    <xf numFmtId="165" fontId="2" fillId="0" borderId="27" xfId="2" applyNumberFormat="1" applyFont="1" applyFill="1" applyBorder="1" applyProtection="1"/>
    <xf numFmtId="165" fontId="20" fillId="5" borderId="2" xfId="2" applyNumberFormat="1" applyFont="1" applyFill="1" applyBorder="1" applyAlignment="1" applyProtection="1">
      <alignment horizontal="center"/>
      <protection locked="0"/>
    </xf>
    <xf numFmtId="165" fontId="20" fillId="5" borderId="3" xfId="2" applyNumberFormat="1" applyFont="1" applyFill="1" applyBorder="1" applyAlignment="1" applyProtection="1">
      <alignment horizontal="center"/>
      <protection locked="0"/>
    </xf>
    <xf numFmtId="165" fontId="20" fillId="5" borderId="4" xfId="2" applyNumberFormat="1" applyFont="1" applyFill="1" applyBorder="1" applyAlignment="1" applyProtection="1">
      <alignment horizontal="center"/>
      <protection locked="0"/>
    </xf>
    <xf numFmtId="0" fontId="10" fillId="0" borderId="0" xfId="0" applyFont="1" applyProtection="1">
      <protection hidden="1"/>
    </xf>
    <xf numFmtId="0" fontId="24" fillId="0" borderId="0" xfId="0" applyFont="1" applyProtection="1">
      <protection hidden="1"/>
    </xf>
    <xf numFmtId="0" fontId="1" fillId="0" borderId="0" xfId="0" applyFont="1" applyProtection="1"/>
    <xf numFmtId="0" fontId="13" fillId="0" borderId="0" xfId="3" applyAlignment="1" applyProtection="1">
      <protection locked="0"/>
    </xf>
    <xf numFmtId="0" fontId="25" fillId="0" borderId="0" xfId="0" applyFont="1" applyFill="1" applyBorder="1"/>
    <xf numFmtId="0" fontId="26" fillId="0" borderId="0" xfId="0" applyFont="1" applyFill="1" applyBorder="1"/>
    <xf numFmtId="0" fontId="1" fillId="5" borderId="0" xfId="0" applyFont="1" applyFill="1" applyBorder="1" applyProtection="1">
      <protection locked="0"/>
    </xf>
    <xf numFmtId="0" fontId="4" fillId="5" borderId="28" xfId="0" applyFont="1" applyFill="1" applyBorder="1" applyProtection="1">
      <protection locked="0"/>
    </xf>
    <xf numFmtId="0" fontId="4" fillId="5" borderId="0" xfId="0" applyFont="1" applyFill="1" applyBorder="1" applyProtection="1">
      <protection locked="0"/>
    </xf>
    <xf numFmtId="0" fontId="0" fillId="0" borderId="0" xfId="0" applyProtection="1">
      <protection locked="0"/>
    </xf>
    <xf numFmtId="0" fontId="1" fillId="0" borderId="0" xfId="0" applyFont="1" applyProtection="1">
      <protection locked="0"/>
    </xf>
    <xf numFmtId="0" fontId="10" fillId="6" borderId="26" xfId="0" applyFont="1" applyFill="1" applyBorder="1" applyAlignment="1">
      <alignment wrapText="1"/>
    </xf>
    <xf numFmtId="0" fontId="10" fillId="6" borderId="24" xfId="0" applyFont="1" applyFill="1" applyBorder="1" applyAlignment="1">
      <alignment wrapText="1"/>
    </xf>
    <xf numFmtId="0" fontId="10" fillId="6" borderId="27" xfId="0" applyFont="1" applyFill="1" applyBorder="1" applyAlignment="1">
      <alignment wrapText="1"/>
    </xf>
    <xf numFmtId="0" fontId="4" fillId="5" borderId="0" xfId="0" applyFont="1" applyFill="1" applyProtection="1">
      <protection locked="0"/>
    </xf>
    <xf numFmtId="0" fontId="4" fillId="5" borderId="28" xfId="0" applyFont="1" applyFill="1" applyBorder="1" applyProtection="1">
      <protection locked="0"/>
    </xf>
    <xf numFmtId="0" fontId="1" fillId="5" borderId="33" xfId="0" applyFont="1" applyFill="1" applyBorder="1" applyProtection="1">
      <protection locked="0"/>
    </xf>
    <xf numFmtId="0" fontId="1" fillId="5" borderId="30" xfId="0" applyFont="1" applyFill="1" applyBorder="1" applyProtection="1">
      <protection locked="0"/>
    </xf>
    <xf numFmtId="0" fontId="4" fillId="5" borderId="33" xfId="0" applyFont="1" applyFill="1" applyBorder="1" applyProtection="1">
      <protection locked="0"/>
    </xf>
    <xf numFmtId="0" fontId="4" fillId="5" borderId="30" xfId="0" applyFont="1" applyFill="1" applyBorder="1" applyProtection="1">
      <protection locked="0"/>
    </xf>
    <xf numFmtId="0" fontId="0" fillId="5" borderId="0" xfId="0" applyFill="1" applyBorder="1" applyProtection="1">
      <protection locked="0"/>
    </xf>
    <xf numFmtId="0" fontId="0" fillId="5" borderId="28" xfId="0" applyFill="1" applyBorder="1" applyProtection="1">
      <protection locked="0"/>
    </xf>
    <xf numFmtId="0" fontId="4" fillId="5" borderId="14" xfId="0" applyFont="1" applyFill="1" applyBorder="1" applyProtection="1">
      <protection locked="0"/>
    </xf>
    <xf numFmtId="0" fontId="4" fillId="5" borderId="29" xfId="0" applyFont="1" applyFill="1" applyBorder="1" applyProtection="1">
      <protection locked="0"/>
    </xf>
    <xf numFmtId="0" fontId="0" fillId="5" borderId="33" xfId="0" applyFill="1" applyBorder="1" applyProtection="1">
      <protection locked="0"/>
    </xf>
    <xf numFmtId="0" fontId="0" fillId="5" borderId="30" xfId="0" applyFill="1" applyBorder="1" applyProtection="1">
      <protection locked="0"/>
    </xf>
    <xf numFmtId="0" fontId="4" fillId="5" borderId="0" xfId="0" applyFont="1" applyFill="1" applyBorder="1" applyProtection="1">
      <protection locked="0"/>
    </xf>
    <xf numFmtId="0" fontId="1" fillId="5" borderId="0" xfId="0" applyFont="1" applyFill="1" applyBorder="1" applyProtection="1">
      <protection locked="0"/>
    </xf>
    <xf numFmtId="0" fontId="0" fillId="5" borderId="0" xfId="0" applyFill="1" applyAlignment="1" applyProtection="1">
      <alignment horizontal="left"/>
      <protection locked="0"/>
    </xf>
    <xf numFmtId="0" fontId="1" fillId="5" borderId="2" xfId="0" applyFont="1" applyFill="1" applyBorder="1" applyProtection="1">
      <protection locked="0"/>
    </xf>
    <xf numFmtId="0" fontId="0" fillId="5" borderId="23" xfId="0" applyFill="1" applyBorder="1" applyProtection="1">
      <protection locked="0"/>
    </xf>
    <xf numFmtId="0" fontId="0" fillId="5" borderId="0" xfId="0" applyFill="1" applyBorder="1" applyAlignment="1" applyProtection="1">
      <alignment horizontal="left"/>
      <protection locked="0"/>
    </xf>
    <xf numFmtId="0" fontId="0" fillId="5" borderId="28" xfId="0" applyFill="1" applyBorder="1" applyAlignment="1" applyProtection="1">
      <alignment horizontal="left"/>
      <protection locked="0"/>
    </xf>
    <xf numFmtId="0" fontId="0" fillId="5" borderId="0" xfId="0" applyFill="1" applyProtection="1">
      <protection locked="0"/>
    </xf>
    <xf numFmtId="0" fontId="1" fillId="5" borderId="0" xfId="0" applyFont="1" applyFill="1" applyProtection="1">
      <protection locked="0"/>
    </xf>
    <xf numFmtId="0" fontId="2" fillId="0" borderId="26" xfId="0" applyFont="1" applyFill="1" applyBorder="1" applyProtection="1"/>
    <xf numFmtId="0" fontId="2" fillId="0" borderId="24" xfId="0" applyFont="1" applyFill="1" applyBorder="1" applyProtection="1"/>
    <xf numFmtId="0" fontId="14" fillId="0" borderId="0" xfId="3" applyFont="1" applyFill="1" applyBorder="1" applyAlignment="1" applyProtection="1"/>
  </cellXfs>
  <cellStyles count="6">
    <cellStyle name="Comma" xfId="1" builtinId="3"/>
    <cellStyle name="Currency" xfId="2" builtinId="4"/>
    <cellStyle name="Hyperlink" xfId="3" builtinId="8"/>
    <cellStyle name="Normal" xfId="0" builtinId="0"/>
    <cellStyle name="Normal_Sheet1" xfId="4" xr:uid="{00000000-0005-0000-0000-00000400000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combo" dx="22" noThreeD="1" sel="0" val="0"/>
</file>

<file path=xl/ctrlProps/ctrlProp10.xml><?xml version="1.0" encoding="utf-8"?>
<formControlPr xmlns="http://schemas.microsoft.com/office/spreadsheetml/2009/9/main" objectType="Drop" dropStyle="combo" dx="22" noThreeD="1" sel="0" val="0"/>
</file>

<file path=xl/ctrlProps/ctrlProp11.xml><?xml version="1.0" encoding="utf-8"?>
<formControlPr xmlns="http://schemas.microsoft.com/office/spreadsheetml/2009/9/main" objectType="Drop" dropStyle="combo" dx="22" noThreeD="1" sel="0" val="0"/>
</file>

<file path=xl/ctrlProps/ctrlProp12.xml><?xml version="1.0" encoding="utf-8"?>
<formControlPr xmlns="http://schemas.microsoft.com/office/spreadsheetml/2009/9/main" objectType="Drop" dropStyle="combo" dx="22" noThreeD="1" sel="0" val="0"/>
</file>

<file path=xl/ctrlProps/ctrlProp13.xml><?xml version="1.0" encoding="utf-8"?>
<formControlPr xmlns="http://schemas.microsoft.com/office/spreadsheetml/2009/9/main" objectType="Drop" dropStyle="combo" dx="22" noThreeD="1" sel="0" val="0"/>
</file>

<file path=xl/ctrlProps/ctrlProp14.xml><?xml version="1.0" encoding="utf-8"?>
<formControlPr xmlns="http://schemas.microsoft.com/office/spreadsheetml/2009/9/main" objectType="Drop" dropStyle="combo" dx="22" noThreeD="1" sel="0" val="0"/>
</file>

<file path=xl/ctrlProps/ctrlProp15.xml><?xml version="1.0" encoding="utf-8"?>
<formControlPr xmlns="http://schemas.microsoft.com/office/spreadsheetml/2009/9/main" objectType="Drop" dropStyle="combo" dx="22" noThreeD="1" sel="0" val="0"/>
</file>

<file path=xl/ctrlProps/ctrlProp16.xml><?xml version="1.0" encoding="utf-8"?>
<formControlPr xmlns="http://schemas.microsoft.com/office/spreadsheetml/2009/9/main" objectType="Drop" dropStyle="combo" dx="22" noThreeD="1" sel="0" val="0"/>
</file>

<file path=xl/ctrlProps/ctrlProp17.xml><?xml version="1.0" encoding="utf-8"?>
<formControlPr xmlns="http://schemas.microsoft.com/office/spreadsheetml/2009/9/main" objectType="Drop" dropStyle="combo" dx="22" noThreeD="1" sel="0" val="0"/>
</file>

<file path=xl/ctrlProps/ctrlProp18.xml><?xml version="1.0" encoding="utf-8"?>
<formControlPr xmlns="http://schemas.microsoft.com/office/spreadsheetml/2009/9/main" objectType="Drop" dropStyle="combo" dx="22" noThreeD="1" sel="0" val="0"/>
</file>

<file path=xl/ctrlProps/ctrlProp19.xml><?xml version="1.0" encoding="utf-8"?>
<formControlPr xmlns="http://schemas.microsoft.com/office/spreadsheetml/2009/9/main" objectType="Drop" dropStyle="combo" dx="22" noThreeD="1" sel="0" val="0"/>
</file>

<file path=xl/ctrlProps/ctrlProp2.xml><?xml version="1.0" encoding="utf-8"?>
<formControlPr xmlns="http://schemas.microsoft.com/office/spreadsheetml/2009/9/main" objectType="Drop" dropStyle="combo" dx="22" noThreeD="1" sel="0" val="0"/>
</file>

<file path=xl/ctrlProps/ctrlProp20.xml><?xml version="1.0" encoding="utf-8"?>
<formControlPr xmlns="http://schemas.microsoft.com/office/spreadsheetml/2009/9/main" objectType="Drop" dropStyle="combo" dx="22" noThreeD="1" sel="0" val="0"/>
</file>

<file path=xl/ctrlProps/ctrlProp3.xml><?xml version="1.0" encoding="utf-8"?>
<formControlPr xmlns="http://schemas.microsoft.com/office/spreadsheetml/2009/9/main" objectType="Drop" dropStyle="combo" dx="22" noThreeD="1" sel="0" val="0"/>
</file>

<file path=xl/ctrlProps/ctrlProp4.xml><?xml version="1.0" encoding="utf-8"?>
<formControlPr xmlns="http://schemas.microsoft.com/office/spreadsheetml/2009/9/main" objectType="Drop" dropStyle="combo" dx="22" noThreeD="1" sel="0" val="0"/>
</file>

<file path=xl/ctrlProps/ctrlProp5.xml><?xml version="1.0" encoding="utf-8"?>
<formControlPr xmlns="http://schemas.microsoft.com/office/spreadsheetml/2009/9/main" objectType="Drop" dropStyle="combo" dx="22" noThreeD="1" sel="0" val="0"/>
</file>

<file path=xl/ctrlProps/ctrlProp6.xml><?xml version="1.0" encoding="utf-8"?>
<formControlPr xmlns="http://schemas.microsoft.com/office/spreadsheetml/2009/9/main" objectType="Drop" dropStyle="combo" dx="22" noThreeD="1" sel="0" val="0"/>
</file>

<file path=xl/ctrlProps/ctrlProp7.xml><?xml version="1.0" encoding="utf-8"?>
<formControlPr xmlns="http://schemas.microsoft.com/office/spreadsheetml/2009/9/main" objectType="Drop" dropStyle="combo" dx="22" noThreeD="1" sel="0" val="0"/>
</file>

<file path=xl/ctrlProps/ctrlProp8.xml><?xml version="1.0" encoding="utf-8"?>
<formControlPr xmlns="http://schemas.microsoft.com/office/spreadsheetml/2009/9/main" objectType="Drop" dropStyle="combo" dx="22" noThreeD="1" sel="0" val="0"/>
</file>

<file path=xl/ctrlProps/ctrlProp9.xml><?xml version="1.0" encoding="utf-8"?>
<formControlPr xmlns="http://schemas.microsoft.com/office/spreadsheetml/2009/9/main" objectType="Drop" dropStyle="combo" dx="22"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10</xdr:col>
      <xdr:colOff>12700</xdr:colOff>
      <xdr:row>7</xdr:row>
      <xdr:rowOff>24130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403860" y="0"/>
          <a:ext cx="7259320" cy="11176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1</xdr:col>
          <xdr:colOff>914400</xdr:colOff>
          <xdr:row>39</xdr:row>
          <xdr:rowOff>60960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8</xdr:row>
          <xdr:rowOff>0</xdr:rowOff>
        </xdr:from>
        <xdr:to>
          <xdr:col>28</xdr:col>
          <xdr:colOff>0</xdr:colOff>
          <xdr:row>9</xdr:row>
          <xdr:rowOff>38100</xdr:rowOff>
        </xdr:to>
        <xdr:sp macro="" textlink="">
          <xdr:nvSpPr>
            <xdr:cNvPr id="5170" name="Drop Down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8</xdr:row>
          <xdr:rowOff>0</xdr:rowOff>
        </xdr:from>
        <xdr:to>
          <xdr:col>28</xdr:col>
          <xdr:colOff>7620</xdr:colOff>
          <xdr:row>9</xdr:row>
          <xdr:rowOff>38100</xdr:rowOff>
        </xdr:to>
        <xdr:sp macro="" textlink="">
          <xdr:nvSpPr>
            <xdr:cNvPr id="5171" name="Drop Down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xdr:row>
          <xdr:rowOff>0</xdr:rowOff>
        </xdr:from>
        <xdr:to>
          <xdr:col>28</xdr:col>
          <xdr:colOff>0</xdr:colOff>
          <xdr:row>9</xdr:row>
          <xdr:rowOff>38100</xdr:rowOff>
        </xdr:to>
        <xdr:sp macro="" textlink="">
          <xdr:nvSpPr>
            <xdr:cNvPr id="5172" name="Drop Down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8</xdr:row>
          <xdr:rowOff>0</xdr:rowOff>
        </xdr:from>
        <xdr:to>
          <xdr:col>28</xdr:col>
          <xdr:colOff>7620</xdr:colOff>
          <xdr:row>9</xdr:row>
          <xdr:rowOff>38100</xdr:rowOff>
        </xdr:to>
        <xdr:sp macro="" textlink="">
          <xdr:nvSpPr>
            <xdr:cNvPr id="5173" name="Drop Down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601980</xdr:colOff>
          <xdr:row>8</xdr:row>
          <xdr:rowOff>0</xdr:rowOff>
        </xdr:from>
        <xdr:to>
          <xdr:col>27</xdr:col>
          <xdr:colOff>1440180</xdr:colOff>
          <xdr:row>9</xdr:row>
          <xdr:rowOff>38100</xdr:rowOff>
        </xdr:to>
        <xdr:sp macro="" textlink="">
          <xdr:nvSpPr>
            <xdr:cNvPr id="5174" name="Drop Down 54"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xdr:row>
          <xdr:rowOff>0</xdr:rowOff>
        </xdr:from>
        <xdr:to>
          <xdr:col>28</xdr:col>
          <xdr:colOff>0</xdr:colOff>
          <xdr:row>9</xdr:row>
          <xdr:rowOff>38100</xdr:rowOff>
        </xdr:to>
        <xdr:sp macro="" textlink="">
          <xdr:nvSpPr>
            <xdr:cNvPr id="5175" name="Drop Down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8</xdr:row>
          <xdr:rowOff>0</xdr:rowOff>
        </xdr:from>
        <xdr:to>
          <xdr:col>28</xdr:col>
          <xdr:colOff>7620</xdr:colOff>
          <xdr:row>9</xdr:row>
          <xdr:rowOff>38100</xdr:rowOff>
        </xdr:to>
        <xdr:sp macro="" textlink="">
          <xdr:nvSpPr>
            <xdr:cNvPr id="5176" name="Drop Down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xdr:row>
          <xdr:rowOff>0</xdr:rowOff>
        </xdr:from>
        <xdr:to>
          <xdr:col>28</xdr:col>
          <xdr:colOff>0</xdr:colOff>
          <xdr:row>9</xdr:row>
          <xdr:rowOff>38100</xdr:rowOff>
        </xdr:to>
        <xdr:sp macro="" textlink="">
          <xdr:nvSpPr>
            <xdr:cNvPr id="5177" name="Drop Down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8</xdr:row>
          <xdr:rowOff>0</xdr:rowOff>
        </xdr:from>
        <xdr:to>
          <xdr:col>28</xdr:col>
          <xdr:colOff>7620</xdr:colOff>
          <xdr:row>9</xdr:row>
          <xdr:rowOff>38100</xdr:rowOff>
        </xdr:to>
        <xdr:sp macro="" textlink="">
          <xdr:nvSpPr>
            <xdr:cNvPr id="5178" name="Drop Down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601980</xdr:colOff>
          <xdr:row>8</xdr:row>
          <xdr:rowOff>0</xdr:rowOff>
        </xdr:from>
        <xdr:to>
          <xdr:col>27</xdr:col>
          <xdr:colOff>1440180</xdr:colOff>
          <xdr:row>9</xdr:row>
          <xdr:rowOff>38100</xdr:rowOff>
        </xdr:to>
        <xdr:sp macro="" textlink="">
          <xdr:nvSpPr>
            <xdr:cNvPr id="5179" name="Drop Down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xdr:row>
          <xdr:rowOff>0</xdr:rowOff>
        </xdr:from>
        <xdr:to>
          <xdr:col>28</xdr:col>
          <xdr:colOff>0</xdr:colOff>
          <xdr:row>9</xdr:row>
          <xdr:rowOff>38100</xdr:rowOff>
        </xdr:to>
        <xdr:sp macro="" textlink="">
          <xdr:nvSpPr>
            <xdr:cNvPr id="5180" name="Drop Down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8</xdr:row>
          <xdr:rowOff>0</xdr:rowOff>
        </xdr:from>
        <xdr:to>
          <xdr:col>28</xdr:col>
          <xdr:colOff>7620</xdr:colOff>
          <xdr:row>9</xdr:row>
          <xdr:rowOff>38100</xdr:rowOff>
        </xdr:to>
        <xdr:sp macro="" textlink="">
          <xdr:nvSpPr>
            <xdr:cNvPr id="5181" name="Drop Down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xdr:row>
          <xdr:rowOff>0</xdr:rowOff>
        </xdr:from>
        <xdr:to>
          <xdr:col>28</xdr:col>
          <xdr:colOff>0</xdr:colOff>
          <xdr:row>9</xdr:row>
          <xdr:rowOff>38100</xdr:rowOff>
        </xdr:to>
        <xdr:sp macro="" textlink="">
          <xdr:nvSpPr>
            <xdr:cNvPr id="5182" name="Drop Down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8</xdr:row>
          <xdr:rowOff>0</xdr:rowOff>
        </xdr:from>
        <xdr:to>
          <xdr:col>28</xdr:col>
          <xdr:colOff>7620</xdr:colOff>
          <xdr:row>9</xdr:row>
          <xdr:rowOff>38100</xdr:rowOff>
        </xdr:to>
        <xdr:sp macro="" textlink="">
          <xdr:nvSpPr>
            <xdr:cNvPr id="5183" name="Drop Down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601980</xdr:colOff>
          <xdr:row>8</xdr:row>
          <xdr:rowOff>0</xdr:rowOff>
        </xdr:from>
        <xdr:to>
          <xdr:col>27</xdr:col>
          <xdr:colOff>1440180</xdr:colOff>
          <xdr:row>9</xdr:row>
          <xdr:rowOff>38100</xdr:rowOff>
        </xdr:to>
        <xdr:sp macro="" textlink="">
          <xdr:nvSpPr>
            <xdr:cNvPr id="5184" name="Drop Down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xdr:row>
          <xdr:rowOff>0</xdr:rowOff>
        </xdr:from>
        <xdr:to>
          <xdr:col>28</xdr:col>
          <xdr:colOff>0</xdr:colOff>
          <xdr:row>9</xdr:row>
          <xdr:rowOff>38100</xdr:rowOff>
        </xdr:to>
        <xdr:sp macro="" textlink="">
          <xdr:nvSpPr>
            <xdr:cNvPr id="5185" name="Drop Down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8</xdr:row>
          <xdr:rowOff>0</xdr:rowOff>
        </xdr:from>
        <xdr:to>
          <xdr:col>28</xdr:col>
          <xdr:colOff>7620</xdr:colOff>
          <xdr:row>9</xdr:row>
          <xdr:rowOff>38100</xdr:rowOff>
        </xdr:to>
        <xdr:sp macro="" textlink="">
          <xdr:nvSpPr>
            <xdr:cNvPr id="5186" name="Drop Down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xdr:row>
          <xdr:rowOff>0</xdr:rowOff>
        </xdr:from>
        <xdr:to>
          <xdr:col>28</xdr:col>
          <xdr:colOff>0</xdr:colOff>
          <xdr:row>9</xdr:row>
          <xdr:rowOff>38100</xdr:rowOff>
        </xdr:to>
        <xdr:sp macro="" textlink="">
          <xdr:nvSpPr>
            <xdr:cNvPr id="5187" name="Drop Down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8</xdr:row>
          <xdr:rowOff>0</xdr:rowOff>
        </xdr:from>
        <xdr:to>
          <xdr:col>28</xdr:col>
          <xdr:colOff>7620</xdr:colOff>
          <xdr:row>9</xdr:row>
          <xdr:rowOff>38100</xdr:rowOff>
        </xdr:to>
        <xdr:sp macro="" textlink="">
          <xdr:nvSpPr>
            <xdr:cNvPr id="5188" name="Drop Down 68"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601980</xdr:colOff>
          <xdr:row>8</xdr:row>
          <xdr:rowOff>0</xdr:rowOff>
        </xdr:from>
        <xdr:to>
          <xdr:col>27</xdr:col>
          <xdr:colOff>1440180</xdr:colOff>
          <xdr:row>9</xdr:row>
          <xdr:rowOff>38100</xdr:rowOff>
        </xdr:to>
        <xdr:sp macro="" textlink="">
          <xdr:nvSpPr>
            <xdr:cNvPr id="5189" name="Drop Down 69" hidden="1">
              <a:extLst>
                <a:ext uri="{63B3BB69-23CF-44E3-9099-C40C66FF867C}">
                  <a14:compatExt spid="_x0000_s5189"/>
                </a:ext>
                <a:ext uri="{FF2B5EF4-FFF2-40B4-BE49-F238E27FC236}">
                  <a16:creationId xmlns:a16="http://schemas.microsoft.com/office/drawing/2014/main" id="{00000000-0008-0000-0100-00004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9:Q43"/>
  <sheetViews>
    <sheetView showGridLines="0" tabSelected="1" zoomScaleNormal="100" workbookViewId="0"/>
  </sheetViews>
  <sheetFormatPr defaultRowHeight="12.3" x14ac:dyDescent="0.4"/>
  <cols>
    <col min="1" max="1" width="5.88671875" customWidth="1"/>
    <col min="2" max="2" width="21.88671875" customWidth="1"/>
    <col min="4" max="4" width="9.44140625" customWidth="1"/>
    <col min="6" max="6" width="21" bestFit="1" customWidth="1"/>
    <col min="12" max="13" width="9.6640625" bestFit="1" customWidth="1"/>
  </cols>
  <sheetData>
    <row r="9" spans="2:17" ht="30.3" x14ac:dyDescent="1">
      <c r="B9" s="353" t="s">
        <v>278</v>
      </c>
      <c r="C9" s="354"/>
      <c r="D9" s="354"/>
      <c r="E9" s="354"/>
      <c r="F9" s="354"/>
      <c r="G9" s="354"/>
      <c r="H9" s="12"/>
      <c r="I9" s="12"/>
      <c r="J9" s="12"/>
    </row>
    <row r="10" spans="2:17" ht="17.7" x14ac:dyDescent="0.6">
      <c r="B10" s="17"/>
      <c r="C10" s="12"/>
      <c r="D10" s="12"/>
      <c r="E10" s="12"/>
      <c r="F10" s="12"/>
      <c r="G10" s="12"/>
      <c r="H10" s="12"/>
      <c r="I10" s="12"/>
      <c r="J10" s="12"/>
    </row>
    <row r="11" spans="2:17" ht="17.7" x14ac:dyDescent="0.6">
      <c r="B11" s="17" t="s">
        <v>102</v>
      </c>
      <c r="C11" s="18" t="s">
        <v>279</v>
      </c>
      <c r="D11" s="12"/>
      <c r="E11" s="12"/>
      <c r="F11" s="12"/>
      <c r="G11" s="12"/>
      <c r="H11" s="12"/>
      <c r="I11" s="12"/>
      <c r="J11" s="12"/>
    </row>
    <row r="12" spans="2:17" ht="17.7" x14ac:dyDescent="0.6">
      <c r="B12" s="17"/>
      <c r="C12" s="12"/>
      <c r="D12" s="12"/>
      <c r="E12" s="12"/>
      <c r="F12" s="12"/>
      <c r="G12" s="12"/>
      <c r="H12" s="12"/>
      <c r="I12" s="12"/>
      <c r="J12" s="12"/>
    </row>
    <row r="13" spans="2:17" ht="16.5" x14ac:dyDescent="0.6">
      <c r="B13" s="19" t="s">
        <v>320</v>
      </c>
      <c r="C13" s="12"/>
      <c r="D13" s="12"/>
      <c r="E13" s="12"/>
      <c r="F13" s="12"/>
      <c r="G13" s="12"/>
      <c r="H13" s="12"/>
      <c r="I13" s="12"/>
      <c r="J13" s="12"/>
    </row>
    <row r="14" spans="2:17" ht="16.5" x14ac:dyDescent="0.6">
      <c r="B14" s="19" t="s">
        <v>299</v>
      </c>
      <c r="C14" s="12"/>
      <c r="D14" s="12"/>
      <c r="E14" s="12"/>
      <c r="F14" s="12"/>
      <c r="G14" s="12"/>
      <c r="H14" s="12"/>
      <c r="I14" s="12"/>
      <c r="J14" s="12"/>
      <c r="K14" s="208"/>
    </row>
    <row r="15" spans="2:17" ht="87" customHeight="1" x14ac:dyDescent="0.6">
      <c r="B15" s="360" t="s">
        <v>321</v>
      </c>
      <c r="C15" s="361"/>
      <c r="D15" s="361"/>
      <c r="E15" s="361"/>
      <c r="F15" s="361"/>
      <c r="G15" s="361"/>
      <c r="H15" s="361"/>
      <c r="I15" s="361"/>
      <c r="J15" s="361"/>
      <c r="K15" s="361"/>
      <c r="L15" s="361"/>
      <c r="M15" s="361"/>
      <c r="N15" s="361"/>
      <c r="O15" s="361"/>
      <c r="P15" s="361"/>
      <c r="Q15" s="362"/>
    </row>
    <row r="16" spans="2:17" ht="16.5" x14ac:dyDescent="0.6">
      <c r="B16" s="349" t="s">
        <v>317</v>
      </c>
      <c r="C16" s="12"/>
      <c r="D16" s="12"/>
      <c r="E16" s="12"/>
      <c r="F16" s="12"/>
      <c r="G16" s="12"/>
      <c r="H16" s="12"/>
      <c r="I16" s="12"/>
      <c r="J16" s="12"/>
      <c r="N16" s="6"/>
    </row>
    <row r="17" spans="2:10" x14ac:dyDescent="0.4">
      <c r="B17" s="12"/>
      <c r="C17" s="12"/>
      <c r="D17" s="12"/>
      <c r="E17" s="12"/>
      <c r="F17" s="12"/>
      <c r="G17" s="12"/>
      <c r="H17" s="12"/>
      <c r="I17" s="12"/>
      <c r="J17" s="12"/>
    </row>
    <row r="18" spans="2:10" ht="16.5" x14ac:dyDescent="0.6">
      <c r="B18" s="349" t="s">
        <v>300</v>
      </c>
      <c r="C18" s="12"/>
      <c r="D18" s="12"/>
      <c r="E18" s="12"/>
      <c r="F18" s="12"/>
      <c r="G18" s="12"/>
      <c r="H18" s="12"/>
      <c r="I18" s="12"/>
      <c r="J18" s="12"/>
    </row>
    <row r="19" spans="2:10" ht="16.5" x14ac:dyDescent="0.6">
      <c r="B19" s="350" t="s">
        <v>303</v>
      </c>
      <c r="C19" s="12"/>
      <c r="D19" s="12"/>
      <c r="E19" s="12"/>
      <c r="F19" s="12"/>
      <c r="G19" s="12"/>
      <c r="H19" s="12"/>
      <c r="I19" s="12"/>
      <c r="J19" s="12"/>
    </row>
    <row r="20" spans="2:10" ht="16.5" x14ac:dyDescent="0.6">
      <c r="B20" s="350" t="s">
        <v>318</v>
      </c>
      <c r="C20" s="12"/>
      <c r="D20" s="12"/>
      <c r="E20" s="12"/>
      <c r="F20" s="12"/>
      <c r="G20" s="12"/>
      <c r="H20" s="12"/>
      <c r="I20" s="12"/>
      <c r="J20" s="12"/>
    </row>
    <row r="21" spans="2:10" ht="16.5" x14ac:dyDescent="0.6">
      <c r="B21" s="349" t="s">
        <v>302</v>
      </c>
      <c r="C21" s="12"/>
      <c r="D21" s="12"/>
      <c r="E21" s="12"/>
      <c r="F21" s="12"/>
      <c r="G21" s="12"/>
      <c r="H21" s="12"/>
      <c r="I21" s="12"/>
      <c r="J21" s="12"/>
    </row>
    <row r="22" spans="2:10" ht="16.5" x14ac:dyDescent="0.6">
      <c r="B22" s="349" t="s">
        <v>301</v>
      </c>
      <c r="C22" s="12"/>
      <c r="D22" s="12"/>
      <c r="E22" s="12"/>
      <c r="F22" s="12"/>
      <c r="G22" s="12"/>
      <c r="H22" s="12"/>
      <c r="I22" s="12"/>
      <c r="J22" s="12"/>
    </row>
    <row r="23" spans="2:10" ht="16.5" x14ac:dyDescent="0.6">
      <c r="B23" s="349" t="s">
        <v>308</v>
      </c>
      <c r="C23" s="20"/>
      <c r="D23" s="20"/>
      <c r="F23" s="12"/>
      <c r="G23" s="12"/>
      <c r="H23" s="12"/>
      <c r="I23" s="12"/>
      <c r="J23" s="12"/>
    </row>
    <row r="24" spans="2:10" ht="16.5" x14ac:dyDescent="0.6">
      <c r="B24" s="349"/>
      <c r="C24" s="20"/>
      <c r="D24" s="20"/>
      <c r="F24" s="12"/>
      <c r="G24" s="12"/>
      <c r="H24" s="12"/>
      <c r="I24" s="12"/>
      <c r="J24" s="12"/>
    </row>
    <row r="25" spans="2:10" ht="16.5" x14ac:dyDescent="0.6">
      <c r="B25" s="349" t="s">
        <v>309</v>
      </c>
      <c r="C25" s="20"/>
      <c r="D25" s="20"/>
      <c r="F25" s="12"/>
      <c r="G25" s="12"/>
      <c r="H25" s="12"/>
      <c r="I25" s="12"/>
      <c r="J25" s="12"/>
    </row>
    <row r="26" spans="2:10" ht="16.5" x14ac:dyDescent="0.6">
      <c r="B26" s="349" t="s">
        <v>310</v>
      </c>
      <c r="C26" s="20"/>
      <c r="D26" s="20"/>
      <c r="F26" s="12"/>
      <c r="G26" s="12"/>
      <c r="H26" s="12"/>
      <c r="I26" s="12"/>
      <c r="J26" s="12"/>
    </row>
    <row r="27" spans="2:10" ht="16.5" x14ac:dyDescent="0.6">
      <c r="B27" s="349" t="s">
        <v>311</v>
      </c>
      <c r="C27" s="20"/>
      <c r="D27" s="20"/>
      <c r="F27" s="12"/>
      <c r="G27" s="12"/>
      <c r="H27" s="12"/>
      <c r="I27" s="12"/>
      <c r="J27" s="12"/>
    </row>
    <row r="28" spans="2:10" ht="16.5" x14ac:dyDescent="0.6">
      <c r="B28" s="349" t="s">
        <v>312</v>
      </c>
    </row>
    <row r="29" spans="2:10" ht="16.5" x14ac:dyDescent="0.6">
      <c r="B29" s="349" t="s">
        <v>319</v>
      </c>
    </row>
    <row r="30" spans="2:10" x14ac:dyDescent="0.4">
      <c r="B30" s="12"/>
      <c r="F30" s="209"/>
      <c r="G30" s="209"/>
    </row>
    <row r="31" spans="2:10" x14ac:dyDescent="0.4">
      <c r="B31" s="20" t="s">
        <v>103</v>
      </c>
      <c r="F31" s="210"/>
      <c r="G31" s="211"/>
    </row>
    <row r="32" spans="2:10" x14ac:dyDescent="0.4">
      <c r="B32" s="13" t="s">
        <v>280</v>
      </c>
    </row>
    <row r="33" spans="2:2" x14ac:dyDescent="0.4">
      <c r="B33" s="20" t="s">
        <v>281</v>
      </c>
    </row>
    <row r="34" spans="2:2" x14ac:dyDescent="0.4">
      <c r="B34" s="1" t="s">
        <v>282</v>
      </c>
    </row>
    <row r="35" spans="2:2" ht="22.2" x14ac:dyDescent="0.7">
      <c r="B35" s="24"/>
    </row>
    <row r="36" spans="2:2" x14ac:dyDescent="0.4">
      <c r="B36" s="358"/>
    </row>
    <row r="37" spans="2:2" x14ac:dyDescent="0.4">
      <c r="B37" s="358"/>
    </row>
    <row r="38" spans="2:2" x14ac:dyDescent="0.4">
      <c r="B38" s="358"/>
    </row>
    <row r="39" spans="2:2" x14ac:dyDescent="0.4">
      <c r="B39" s="358"/>
    </row>
    <row r="40" spans="2:2" x14ac:dyDescent="0.4">
      <c r="B40" s="358"/>
    </row>
    <row r="41" spans="2:2" x14ac:dyDescent="0.4">
      <c r="B41" s="359" t="s">
        <v>324</v>
      </c>
    </row>
    <row r="42" spans="2:2" x14ac:dyDescent="0.4">
      <c r="B42" s="358"/>
    </row>
    <row r="43" spans="2:2" x14ac:dyDescent="0.4">
      <c r="B43" s="358"/>
    </row>
  </sheetData>
  <sheetProtection algorithmName="SHA-512" hashValue="M3u6G5xoIZ1Y+cyuOuovuTUOqoHnnW9SUmu7xObZ+HoerMs6JjssHaQvDFxEUPCMDx9Uk+E0RJVo3N3FZTLWoA==" saltValue="e+2ZpNZEktLXf+6mUD6E5g==" spinCount="100000" sheet="1" objects="1" scenarios="1"/>
  <mergeCells count="1">
    <mergeCell ref="B15:Q15"/>
  </mergeCells>
  <phoneticPr fontId="0"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Acrobat Document" dvAspect="DVASPECT_ICON" shapeId="1025" r:id="rId4">
          <objectPr locked="0" defaultSize="0" r:id="rId5">
            <anchor moveWithCells="1">
              <from>
                <xdr:col>1</xdr:col>
                <xdr:colOff>0</xdr:colOff>
                <xdr:row>35</xdr:row>
                <xdr:rowOff>0</xdr:rowOff>
              </from>
              <to>
                <xdr:col>1</xdr:col>
                <xdr:colOff>914400</xdr:colOff>
                <xdr:row>39</xdr:row>
                <xdr:rowOff>60960</xdr:rowOff>
              </to>
            </anchor>
          </objectPr>
        </oleObject>
      </mc:Choice>
      <mc:Fallback>
        <oleObject progId="Acrobat Document" dvAspect="DVASPECT_ICON"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O56"/>
  <sheetViews>
    <sheetView showGridLines="0" workbookViewId="0"/>
  </sheetViews>
  <sheetFormatPr defaultRowHeight="12.3" x14ac:dyDescent="0.4"/>
  <cols>
    <col min="1" max="1" width="4" customWidth="1"/>
    <col min="2" max="2" width="24.109375" customWidth="1"/>
    <col min="3" max="3" width="15.44140625" customWidth="1"/>
    <col min="4" max="14" width="12.6640625" customWidth="1"/>
  </cols>
  <sheetData>
    <row r="1" spans="2:15" x14ac:dyDescent="0.4">
      <c r="B1" s="27"/>
      <c r="C1" s="27"/>
      <c r="D1" s="27"/>
      <c r="E1" s="27"/>
      <c r="F1" s="27"/>
      <c r="G1" s="27"/>
      <c r="H1" s="27"/>
      <c r="I1" s="27"/>
      <c r="J1" s="27"/>
      <c r="K1" s="27"/>
      <c r="L1" s="27"/>
      <c r="M1" s="27"/>
      <c r="N1" s="27"/>
      <c r="O1" s="27"/>
    </row>
    <row r="2" spans="2:15" ht="15" x14ac:dyDescent="0.5">
      <c r="B2" s="31" t="s">
        <v>254</v>
      </c>
      <c r="C2" s="124"/>
      <c r="D2" s="27"/>
      <c r="E2" s="27"/>
      <c r="F2" s="27"/>
      <c r="G2" s="27"/>
      <c r="H2" s="27"/>
      <c r="I2" s="27"/>
      <c r="J2" s="27"/>
      <c r="K2" s="27"/>
      <c r="L2" s="27"/>
      <c r="M2" s="27"/>
      <c r="N2" s="27"/>
      <c r="O2" s="27"/>
    </row>
    <row r="3" spans="2:15" ht="15" x14ac:dyDescent="0.5">
      <c r="B3" s="31" t="s">
        <v>255</v>
      </c>
      <c r="C3" s="124"/>
      <c r="D3" s="27"/>
      <c r="E3" s="27"/>
      <c r="F3" s="27"/>
      <c r="G3" s="27"/>
      <c r="H3" s="27"/>
      <c r="I3" s="27"/>
      <c r="J3" s="27"/>
      <c r="K3" s="27"/>
      <c r="L3" s="27"/>
      <c r="M3" s="27"/>
      <c r="N3" s="27"/>
      <c r="O3" s="27"/>
    </row>
    <row r="4" spans="2:15" x14ac:dyDescent="0.4">
      <c r="B4" s="28"/>
      <c r="C4" s="51"/>
      <c r="D4" s="27"/>
      <c r="E4" s="27"/>
      <c r="F4" s="27"/>
      <c r="G4" s="27"/>
      <c r="H4" s="27"/>
      <c r="I4" s="27"/>
      <c r="J4" s="27"/>
      <c r="K4" s="27"/>
      <c r="L4" s="27"/>
      <c r="M4" s="27"/>
      <c r="N4" s="27"/>
      <c r="O4" s="27"/>
    </row>
    <row r="5" spans="2:15" x14ac:dyDescent="0.4">
      <c r="B5" s="28" t="s">
        <v>50</v>
      </c>
      <c r="C5" s="52">
        <f>'Op Assumptions'!F32</f>
        <v>0.09</v>
      </c>
      <c r="D5" s="27"/>
      <c r="E5" s="27"/>
      <c r="F5" s="27"/>
      <c r="G5" s="27"/>
      <c r="H5" s="27"/>
      <c r="I5" s="27"/>
      <c r="J5" s="27"/>
      <c r="K5" s="27"/>
      <c r="L5" s="27"/>
      <c r="M5" s="27"/>
      <c r="N5" s="36"/>
      <c r="O5" s="27"/>
    </row>
    <row r="6" spans="2:15" x14ac:dyDescent="0.4">
      <c r="B6" s="27"/>
      <c r="C6" s="27"/>
      <c r="D6" s="27"/>
      <c r="E6" s="27"/>
      <c r="F6" s="27"/>
      <c r="G6" s="27"/>
      <c r="H6" s="27"/>
      <c r="I6" s="27"/>
      <c r="J6" s="27"/>
      <c r="K6" s="27"/>
      <c r="L6" s="27"/>
      <c r="M6" s="27"/>
      <c r="N6" s="27"/>
      <c r="O6" s="27"/>
    </row>
    <row r="7" spans="2:15" x14ac:dyDescent="0.4">
      <c r="B7" s="49" t="s">
        <v>60</v>
      </c>
      <c r="C7" s="27"/>
      <c r="D7" s="49">
        <v>0</v>
      </c>
      <c r="E7" s="49">
        <v>1</v>
      </c>
      <c r="F7" s="49">
        <v>2</v>
      </c>
      <c r="G7" s="49">
        <v>3</v>
      </c>
      <c r="H7" s="49">
        <v>4</v>
      </c>
      <c r="I7" s="49">
        <v>5</v>
      </c>
      <c r="J7" s="49">
        <v>6</v>
      </c>
      <c r="K7" s="49">
        <v>7</v>
      </c>
      <c r="L7" s="49">
        <v>8</v>
      </c>
      <c r="M7" s="49">
        <v>9</v>
      </c>
      <c r="N7" s="49">
        <v>10</v>
      </c>
      <c r="O7" s="27"/>
    </row>
    <row r="8" spans="2:15" x14ac:dyDescent="0.4">
      <c r="B8" s="28" t="s">
        <v>51</v>
      </c>
      <c r="C8" s="27"/>
      <c r="D8" s="39"/>
      <c r="E8" s="125">
        <f>'Market Projection'!D50</f>
        <v>303841.44</v>
      </c>
      <c r="F8" s="39">
        <f>'Market Projection'!E50</f>
        <v>305360.64720000001</v>
      </c>
      <c r="G8" s="39">
        <f>'Market Projection'!F50</f>
        <v>392530.45985999994</v>
      </c>
      <c r="H8" s="39">
        <f>'Market Projection'!G50</f>
        <v>394493.1121592999</v>
      </c>
      <c r="I8" s="39">
        <f>'Market Projection'!H50</f>
        <v>396465.57772009639</v>
      </c>
      <c r="J8" s="39">
        <f>'Market Projection'!I50</f>
        <v>398447.90560869686</v>
      </c>
      <c r="K8" s="39">
        <f>'Market Projection'!J50</f>
        <v>400440.14513674018</v>
      </c>
      <c r="L8" s="39">
        <f>'Market Projection'!K50</f>
        <v>402442.34586242388</v>
      </c>
      <c r="M8" s="39">
        <f>'Market Projection'!L50</f>
        <v>404454.55759173597</v>
      </c>
      <c r="N8" s="39">
        <f>'Market Projection'!M50</f>
        <v>406476.83037969458</v>
      </c>
      <c r="O8" s="27"/>
    </row>
    <row r="9" spans="2:15" x14ac:dyDescent="0.4">
      <c r="B9" s="28" t="s">
        <v>52</v>
      </c>
      <c r="C9" s="27"/>
      <c r="D9" s="27">
        <v>1</v>
      </c>
      <c r="E9" s="27">
        <f t="shared" ref="E9:N9" si="0">1/((1+$C$5)^E7)</f>
        <v>0.9174311926605504</v>
      </c>
      <c r="F9" s="27">
        <f t="shared" si="0"/>
        <v>0.84167999326655996</v>
      </c>
      <c r="G9" s="27">
        <f t="shared" si="0"/>
        <v>0.77218348006106419</v>
      </c>
      <c r="H9" s="27">
        <f t="shared" si="0"/>
        <v>0.7084252110651964</v>
      </c>
      <c r="I9" s="27">
        <f t="shared" si="0"/>
        <v>0.64993138629834524</v>
      </c>
      <c r="J9" s="27">
        <f t="shared" si="0"/>
        <v>0.5962673268792158</v>
      </c>
      <c r="K9" s="27">
        <f t="shared" si="0"/>
        <v>0.54703424484331731</v>
      </c>
      <c r="L9" s="27">
        <f t="shared" si="0"/>
        <v>0.50186627967276809</v>
      </c>
      <c r="M9" s="27">
        <f t="shared" si="0"/>
        <v>0.46042777951630098</v>
      </c>
      <c r="N9" s="27">
        <f t="shared" si="0"/>
        <v>0.42241080689568894</v>
      </c>
      <c r="O9" s="27"/>
    </row>
    <row r="10" spans="2:15" x14ac:dyDescent="0.4">
      <c r="B10" s="28" t="s">
        <v>53</v>
      </c>
      <c r="C10" s="39"/>
      <c r="D10" s="39">
        <f t="shared" ref="D10:N10" si="1">D8*D9</f>
        <v>0</v>
      </c>
      <c r="E10" s="39">
        <f t="shared" si="1"/>
        <v>278753.61467889906</v>
      </c>
      <c r="F10" s="39">
        <f t="shared" si="1"/>
        <v>257015.94747916839</v>
      </c>
      <c r="G10" s="39">
        <f t="shared" si="1"/>
        <v>303105.53652466461</v>
      </c>
      <c r="H10" s="39">
        <f t="shared" si="1"/>
        <v>279468.8662452182</v>
      </c>
      <c r="I10" s="39">
        <f t="shared" si="1"/>
        <v>257675.42254719659</v>
      </c>
      <c r="J10" s="39">
        <f t="shared" si="1"/>
        <v>237581.46757791977</v>
      </c>
      <c r="K10" s="39">
        <f t="shared" si="1"/>
        <v>219054.47239982506</v>
      </c>
      <c r="L10" s="39">
        <f t="shared" si="1"/>
        <v>201972.2429007561</v>
      </c>
      <c r="M10" s="39">
        <f t="shared" si="1"/>
        <v>186222.11386721086</v>
      </c>
      <c r="N10" s="39">
        <f t="shared" si="1"/>
        <v>171700.20590508886</v>
      </c>
      <c r="O10" s="27"/>
    </row>
    <row r="11" spans="2:15" x14ac:dyDescent="0.4">
      <c r="B11" s="27"/>
      <c r="C11" s="27"/>
      <c r="D11" s="27"/>
      <c r="E11" s="27"/>
      <c r="F11" s="27"/>
      <c r="G11" s="27"/>
      <c r="H11" s="27"/>
      <c r="I11" s="27"/>
      <c r="J11" s="27"/>
      <c r="K11" s="27"/>
      <c r="L11" s="27"/>
      <c r="M11" s="27"/>
      <c r="N11" s="27"/>
      <c r="O11" s="27"/>
    </row>
    <row r="12" spans="2:15" x14ac:dyDescent="0.4">
      <c r="B12" s="28" t="s">
        <v>54</v>
      </c>
      <c r="C12" s="27"/>
      <c r="D12" s="39">
        <f>'Expense Projection'!C49</f>
        <v>43330</v>
      </c>
      <c r="E12" s="39">
        <f>'Expense Projection'!D49</f>
        <v>326519.23425030161</v>
      </c>
      <c r="F12" s="39">
        <f>'Expense Projection'!D49</f>
        <v>326519.23425030161</v>
      </c>
      <c r="G12" s="39">
        <f>'Expense Projection'!E49</f>
        <v>333381.92170024122</v>
      </c>
      <c r="H12" s="39">
        <f>'Expense Projection'!F49</f>
        <v>334882.52219139732</v>
      </c>
      <c r="I12" s="39">
        <f>'Expense Projection'!G49</f>
        <v>333507.70045665407</v>
      </c>
      <c r="J12" s="39">
        <f>'Expense Projection'!H49</f>
        <v>332918.90581803874</v>
      </c>
      <c r="K12" s="39">
        <f>'Expense Projection'!I49</f>
        <v>334261.82658455579</v>
      </c>
      <c r="L12" s="39">
        <f>'Expense Projection'!J49</f>
        <v>335618.29477776831</v>
      </c>
      <c r="M12" s="39">
        <f>'Expense Projection'!K49</f>
        <v>334543.16781220934</v>
      </c>
      <c r="N12" s="39">
        <f>'Expense Projection'!L49</f>
        <v>333474.89672987571</v>
      </c>
      <c r="O12" s="27"/>
    </row>
    <row r="13" spans="2:15" x14ac:dyDescent="0.4">
      <c r="B13" s="28" t="s">
        <v>120</v>
      </c>
      <c r="C13" s="27"/>
      <c r="D13" s="50"/>
      <c r="E13" s="39">
        <f>'Expense Projection'!D34+'Expense Projection'!D36-'Loan Amortization'!$C$25</f>
        <v>12872.44623846154</v>
      </c>
      <c r="F13" s="39">
        <f>'Expense Projection'!E34+'Expense Projection'!E36-'Loan Amortization'!$C$25</f>
        <v>18246.214328401235</v>
      </c>
      <c r="G13" s="39">
        <f>'Expense Projection'!F34+'Expense Projection'!F36-'Loan Amortization'!$C$25</f>
        <v>14266.395743737314</v>
      </c>
      <c r="H13" s="39">
        <f>'Expense Projection'!G34+'Expense Projection'!G36-'Loan Amortization'!$C$25</f>
        <v>11362.404643993556</v>
      </c>
      <c r="I13" s="39">
        <f>'Expense Projection'!H34+'Expense Projection'!H36-'Loan Amortization'!$C$25</f>
        <v>9229.3942782651757</v>
      </c>
      <c r="J13" s="39">
        <f>'Expense Projection'!I34+'Expense Projection'!I36-'Loan Amortization'!$C$25</f>
        <v>9012.9037185930902</v>
      </c>
      <c r="K13" s="39">
        <f>'Expense Projection'!J34+'Expense Projection'!J36-'Loan Amortization'!$C$25</f>
        <v>8794.614263340678</v>
      </c>
      <c r="L13" s="39">
        <f>'Expense Projection'!K34+'Expense Projection'!K36-'Loan Amortization'!$C$25</f>
        <v>6129.2311027731221</v>
      </c>
      <c r="M13" s="39">
        <f>'Expense Projection'!L34+'Expense Projection'!L36-'Loan Amortization'!$C$25</f>
        <v>3455.0515385715144</v>
      </c>
      <c r="N13" s="39">
        <f>'Expense Projection'!M34+'Expense Projection'!M36-'Loan Amortization'!$C$25</f>
        <v>3188.5953485178097</v>
      </c>
      <c r="O13" s="27"/>
    </row>
    <row r="14" spans="2:15" x14ac:dyDescent="0.4">
      <c r="B14" s="27"/>
      <c r="C14" s="27"/>
      <c r="D14" s="27"/>
      <c r="E14" s="27"/>
      <c r="F14" s="27"/>
      <c r="G14" s="27"/>
      <c r="H14" s="27"/>
      <c r="I14" s="27"/>
      <c r="J14" s="27"/>
      <c r="K14" s="27"/>
      <c r="L14" s="27"/>
      <c r="M14" s="27"/>
      <c r="N14" s="27"/>
      <c r="O14" s="27"/>
    </row>
    <row r="15" spans="2:15" x14ac:dyDescent="0.4">
      <c r="B15" s="28" t="s">
        <v>55</v>
      </c>
      <c r="C15" s="27"/>
      <c r="D15" s="39">
        <f>+D12-D13+'PPE &amp; Depreciation'!D64</f>
        <v>173037.6</v>
      </c>
      <c r="E15" s="39">
        <f t="shared" ref="E15:N15" si="2">+E12-E13</f>
        <v>313646.78801184008</v>
      </c>
      <c r="F15" s="39">
        <f t="shared" si="2"/>
        <v>308273.01992190036</v>
      </c>
      <c r="G15" s="39">
        <f t="shared" si="2"/>
        <v>319115.52595650393</v>
      </c>
      <c r="H15" s="39">
        <f t="shared" si="2"/>
        <v>323520.11754740379</v>
      </c>
      <c r="I15" s="39">
        <f t="shared" si="2"/>
        <v>324278.30617838888</v>
      </c>
      <c r="J15" s="39">
        <f t="shared" si="2"/>
        <v>323906.00209944567</v>
      </c>
      <c r="K15" s="39">
        <f t="shared" si="2"/>
        <v>325467.21232121513</v>
      </c>
      <c r="L15" s="39">
        <f t="shared" si="2"/>
        <v>329489.06367499521</v>
      </c>
      <c r="M15" s="39">
        <f t="shared" si="2"/>
        <v>331088.1162736378</v>
      </c>
      <c r="N15" s="39">
        <f t="shared" si="2"/>
        <v>330286.30138135789</v>
      </c>
      <c r="O15" s="27"/>
    </row>
    <row r="16" spans="2:15" x14ac:dyDescent="0.4">
      <c r="B16" s="28" t="s">
        <v>52</v>
      </c>
      <c r="C16" s="27"/>
      <c r="D16" s="27">
        <v>1</v>
      </c>
      <c r="E16" s="27">
        <f t="shared" ref="E16:N16" si="3">E9</f>
        <v>0.9174311926605504</v>
      </c>
      <c r="F16" s="27">
        <f t="shared" si="3"/>
        <v>0.84167999326655996</v>
      </c>
      <c r="G16" s="27">
        <f t="shared" si="3"/>
        <v>0.77218348006106419</v>
      </c>
      <c r="H16" s="27">
        <f t="shared" si="3"/>
        <v>0.7084252110651964</v>
      </c>
      <c r="I16" s="27">
        <f t="shared" si="3"/>
        <v>0.64993138629834524</v>
      </c>
      <c r="J16" s="27">
        <f t="shared" si="3"/>
        <v>0.5962673268792158</v>
      </c>
      <c r="K16" s="27">
        <f t="shared" si="3"/>
        <v>0.54703424484331731</v>
      </c>
      <c r="L16" s="27">
        <f t="shared" si="3"/>
        <v>0.50186627967276809</v>
      </c>
      <c r="M16" s="27">
        <f t="shared" si="3"/>
        <v>0.46042777951630098</v>
      </c>
      <c r="N16" s="27">
        <f t="shared" si="3"/>
        <v>0.42241080689568894</v>
      </c>
      <c r="O16" s="27"/>
    </row>
    <row r="17" spans="2:15" x14ac:dyDescent="0.4">
      <c r="B17" s="28" t="s">
        <v>56</v>
      </c>
      <c r="C17" s="39"/>
      <c r="D17" s="39">
        <f t="shared" ref="D17:N17" si="4">D15*D16</f>
        <v>173037.6</v>
      </c>
      <c r="E17" s="39">
        <f t="shared" si="4"/>
        <v>287749.34679985326</v>
      </c>
      <c r="F17" s="39">
        <f t="shared" si="4"/>
        <v>259467.23333212719</v>
      </c>
      <c r="G17" s="39">
        <f t="shared" si="4"/>
        <v>246415.73737461006</v>
      </c>
      <c r="H17" s="39">
        <f t="shared" si="4"/>
        <v>229189.80755735669</v>
      </c>
      <c r="I17" s="39">
        <f t="shared" si="4"/>
        <v>210758.64908099954</v>
      </c>
      <c r="J17" s="39">
        <f t="shared" si="4"/>
        <v>193134.56603197014</v>
      </c>
      <c r="K17" s="39">
        <f t="shared" si="4"/>
        <v>178041.71071339553</v>
      </c>
      <c r="L17" s="39">
        <f t="shared" si="4"/>
        <v>165359.45057943364</v>
      </c>
      <c r="M17" s="39">
        <f t="shared" si="4"/>
        <v>152442.16620010592</v>
      </c>
      <c r="N17" s="42">
        <f t="shared" si="4"/>
        <v>139516.50307309208</v>
      </c>
      <c r="O17" s="27"/>
    </row>
    <row r="18" spans="2:15" x14ac:dyDescent="0.4">
      <c r="B18" s="27"/>
      <c r="C18" s="27"/>
      <c r="D18" s="27"/>
      <c r="E18" s="27"/>
      <c r="F18" s="27"/>
      <c r="G18" s="27"/>
      <c r="H18" s="27"/>
      <c r="I18" s="27"/>
      <c r="J18" s="27"/>
      <c r="K18" s="27"/>
      <c r="L18" s="27"/>
      <c r="M18" s="27"/>
      <c r="N18" s="27"/>
      <c r="O18" s="27"/>
    </row>
    <row r="19" spans="2:15" x14ac:dyDescent="0.4">
      <c r="B19" s="28" t="s">
        <v>57</v>
      </c>
      <c r="C19" s="27"/>
      <c r="D19" s="39">
        <f t="shared" ref="D19:N19" si="5">D8-D15</f>
        <v>-173037.6</v>
      </c>
      <c r="E19" s="39">
        <f t="shared" si="5"/>
        <v>-9805.3480118400767</v>
      </c>
      <c r="F19" s="39">
        <f t="shared" si="5"/>
        <v>-2912.3727219003486</v>
      </c>
      <c r="G19" s="39">
        <f t="shared" si="5"/>
        <v>73414.933903496014</v>
      </c>
      <c r="H19" s="39">
        <f t="shared" si="5"/>
        <v>70972.994611896109</v>
      </c>
      <c r="I19" s="39">
        <f t="shared" si="5"/>
        <v>72187.271541707509</v>
      </c>
      <c r="J19" s="39">
        <f t="shared" si="5"/>
        <v>74541.903509251191</v>
      </c>
      <c r="K19" s="39">
        <f t="shared" si="5"/>
        <v>74972.93281552504</v>
      </c>
      <c r="L19" s="39">
        <f t="shared" si="5"/>
        <v>72953.282187428675</v>
      </c>
      <c r="M19" s="39">
        <f t="shared" si="5"/>
        <v>73366.441318098165</v>
      </c>
      <c r="N19" s="39">
        <f t="shared" si="5"/>
        <v>76190.528998336697</v>
      </c>
      <c r="O19" s="27"/>
    </row>
    <row r="20" spans="2:15" x14ac:dyDescent="0.4">
      <c r="B20" s="28" t="s">
        <v>97</v>
      </c>
      <c r="C20" s="27"/>
      <c r="D20" s="39">
        <f t="shared" ref="D20:N20" si="6">+D10-D17</f>
        <v>-173037.6</v>
      </c>
      <c r="E20" s="39">
        <f t="shared" si="6"/>
        <v>-8995.7321209541988</v>
      </c>
      <c r="F20" s="39">
        <f t="shared" si="6"/>
        <v>-2451.2858529587975</v>
      </c>
      <c r="G20" s="39">
        <f t="shared" si="6"/>
        <v>56689.799150054547</v>
      </c>
      <c r="H20" s="39">
        <f t="shared" si="6"/>
        <v>50279.058687861514</v>
      </c>
      <c r="I20" s="39">
        <f t="shared" si="6"/>
        <v>46916.773466197046</v>
      </c>
      <c r="J20" s="39">
        <f t="shared" si="6"/>
        <v>44446.90154594963</v>
      </c>
      <c r="K20" s="39">
        <f t="shared" si="6"/>
        <v>41012.761686429527</v>
      </c>
      <c r="L20" s="39">
        <f t="shared" si="6"/>
        <v>36612.792321322457</v>
      </c>
      <c r="M20" s="39">
        <f t="shared" si="6"/>
        <v>33779.947667104949</v>
      </c>
      <c r="N20" s="39">
        <f t="shared" si="6"/>
        <v>32183.702831996779</v>
      </c>
      <c r="O20" s="27"/>
    </row>
    <row r="21" spans="2:15" x14ac:dyDescent="0.4">
      <c r="B21" s="27"/>
      <c r="C21" s="27"/>
      <c r="D21" s="27"/>
      <c r="E21" s="27"/>
      <c r="F21" s="27"/>
      <c r="G21" s="27"/>
      <c r="H21" s="27"/>
      <c r="I21" s="27"/>
      <c r="J21" s="27"/>
      <c r="K21" s="27"/>
      <c r="L21" s="27"/>
      <c r="M21" s="27"/>
      <c r="N21" s="27"/>
      <c r="O21" s="27"/>
    </row>
    <row r="22" spans="2:15" x14ac:dyDescent="0.4">
      <c r="B22" s="28" t="s">
        <v>95</v>
      </c>
      <c r="C22" s="43">
        <f>SUM(D10:N10)</f>
        <v>2392549.8901259475</v>
      </c>
      <c r="D22" s="27"/>
      <c r="E22" s="27"/>
      <c r="F22" s="27"/>
      <c r="G22" s="27"/>
      <c r="H22" s="27"/>
      <c r="I22" s="27"/>
      <c r="J22" s="27"/>
      <c r="K22" s="27"/>
      <c r="L22" s="27"/>
      <c r="M22" s="27"/>
      <c r="N22" s="27"/>
      <c r="O22" s="27"/>
    </row>
    <row r="23" spans="2:15" x14ac:dyDescent="0.4">
      <c r="B23" s="28" t="s">
        <v>96</v>
      </c>
      <c r="C23" s="39">
        <f>SUM(D17:N17)</f>
        <v>2235112.770742944</v>
      </c>
      <c r="D23" s="39"/>
      <c r="E23" s="39"/>
      <c r="F23" s="39"/>
      <c r="G23" s="39"/>
      <c r="H23" s="39"/>
      <c r="I23" s="39"/>
      <c r="J23" s="39"/>
      <c r="K23" s="39"/>
      <c r="L23" s="39"/>
      <c r="M23" s="39"/>
      <c r="N23" s="39"/>
      <c r="O23" s="27"/>
    </row>
    <row r="24" spans="2:15" x14ac:dyDescent="0.4">
      <c r="B24" s="28" t="s">
        <v>58</v>
      </c>
      <c r="C24" s="53">
        <f>C22-C23</f>
        <v>157437.11938300356</v>
      </c>
      <c r="D24" s="27"/>
      <c r="E24" s="27"/>
      <c r="F24" s="27"/>
      <c r="G24" s="27"/>
      <c r="H24" s="27"/>
      <c r="I24" s="27"/>
      <c r="J24" s="27"/>
      <c r="K24" s="27"/>
      <c r="L24" s="27"/>
      <c r="M24" s="27"/>
      <c r="N24" s="27"/>
      <c r="O24" s="27"/>
    </row>
    <row r="25" spans="2:15" x14ac:dyDescent="0.4">
      <c r="B25" s="28" t="s">
        <v>59</v>
      </c>
      <c r="C25" s="54">
        <f>IRR(D19:N19)</f>
        <v>0.21375846429264977</v>
      </c>
      <c r="D25" s="27"/>
      <c r="E25" s="27"/>
      <c r="F25" s="27"/>
      <c r="G25" s="27"/>
      <c r="H25" s="27"/>
      <c r="I25" s="27"/>
      <c r="J25" s="27"/>
      <c r="K25" s="27"/>
      <c r="L25" s="27"/>
      <c r="M25" s="27"/>
      <c r="N25" s="27"/>
      <c r="O25" s="27"/>
    </row>
    <row r="26" spans="2:15" x14ac:dyDescent="0.4">
      <c r="B26" s="28" t="s">
        <v>104</v>
      </c>
      <c r="C26" s="55">
        <f>C22/C23</f>
        <v>1.0704381100782991</v>
      </c>
      <c r="D26" s="27"/>
      <c r="E26" s="27"/>
      <c r="F26" s="27"/>
      <c r="G26" s="27"/>
      <c r="H26" s="27"/>
      <c r="I26" s="27"/>
      <c r="J26" s="27"/>
      <c r="K26" s="27"/>
      <c r="L26" s="27"/>
      <c r="M26" s="27"/>
      <c r="N26" s="27"/>
      <c r="O26" s="27"/>
    </row>
    <row r="27" spans="2:15" x14ac:dyDescent="0.4">
      <c r="B27" s="28"/>
      <c r="C27" s="61"/>
      <c r="D27" s="27"/>
      <c r="E27" s="27"/>
      <c r="F27" s="27"/>
      <c r="G27" s="27"/>
      <c r="H27" s="27"/>
      <c r="I27" s="27"/>
      <c r="J27" s="27"/>
      <c r="K27" s="27"/>
      <c r="L27" s="27"/>
      <c r="M27" s="27"/>
      <c r="N27" s="27"/>
      <c r="O27" s="27"/>
    </row>
    <row r="28" spans="2:15" x14ac:dyDescent="0.4">
      <c r="B28" s="62" t="s">
        <v>114</v>
      </c>
      <c r="C28" s="27"/>
      <c r="D28" s="57">
        <f>'Profit-Loss'!C34/('Op Assumptions'!$C$8)</f>
        <v>-0.33405906824272441</v>
      </c>
      <c r="E28" s="57">
        <f>'Profit-Loss'!D34/('Op Assumptions'!$C$8)</f>
        <v>-5.7712287100382891E-2</v>
      </c>
      <c r="F28" s="57">
        <f>'Profit-Loss'!E34/('Op Assumptions'!$C$8)</f>
        <v>-9.832301376512402E-2</v>
      </c>
      <c r="G28" s="57">
        <f>'Profit-Loss'!F34/('Op Assumptions'!$C$8)</f>
        <v>0.41703124923382928</v>
      </c>
      <c r="H28" s="57">
        <f>'Profit-Loss'!G34/('Op Assumptions'!$C$8)</f>
        <v>0.43557237291745116</v>
      </c>
      <c r="I28" s="57">
        <f>'Profit-Loss'!H34/('Op Assumptions'!$C$8)</f>
        <v>0.44992710952668719</v>
      </c>
      <c r="J28" s="57">
        <f>'Profit-Loss'!I34/('Op Assumptions'!$C$8)</f>
        <v>0.45391273921653902</v>
      </c>
      <c r="K28" s="57">
        <f>'Profit-Loss'!J34/('Op Assumptions'!$C$8)</f>
        <v>0.45788142199120319</v>
      </c>
      <c r="L28" s="57">
        <f>'Profit-Loss'!K34/('Op Assumptions'!$C$8)</f>
        <v>0.47502927153331803</v>
      </c>
      <c r="M28" s="57">
        <f>'Profit-Loss'!L34/('Op Assumptions'!$C$8)</f>
        <v>0.49219684983002493</v>
      </c>
      <c r="N28" s="57">
        <f>'Profit-Loss'!M34/('Op Assumptions'!$C$8)</f>
        <v>0.49634223995391036</v>
      </c>
      <c r="O28" s="58"/>
    </row>
    <row r="29" spans="2:15" x14ac:dyDescent="0.4">
      <c r="B29" s="56" t="s">
        <v>116</v>
      </c>
      <c r="C29" s="27"/>
      <c r="D29" s="27"/>
      <c r="E29" s="27"/>
      <c r="F29" s="27"/>
      <c r="G29" s="27"/>
      <c r="H29" s="27"/>
      <c r="I29" s="27"/>
      <c r="J29" s="27"/>
      <c r="K29" s="27"/>
      <c r="L29" s="27"/>
      <c r="M29" s="27"/>
      <c r="N29" s="27"/>
      <c r="O29" s="27"/>
    </row>
    <row r="30" spans="2:15" x14ac:dyDescent="0.4">
      <c r="B30" s="56" t="s">
        <v>124</v>
      </c>
      <c r="C30" s="57">
        <f>AVERAGE(D28:N28)</f>
        <v>0.28979989864497563</v>
      </c>
      <c r="D30" s="27"/>
      <c r="E30" s="27"/>
      <c r="F30" s="27"/>
      <c r="G30" s="27"/>
      <c r="H30" s="27"/>
      <c r="I30" s="27"/>
      <c r="J30" s="27"/>
      <c r="K30" s="27"/>
      <c r="L30" s="27"/>
      <c r="M30" s="27"/>
      <c r="N30" s="27"/>
      <c r="O30" s="27"/>
    </row>
    <row r="31" spans="2:15" x14ac:dyDescent="0.4">
      <c r="B31" s="56"/>
      <c r="C31" s="27"/>
      <c r="D31" s="27"/>
      <c r="E31" s="27"/>
      <c r="F31" s="27"/>
      <c r="G31" s="27"/>
      <c r="H31" s="27"/>
      <c r="I31" s="27"/>
      <c r="J31" s="27"/>
      <c r="K31" s="27"/>
      <c r="L31" s="27"/>
      <c r="M31" s="27"/>
      <c r="N31" s="27"/>
      <c r="O31" s="27"/>
    </row>
    <row r="32" spans="2:15" x14ac:dyDescent="0.4">
      <c r="B32" s="62" t="s">
        <v>125</v>
      </c>
      <c r="C32" s="27"/>
      <c r="D32" s="57">
        <f>'Profit-Loss'!C34/('Op Assumptions'!$C$8-'Op Assumptions'!$C$9)</f>
        <v>-0.66811813648544882</v>
      </c>
      <c r="E32" s="57">
        <f>'Profit-Loss'!D34/('Op Assumptions'!$C$8-'Op Assumptions'!$C$9)</f>
        <v>-0.11542457420076578</v>
      </c>
      <c r="F32" s="57">
        <f>'Profit-Loss'!E34/('Op Assumptions'!$C$8-'Op Assumptions'!$C$9)</f>
        <v>-0.19664602753024804</v>
      </c>
      <c r="G32" s="57">
        <f>'Profit-Loss'!F34/('Op Assumptions'!$C$8-'Op Assumptions'!$C$9)</f>
        <v>0.83406249846765856</v>
      </c>
      <c r="H32" s="57">
        <f>'Profit-Loss'!G34/('Op Assumptions'!$C$8-'Op Assumptions'!$C$9)</f>
        <v>0.87114474583490231</v>
      </c>
      <c r="I32" s="57">
        <f>'Profit-Loss'!H34/('Op Assumptions'!$C$8-'Op Assumptions'!$C$9)</f>
        <v>0.89985421905337437</v>
      </c>
      <c r="J32" s="57">
        <f>'Profit-Loss'!I34/('Op Assumptions'!$C$8-'Op Assumptions'!$C$9)</f>
        <v>0.90782547843307804</v>
      </c>
      <c r="K32" s="57">
        <f>'Profit-Loss'!J34/('Op Assumptions'!$C$8-'Op Assumptions'!$C$9)</f>
        <v>0.91576284398240637</v>
      </c>
      <c r="L32" s="57">
        <f>'Profit-Loss'!K34/('Op Assumptions'!$C$8-'Op Assumptions'!$C$9)</f>
        <v>0.95005854306663606</v>
      </c>
      <c r="M32" s="57">
        <f>'Profit-Loss'!L34/('Op Assumptions'!$C$8-'Op Assumptions'!$C$9)</f>
        <v>0.98439369966004986</v>
      </c>
      <c r="N32" s="57">
        <f>'Profit-Loss'!M34/('Op Assumptions'!$C$8-'Op Assumptions'!$C$9)</f>
        <v>0.99268447990782072</v>
      </c>
      <c r="O32" s="27"/>
    </row>
    <row r="33" spans="2:15" x14ac:dyDescent="0.4">
      <c r="B33" s="56" t="s">
        <v>123</v>
      </c>
      <c r="C33" s="27"/>
      <c r="D33" s="27"/>
      <c r="E33" s="27"/>
      <c r="F33" s="27"/>
      <c r="G33" s="27"/>
      <c r="H33" s="27"/>
      <c r="I33" s="27"/>
      <c r="J33" s="27"/>
      <c r="K33" s="27"/>
      <c r="L33" s="27"/>
      <c r="M33" s="27"/>
      <c r="N33" s="27"/>
      <c r="O33" s="27"/>
    </row>
    <row r="34" spans="2:15" x14ac:dyDescent="0.4">
      <c r="B34" s="56" t="s">
        <v>126</v>
      </c>
      <c r="C34" s="44">
        <f>AVERAGE(D32:N32)</f>
        <v>0.57959979728995126</v>
      </c>
      <c r="D34" s="27"/>
      <c r="E34" s="27"/>
      <c r="F34" s="27"/>
      <c r="G34" s="27"/>
      <c r="H34" s="27"/>
      <c r="I34" s="27"/>
      <c r="J34" s="27"/>
      <c r="K34" s="27"/>
      <c r="L34" s="27"/>
      <c r="M34" s="27"/>
      <c r="N34" s="27"/>
      <c r="O34" s="27"/>
    </row>
    <row r="35" spans="2:15" x14ac:dyDescent="0.4">
      <c r="B35" s="27"/>
      <c r="C35" s="27"/>
      <c r="D35" s="27"/>
      <c r="E35" s="27"/>
      <c r="F35" s="27"/>
      <c r="G35" s="27"/>
      <c r="H35" s="27"/>
      <c r="I35" s="27"/>
      <c r="J35" s="27"/>
      <c r="K35" s="27"/>
      <c r="L35" s="27"/>
      <c r="M35" s="27"/>
      <c r="N35" s="27"/>
      <c r="O35" s="27"/>
    </row>
    <row r="36" spans="2:15" x14ac:dyDescent="0.4">
      <c r="B36" s="34" t="s">
        <v>118</v>
      </c>
      <c r="C36" s="26">
        <f>IF(MIN(E56:N56)&gt;0,MIN(E56:N56),"")</f>
        <v>4</v>
      </c>
      <c r="D36" s="23" t="str">
        <f>IF(SUM('Profit-Loss'!$D$43:G43)&gt;'Op Assumptions'!$C$8,3,"")</f>
        <v/>
      </c>
      <c r="E36" s="23"/>
      <c r="F36" s="23"/>
      <c r="G36" s="23"/>
      <c r="H36" s="23"/>
      <c r="I36" s="23"/>
      <c r="J36" s="23"/>
      <c r="K36" s="23"/>
      <c r="M36" s="27"/>
      <c r="N36" s="27"/>
      <c r="O36" s="27"/>
    </row>
    <row r="37" spans="2:15" x14ac:dyDescent="0.4">
      <c r="B37" s="56" t="s">
        <v>119</v>
      </c>
      <c r="C37" s="27"/>
      <c r="D37" s="27"/>
      <c r="E37" s="27"/>
      <c r="F37" s="27"/>
      <c r="G37" s="27"/>
      <c r="H37" s="27"/>
      <c r="I37" s="27"/>
      <c r="J37" s="27"/>
      <c r="K37" s="27"/>
      <c r="L37" s="27"/>
      <c r="M37" s="27"/>
      <c r="N37" s="27"/>
      <c r="O37" s="27"/>
    </row>
    <row r="38" spans="2:15" x14ac:dyDescent="0.4">
      <c r="B38" s="27"/>
      <c r="C38" s="27"/>
      <c r="D38" s="27"/>
      <c r="E38" s="27"/>
      <c r="F38" s="27"/>
      <c r="G38" s="27"/>
      <c r="H38" s="27"/>
      <c r="I38" s="27"/>
      <c r="J38" s="27"/>
      <c r="K38" s="27"/>
      <c r="L38" s="27"/>
      <c r="M38" s="27"/>
      <c r="N38" s="27"/>
      <c r="O38" s="27"/>
    </row>
    <row r="39" spans="2:15" x14ac:dyDescent="0.4">
      <c r="B39" s="27"/>
      <c r="C39" s="27"/>
      <c r="D39" s="27"/>
      <c r="E39" s="27"/>
      <c r="F39" s="27"/>
      <c r="G39" s="27"/>
      <c r="H39" s="27"/>
      <c r="I39" s="27"/>
      <c r="J39" s="27"/>
      <c r="K39" s="27"/>
      <c r="L39" s="27"/>
      <c r="M39" s="27"/>
      <c r="N39" s="27"/>
      <c r="O39" s="27"/>
    </row>
    <row r="40" spans="2:15" x14ac:dyDescent="0.4">
      <c r="B40" s="27"/>
      <c r="C40" s="27"/>
      <c r="D40" s="27"/>
      <c r="E40" s="27"/>
      <c r="F40" s="27"/>
      <c r="G40" s="27"/>
      <c r="H40" s="27"/>
      <c r="I40" s="27"/>
      <c r="J40" s="27"/>
      <c r="K40" s="27"/>
      <c r="L40" s="27"/>
      <c r="M40" s="27"/>
      <c r="N40" s="27"/>
      <c r="O40" s="27"/>
    </row>
    <row r="41" spans="2:15" x14ac:dyDescent="0.4">
      <c r="B41" s="27"/>
      <c r="C41" s="27"/>
      <c r="D41" s="27"/>
      <c r="E41" s="27"/>
      <c r="F41" s="27"/>
      <c r="G41" s="27"/>
      <c r="H41" s="27"/>
      <c r="I41" s="27"/>
      <c r="J41" s="27"/>
      <c r="K41" s="27"/>
      <c r="L41" s="27"/>
      <c r="M41" s="27"/>
      <c r="N41" s="27"/>
      <c r="O41" s="27"/>
    </row>
    <row r="42" spans="2:15" x14ac:dyDescent="0.4">
      <c r="B42" s="27"/>
      <c r="C42" s="27"/>
      <c r="D42" s="27"/>
      <c r="E42" s="27"/>
      <c r="F42" s="27"/>
      <c r="G42" s="27"/>
      <c r="H42" s="27"/>
      <c r="I42" s="27"/>
      <c r="J42" s="27"/>
      <c r="K42" s="27"/>
      <c r="L42" s="27"/>
      <c r="M42" s="27"/>
      <c r="N42" s="27"/>
      <c r="O42" s="27"/>
    </row>
    <row r="43" spans="2:15" x14ac:dyDescent="0.4">
      <c r="B43" s="27"/>
      <c r="C43" s="27"/>
      <c r="D43" s="27"/>
      <c r="E43" s="27"/>
      <c r="F43" s="27"/>
      <c r="G43" s="27"/>
      <c r="H43" s="27"/>
      <c r="I43" s="27"/>
      <c r="J43" s="27"/>
      <c r="K43" s="27"/>
      <c r="L43" s="27"/>
      <c r="M43" s="27"/>
      <c r="N43" s="27"/>
      <c r="O43" s="27"/>
    </row>
    <row r="44" spans="2:15" x14ac:dyDescent="0.4">
      <c r="B44" s="27"/>
      <c r="C44" s="27"/>
      <c r="D44" s="27"/>
      <c r="E44" s="27"/>
      <c r="F44" s="27"/>
      <c r="G44" s="27"/>
      <c r="H44" s="27"/>
      <c r="I44" s="27"/>
      <c r="J44" s="27"/>
      <c r="K44" s="27"/>
      <c r="L44" s="27"/>
      <c r="M44" s="27"/>
      <c r="N44" s="27"/>
      <c r="O44" s="27"/>
    </row>
    <row r="45" spans="2:15" x14ac:dyDescent="0.4">
      <c r="B45" s="27"/>
      <c r="C45" s="27"/>
      <c r="D45" s="27"/>
      <c r="E45" s="27"/>
      <c r="F45" s="27"/>
      <c r="G45" s="27"/>
      <c r="H45" s="27"/>
      <c r="I45" s="27"/>
      <c r="J45" s="27"/>
      <c r="K45" s="27"/>
      <c r="L45" s="27"/>
      <c r="M45" s="27"/>
      <c r="N45" s="27"/>
      <c r="O45" s="27"/>
    </row>
    <row r="46" spans="2:15" x14ac:dyDescent="0.4">
      <c r="B46" s="27"/>
      <c r="C46" s="27"/>
      <c r="D46" s="27"/>
      <c r="E46" s="27"/>
      <c r="F46" s="27"/>
      <c r="G46" s="27"/>
      <c r="H46" s="27"/>
      <c r="I46" s="27"/>
      <c r="J46" s="27"/>
      <c r="K46" s="27"/>
      <c r="L46" s="27"/>
      <c r="M46" s="27"/>
      <c r="N46" s="27"/>
      <c r="O46" s="27"/>
    </row>
    <row r="47" spans="2:15" x14ac:dyDescent="0.4">
      <c r="B47" s="27"/>
      <c r="C47" s="27"/>
      <c r="D47" s="27"/>
      <c r="E47" s="27"/>
      <c r="F47" s="27"/>
      <c r="G47" s="27"/>
      <c r="H47" s="27"/>
      <c r="I47" s="27"/>
      <c r="J47" s="27"/>
      <c r="K47" s="27"/>
      <c r="L47" s="27"/>
      <c r="M47" s="27"/>
      <c r="N47" s="27"/>
      <c r="O47" s="27"/>
    </row>
    <row r="48" spans="2:15" x14ac:dyDescent="0.4">
      <c r="B48" s="27"/>
      <c r="C48" s="27"/>
      <c r="D48" s="27"/>
      <c r="E48" s="27"/>
      <c r="F48" s="27"/>
      <c r="G48" s="27"/>
      <c r="H48" s="27"/>
      <c r="I48" s="27"/>
      <c r="J48" s="27"/>
      <c r="K48" s="27"/>
      <c r="L48" s="27"/>
      <c r="M48" s="27"/>
      <c r="N48" s="27"/>
      <c r="O48" s="27"/>
    </row>
    <row r="49" spans="2:15" x14ac:dyDescent="0.4">
      <c r="B49" s="27"/>
      <c r="C49" s="27"/>
      <c r="D49" s="27"/>
      <c r="E49" s="27"/>
      <c r="F49" s="27"/>
      <c r="G49" s="27"/>
      <c r="H49" s="27"/>
      <c r="I49" s="27"/>
      <c r="J49" s="27"/>
      <c r="K49" s="27"/>
      <c r="L49" s="27"/>
      <c r="M49" s="27"/>
      <c r="N49" s="27"/>
      <c r="O49" s="27"/>
    </row>
    <row r="50" spans="2:15" x14ac:dyDescent="0.4">
      <c r="B50" s="27"/>
      <c r="C50" s="27"/>
      <c r="D50" s="27"/>
      <c r="E50" s="27"/>
      <c r="F50" s="27"/>
      <c r="G50" s="27"/>
      <c r="H50" s="27"/>
      <c r="I50" s="27"/>
      <c r="J50" s="27"/>
      <c r="K50" s="27"/>
      <c r="L50" s="27"/>
      <c r="M50" s="27"/>
      <c r="N50" s="27"/>
      <c r="O50" s="27"/>
    </row>
    <row r="54" spans="2:15" x14ac:dyDescent="0.4">
      <c r="E54" s="23" t="str">
        <f>IF(SUM('Profit-Loss'!$D$43:E43)&gt;'Op Assumptions'!$C$8,1,"")</f>
        <v/>
      </c>
      <c r="F54" s="23" t="str">
        <f>IF(SUM('Profit-Loss'!$D$43:F43)&gt;'Op Assumptions'!$C$8,2,"")</f>
        <v/>
      </c>
    </row>
    <row r="56" spans="2:15" x14ac:dyDescent="0.4">
      <c r="E56" t="str">
        <f>IF(SUM('Profit-Loss'!$D$43:E43)&gt;'Op Assumptions'!$C$8,1,"")</f>
        <v/>
      </c>
      <c r="F56" t="str">
        <f>IF(SUM('Profit-Loss'!$D$43:F43)&gt;'Op Assumptions'!$C$8,2,"")</f>
        <v/>
      </c>
      <c r="G56" t="str">
        <f>IF(SUM('Profit-Loss'!$D$43:G43)&gt;'Op Assumptions'!$C$8,3,"")</f>
        <v/>
      </c>
      <c r="H56">
        <f>IF(SUM('Profit-Loss'!$D$43:H43)&gt;'Op Assumptions'!$C$8,4,"")</f>
        <v>4</v>
      </c>
      <c r="I56">
        <f>IF(SUM('Profit-Loss'!$D$43:I43)&gt;'Op Assumptions'!$C$8,5,"")</f>
        <v>5</v>
      </c>
      <c r="J56">
        <f>IF(SUM('Profit-Loss'!$D$43:J43)&gt;'Op Assumptions'!$C$8,6,"")</f>
        <v>6</v>
      </c>
      <c r="K56">
        <f>IF(SUM('Profit-Loss'!$D$43:K43)&gt;'Op Assumptions'!$C$8,7,"")</f>
        <v>7</v>
      </c>
      <c r="L56">
        <f>IF(SUM('Profit-Loss'!$D$43:L43)&gt;'Op Assumptions'!$C$8,8,"")</f>
        <v>8</v>
      </c>
      <c r="M56">
        <f>IF(SUM('Profit-Loss'!$D$43:M43)&gt;'Op Assumptions'!$C$8,9,"")</f>
        <v>9</v>
      </c>
      <c r="N56">
        <f>IF(SUM('Profit-Loss'!$D$43:N43)&gt;'Op Assumptions'!$C$8,10,"")</f>
        <v>10</v>
      </c>
    </row>
  </sheetData>
  <sheetProtection algorithmName="SHA-512" hashValue="H7EbTrFp7EDeDVVz/gw2Y+cjPA6/VWKINOul3ydrnnSpB0haZVpMJNhM0mLoH0ssZGqCFRrMycPkYewvNILgrw==" saltValue="s/FEI2tlkGWORHAbtOfUug==" spinCount="100000" sheet="1" objects="1" scenarios="1"/>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E74"/>
  <sheetViews>
    <sheetView showGridLines="0" zoomScaleNormal="100" workbookViewId="0"/>
  </sheetViews>
  <sheetFormatPr defaultColWidth="9.109375" defaultRowHeight="12.3" x14ac:dyDescent="0.4"/>
  <cols>
    <col min="1" max="1" width="4.33203125" style="27" customWidth="1"/>
    <col min="2" max="2" width="12.5546875" style="27" customWidth="1"/>
    <col min="3" max="3" width="9.109375" style="27" hidden="1" customWidth="1"/>
    <col min="4" max="4" width="20.33203125" style="27" customWidth="1"/>
    <col min="5" max="5" width="9.88671875" style="27" customWidth="1"/>
    <col min="6" max="6" width="8" style="27" customWidth="1"/>
    <col min="7" max="7" width="26.6640625" style="27" customWidth="1"/>
    <col min="8" max="8" width="17.5546875" style="27" customWidth="1"/>
    <col min="9" max="20" width="11.6640625" style="27" customWidth="1"/>
    <col min="21" max="21" width="11" style="27" customWidth="1"/>
    <col min="22" max="22" width="10.33203125" style="27" customWidth="1"/>
    <col min="23" max="27" width="9.109375" style="27"/>
    <col min="28" max="28" width="21.6640625" style="27" customWidth="1"/>
    <col min="29" max="29" width="8" style="27" customWidth="1"/>
    <col min="30" max="30" width="12.88671875" style="27" customWidth="1"/>
    <col min="31" max="16384" width="9.109375" style="27"/>
  </cols>
  <sheetData>
    <row r="1" spans="2:31" ht="12.6" thickBot="1" x14ac:dyDescent="0.45"/>
    <row r="2" spans="2:31" ht="15" x14ac:dyDescent="0.5">
      <c r="B2" s="31" t="s">
        <v>218</v>
      </c>
      <c r="H2" s="135" t="s">
        <v>138</v>
      </c>
      <c r="I2" s="136"/>
    </row>
    <row r="3" spans="2:31" x14ac:dyDescent="0.4">
      <c r="B3" s="174" t="s">
        <v>219</v>
      </c>
      <c r="H3" s="137" t="s">
        <v>139</v>
      </c>
      <c r="I3" s="138"/>
    </row>
    <row r="4" spans="2:31" x14ac:dyDescent="0.4">
      <c r="B4" s="174" t="s">
        <v>220</v>
      </c>
      <c r="H4" s="137" t="s">
        <v>140</v>
      </c>
      <c r="I4" s="138"/>
    </row>
    <row r="5" spans="2:31" x14ac:dyDescent="0.4">
      <c r="B5" s="174" t="s">
        <v>221</v>
      </c>
      <c r="H5" s="137" t="s">
        <v>141</v>
      </c>
      <c r="I5" s="138"/>
    </row>
    <row r="6" spans="2:31" ht="12.6" thickBot="1" x14ac:dyDescent="0.45">
      <c r="H6" s="139" t="s">
        <v>142</v>
      </c>
      <c r="I6" s="140"/>
    </row>
    <row r="9" spans="2:31" x14ac:dyDescent="0.4">
      <c r="B9" s="28" t="s">
        <v>216</v>
      </c>
      <c r="E9" s="226">
        <v>100</v>
      </c>
      <c r="I9" s="28" t="s">
        <v>206</v>
      </c>
      <c r="J9" s="28"/>
      <c r="K9" s="28"/>
      <c r="L9" s="28"/>
      <c r="M9" s="28"/>
      <c r="N9" s="28"/>
      <c r="O9" s="28"/>
      <c r="P9" s="28"/>
      <c r="Q9" s="28"/>
      <c r="R9" s="28"/>
      <c r="AD9" s="251"/>
      <c r="AE9" s="132"/>
    </row>
    <row r="10" spans="2:31" x14ac:dyDescent="0.4">
      <c r="I10" s="28">
        <v>1</v>
      </c>
      <c r="J10" s="28">
        <v>2</v>
      </c>
      <c r="K10" s="28">
        <v>3</v>
      </c>
      <c r="L10" s="28">
        <v>4</v>
      </c>
      <c r="M10" s="28">
        <v>5</v>
      </c>
      <c r="N10" s="28">
        <v>6</v>
      </c>
      <c r="O10" s="28">
        <v>7</v>
      </c>
      <c r="P10" s="28">
        <v>8</v>
      </c>
      <c r="Q10" s="28">
        <v>9</v>
      </c>
      <c r="R10" s="28">
        <v>10</v>
      </c>
      <c r="AC10" s="28" t="s">
        <v>143</v>
      </c>
      <c r="AD10" s="251" t="e">
        <f>SUM(#REF!)</f>
        <v>#REF!</v>
      </c>
      <c r="AE10" s="132"/>
    </row>
    <row r="11" spans="2:31" ht="12.6" thickBot="1" x14ac:dyDescent="0.45">
      <c r="B11" s="28" t="s">
        <v>222</v>
      </c>
      <c r="G11" s="252"/>
      <c r="I11" s="28" t="s">
        <v>223</v>
      </c>
    </row>
    <row r="12" spans="2:31" x14ac:dyDescent="0.4">
      <c r="B12" s="32" t="s">
        <v>199</v>
      </c>
      <c r="C12" s="253"/>
      <c r="D12" s="214" t="s">
        <v>196</v>
      </c>
      <c r="E12" s="254"/>
      <c r="F12" s="255"/>
      <c r="G12" s="32" t="s">
        <v>199</v>
      </c>
      <c r="H12" s="65"/>
      <c r="I12" s="32" t="s">
        <v>207</v>
      </c>
      <c r="J12" s="218"/>
      <c r="K12" s="218"/>
      <c r="L12" s="218"/>
      <c r="M12" s="218"/>
      <c r="N12" s="218"/>
      <c r="O12" s="218"/>
      <c r="P12" s="218"/>
      <c r="Q12" s="218"/>
      <c r="R12" s="65"/>
    </row>
    <row r="13" spans="2:31" x14ac:dyDescent="0.4">
      <c r="B13" s="67"/>
      <c r="C13" s="26"/>
      <c r="D13" s="26" t="s">
        <v>256</v>
      </c>
      <c r="E13" s="26"/>
      <c r="F13" s="325">
        <v>0.4</v>
      </c>
      <c r="G13" s="69" t="s">
        <v>88</v>
      </c>
      <c r="H13" s="213" t="str">
        <f>'Spirits Production'!D12</f>
        <v>Peach Moonshine</v>
      </c>
      <c r="I13" s="222">
        <v>0.6</v>
      </c>
      <c r="J13" s="223">
        <v>0.6</v>
      </c>
      <c r="K13" s="223">
        <v>0.6</v>
      </c>
      <c r="L13" s="223">
        <v>0.6</v>
      </c>
      <c r="M13" s="223">
        <v>0.6</v>
      </c>
      <c r="N13" s="223">
        <v>0.6</v>
      </c>
      <c r="O13" s="223">
        <v>0.6</v>
      </c>
      <c r="P13" s="223">
        <v>0.6</v>
      </c>
      <c r="Q13" s="223">
        <v>0.6</v>
      </c>
      <c r="R13" s="224">
        <v>0.6</v>
      </c>
    </row>
    <row r="14" spans="2:31" x14ac:dyDescent="0.4">
      <c r="B14" s="67"/>
      <c r="C14" s="26">
        <v>3</v>
      </c>
      <c r="D14" s="227" t="s">
        <v>209</v>
      </c>
      <c r="E14" s="26"/>
      <c r="F14" s="215">
        <v>450</v>
      </c>
      <c r="G14" s="69" t="s">
        <v>10</v>
      </c>
      <c r="H14" s="109" t="s">
        <v>127</v>
      </c>
      <c r="I14" s="69" t="s">
        <v>208</v>
      </c>
      <c r="J14" s="26"/>
      <c r="K14" s="26"/>
      <c r="L14" s="26"/>
      <c r="M14" s="26"/>
      <c r="N14" s="26"/>
      <c r="O14" s="26"/>
      <c r="P14" s="26"/>
      <c r="Q14" s="26"/>
      <c r="R14" s="256"/>
    </row>
    <row r="15" spans="2:31" x14ac:dyDescent="0.4">
      <c r="B15" s="67"/>
      <c r="C15" s="26">
        <v>7</v>
      </c>
      <c r="D15" s="227" t="s">
        <v>195</v>
      </c>
      <c r="E15" s="26"/>
      <c r="F15" s="216">
        <v>35</v>
      </c>
      <c r="G15" s="69" t="s">
        <v>149</v>
      </c>
      <c r="H15" s="128">
        <f>'Op Assumptions'!$F$17+F16</f>
        <v>8.0773812920317916</v>
      </c>
      <c r="I15" s="257">
        <f t="shared" ref="I15:R15" si="0">IF(I$10-$H$16&lt;=0,0,$E$9*I13*$F$17)</f>
        <v>10599.12</v>
      </c>
      <c r="J15" s="258">
        <f t="shared" si="0"/>
        <v>10599.12</v>
      </c>
      <c r="K15" s="258">
        <f t="shared" si="0"/>
        <v>10599.12</v>
      </c>
      <c r="L15" s="258">
        <f t="shared" si="0"/>
        <v>10599.12</v>
      </c>
      <c r="M15" s="258">
        <f t="shared" si="0"/>
        <v>10599.12</v>
      </c>
      <c r="N15" s="258">
        <f t="shared" si="0"/>
        <v>10599.12</v>
      </c>
      <c r="O15" s="258">
        <f t="shared" si="0"/>
        <v>10599.12</v>
      </c>
      <c r="P15" s="258">
        <f t="shared" si="0"/>
        <v>10599.12</v>
      </c>
      <c r="Q15" s="258">
        <f t="shared" si="0"/>
        <v>10599.12</v>
      </c>
      <c r="R15" s="259">
        <f t="shared" si="0"/>
        <v>10599.12</v>
      </c>
    </row>
    <row r="16" spans="2:31" x14ac:dyDescent="0.4">
      <c r="B16" s="67"/>
      <c r="C16" s="26"/>
      <c r="D16" s="227" t="s">
        <v>210</v>
      </c>
      <c r="E16" s="26"/>
      <c r="F16" s="131">
        <f>F14/F17</f>
        <v>2.5473812920317913</v>
      </c>
      <c r="G16" s="69" t="s">
        <v>205</v>
      </c>
      <c r="H16" s="189">
        <v>0</v>
      </c>
      <c r="I16" s="69" t="s">
        <v>213</v>
      </c>
      <c r="J16" s="26"/>
      <c r="K16" s="26"/>
      <c r="L16" s="26"/>
      <c r="M16" s="26"/>
      <c r="N16" s="26"/>
      <c r="O16" s="26"/>
      <c r="P16" s="26"/>
      <c r="Q16" s="26"/>
      <c r="R16" s="256"/>
    </row>
    <row r="17" spans="2:18" ht="12.6" thickBot="1" x14ac:dyDescent="0.45">
      <c r="B17" s="107"/>
      <c r="C17" s="260">
        <v>1</v>
      </c>
      <c r="D17" s="261" t="s">
        <v>211</v>
      </c>
      <c r="E17" s="260"/>
      <c r="F17" s="262">
        <f>F15*5.0472</f>
        <v>176.65200000000002</v>
      </c>
      <c r="G17" s="72" t="s">
        <v>89</v>
      </c>
      <c r="H17" s="190">
        <v>22</v>
      </c>
      <c r="I17" s="263">
        <f>$E$9*I13*$F$17</f>
        <v>10599.12</v>
      </c>
      <c r="J17" s="264">
        <f t="shared" ref="J17:R17" si="1">$E$9*J13*$F$17</f>
        <v>10599.12</v>
      </c>
      <c r="K17" s="264">
        <f t="shared" si="1"/>
        <v>10599.12</v>
      </c>
      <c r="L17" s="264">
        <f t="shared" si="1"/>
        <v>10599.12</v>
      </c>
      <c r="M17" s="264">
        <f t="shared" si="1"/>
        <v>10599.12</v>
      </c>
      <c r="N17" s="264">
        <f t="shared" si="1"/>
        <v>10599.12</v>
      </c>
      <c r="O17" s="264">
        <f t="shared" si="1"/>
        <v>10599.12</v>
      </c>
      <c r="P17" s="264">
        <f t="shared" si="1"/>
        <v>10599.12</v>
      </c>
      <c r="Q17" s="264">
        <f t="shared" si="1"/>
        <v>10599.12</v>
      </c>
      <c r="R17" s="265">
        <f t="shared" si="1"/>
        <v>10599.12</v>
      </c>
    </row>
    <row r="18" spans="2:18" x14ac:dyDescent="0.4">
      <c r="B18" s="26"/>
      <c r="C18" s="26"/>
      <c r="D18" s="227"/>
      <c r="E18" s="26"/>
      <c r="F18" s="266"/>
      <c r="G18" s="25"/>
      <c r="H18" s="267"/>
      <c r="I18" s="268" t="str">
        <f>IF(($I$13+$I$22+$I$31+$I$40+$I$49+$I$58)&gt;1,"Exceeds Capacity!"," ")</f>
        <v xml:space="preserve"> </v>
      </c>
      <c r="J18" s="268" t="str">
        <f>IF(($J$13+$J$22+$J$31+$J$40+$J$49+$J$58)&gt;1,"Exceeds Capacity!"," ")</f>
        <v xml:space="preserve"> </v>
      </c>
      <c r="K18" s="268" t="str">
        <f>IF(($K$13+$K$22+$K$31+$K$40+$K$49+$K$58)&gt;1,"Exceeds Capacity!"," ")</f>
        <v xml:space="preserve"> </v>
      </c>
      <c r="L18" s="268" t="str">
        <f>IF(($L$13+$L$22+$L$31+$L$40+$L$49+$L$58)&gt;1,"Exceeds Capacity!"," ")</f>
        <v xml:space="preserve"> </v>
      </c>
      <c r="M18" s="268" t="str">
        <f>IF(($M$13+$M$22+$M$31+$M$40+$M$49+$M$58)&gt;1,"Exceeds Capacity!"," ")</f>
        <v xml:space="preserve"> </v>
      </c>
      <c r="N18" s="268" t="str">
        <f>IF(($N$13+$N$22+$N$31+$N$40+$N$49+$N$58)&gt;1,"Exceeds Capacity!"," ")</f>
        <v xml:space="preserve"> </v>
      </c>
      <c r="O18" s="268" t="str">
        <f>IF(($O$13+$O$22+$O$31+$O$40+$O$49+$O$58)&gt;1,"Exceeds Capacity!"," ")</f>
        <v xml:space="preserve"> </v>
      </c>
      <c r="P18" s="268" t="str">
        <f>IF(($P$13+$P$22+$P$31+$P$40+$P$49+$P$58)&gt;1,"Exceeds Capacity!"," ")</f>
        <v xml:space="preserve"> </v>
      </c>
      <c r="Q18" s="268" t="str">
        <f>IF(($Q$13+$Q$22+$Q$31+$Q$40+$Q$49+$Q$58)&gt;1,"Exceeds Capacity!"," ")</f>
        <v xml:space="preserve"> </v>
      </c>
      <c r="R18" s="268" t="str">
        <f>IF(($R$13+$R$22+$R$31+$R$40+$R$49+$R$58)&gt;1,"Exceeds Capacity!"," ")</f>
        <v xml:space="preserve"> </v>
      </c>
    </row>
    <row r="19" spans="2:18" x14ac:dyDescent="0.4">
      <c r="F19" s="269"/>
    </row>
    <row r="20" spans="2:18" ht="12.6" thickBot="1" x14ac:dyDescent="0.45">
      <c r="B20" s="28" t="str">
        <f>$B$11</f>
        <v>BATCH PRODUCTION ASSUMPTIONS, COSTS, YIELDS (account for aging losses in yield), &amp; PRICES</v>
      </c>
      <c r="G20" s="252"/>
      <c r="I20" s="28" t="str">
        <f>$I$11</f>
        <v>ANNUAL MARKETABLE PRODUCTION (accounts for aging) vs. ACTUAL ANNUAL PRODUCTION</v>
      </c>
    </row>
    <row r="21" spans="2:18" x14ac:dyDescent="0.4">
      <c r="B21" s="32" t="s">
        <v>200</v>
      </c>
      <c r="C21" s="218"/>
      <c r="D21" s="217" t="s">
        <v>197</v>
      </c>
      <c r="E21" s="218"/>
      <c r="F21" s="219"/>
      <c r="G21" s="32" t="s">
        <v>200</v>
      </c>
      <c r="H21" s="65"/>
      <c r="I21" s="32" t="s">
        <v>207</v>
      </c>
      <c r="J21" s="218"/>
      <c r="K21" s="218"/>
      <c r="L21" s="218"/>
      <c r="M21" s="218"/>
      <c r="N21" s="218"/>
      <c r="O21" s="218"/>
      <c r="P21" s="218"/>
      <c r="Q21" s="218"/>
      <c r="R21" s="65"/>
    </row>
    <row r="22" spans="2:18" x14ac:dyDescent="0.4">
      <c r="B22" s="69"/>
      <c r="C22" s="26"/>
      <c r="D22" s="26" t="s">
        <v>256</v>
      </c>
      <c r="E22" s="26"/>
      <c r="F22" s="325">
        <v>0.6</v>
      </c>
      <c r="G22" s="69" t="s">
        <v>88</v>
      </c>
      <c r="H22" s="213" t="str">
        <f>'Spirits Production'!D21</f>
        <v>Peach Brandy</v>
      </c>
      <c r="I22" s="222">
        <v>0.2</v>
      </c>
      <c r="J22" s="223">
        <v>0.2</v>
      </c>
      <c r="K22" s="223">
        <v>0.2</v>
      </c>
      <c r="L22" s="223">
        <v>0.2</v>
      </c>
      <c r="M22" s="223">
        <v>0.2</v>
      </c>
      <c r="N22" s="223">
        <v>0.2</v>
      </c>
      <c r="O22" s="223">
        <v>0.2</v>
      </c>
      <c r="P22" s="223">
        <v>0.2</v>
      </c>
      <c r="Q22" s="223">
        <v>0.2</v>
      </c>
      <c r="R22" s="224">
        <v>0.2</v>
      </c>
    </row>
    <row r="23" spans="2:18" x14ac:dyDescent="0.4">
      <c r="B23" s="69"/>
      <c r="C23" s="270"/>
      <c r="D23" s="227" t="s">
        <v>209</v>
      </c>
      <c r="E23" s="26"/>
      <c r="F23" s="215">
        <v>600</v>
      </c>
      <c r="G23" s="69" t="str">
        <f>'Spirits Production'!G14</f>
        <v>Units</v>
      </c>
      <c r="H23" s="109" t="s">
        <v>127</v>
      </c>
      <c r="I23" s="69" t="s">
        <v>208</v>
      </c>
      <c r="J23" s="26"/>
      <c r="K23" s="26"/>
      <c r="L23" s="26"/>
      <c r="M23" s="26"/>
      <c r="N23" s="26"/>
      <c r="O23" s="26"/>
      <c r="P23" s="26"/>
      <c r="Q23" s="26"/>
      <c r="R23" s="256"/>
    </row>
    <row r="24" spans="2:18" x14ac:dyDescent="0.4">
      <c r="B24" s="69"/>
      <c r="C24" s="26"/>
      <c r="D24" s="227" t="s">
        <v>195</v>
      </c>
      <c r="E24" s="26"/>
      <c r="F24" s="216">
        <v>30</v>
      </c>
      <c r="G24" s="69" t="s">
        <v>149</v>
      </c>
      <c r="H24" s="127">
        <f>'Op Assumptions'!$F$17+F25</f>
        <v>9.4925931209383414</v>
      </c>
      <c r="I24" s="257">
        <f t="shared" ref="I24:R24" si="2">IF(I$10-$H$25&lt;=0,0,$E$9*I22*$F$26)</f>
        <v>0</v>
      </c>
      <c r="J24" s="258">
        <f t="shared" si="2"/>
        <v>0</v>
      </c>
      <c r="K24" s="258">
        <f t="shared" si="2"/>
        <v>3028.3199999999997</v>
      </c>
      <c r="L24" s="258">
        <f t="shared" si="2"/>
        <v>3028.3199999999997</v>
      </c>
      <c r="M24" s="258">
        <f t="shared" si="2"/>
        <v>3028.3199999999997</v>
      </c>
      <c r="N24" s="258">
        <f t="shared" si="2"/>
        <v>3028.3199999999997</v>
      </c>
      <c r="O24" s="258">
        <f t="shared" si="2"/>
        <v>3028.3199999999997</v>
      </c>
      <c r="P24" s="258">
        <f t="shared" si="2"/>
        <v>3028.3199999999997</v>
      </c>
      <c r="Q24" s="258">
        <f t="shared" si="2"/>
        <v>3028.3199999999997</v>
      </c>
      <c r="R24" s="259">
        <f t="shared" si="2"/>
        <v>3028.3199999999997</v>
      </c>
    </row>
    <row r="25" spans="2:18" x14ac:dyDescent="0.4">
      <c r="B25" s="67"/>
      <c r="C25" s="26"/>
      <c r="D25" s="227" t="s">
        <v>210</v>
      </c>
      <c r="E25" s="26"/>
      <c r="F25" s="131">
        <f>F23/F26</f>
        <v>3.962593120938342</v>
      </c>
      <c r="G25" s="69" t="str">
        <f>'Spirits Production'!G16</f>
        <v>Years Aged</v>
      </c>
      <c r="H25" s="189">
        <v>2</v>
      </c>
      <c r="I25" s="69" t="s">
        <v>213</v>
      </c>
      <c r="J25" s="26"/>
      <c r="K25" s="26"/>
      <c r="L25" s="26"/>
      <c r="M25" s="26"/>
      <c r="N25" s="26"/>
      <c r="O25" s="26"/>
      <c r="P25" s="26"/>
      <c r="Q25" s="26"/>
      <c r="R25" s="256"/>
    </row>
    <row r="26" spans="2:18" ht="12.6" thickBot="1" x14ac:dyDescent="0.45">
      <c r="B26" s="107"/>
      <c r="C26" s="260">
        <v>6</v>
      </c>
      <c r="D26" s="261" t="s">
        <v>211</v>
      </c>
      <c r="E26" s="260"/>
      <c r="F26" s="262">
        <f>F24*5.0472</f>
        <v>151.416</v>
      </c>
      <c r="G26" s="72" t="s">
        <v>89</v>
      </c>
      <c r="H26" s="191">
        <v>28</v>
      </c>
      <c r="I26" s="263">
        <f>$E$9*I22*$F$26</f>
        <v>3028.3199999999997</v>
      </c>
      <c r="J26" s="264">
        <f t="shared" ref="J26:R26" si="3">$E$9*J22*$F$26</f>
        <v>3028.3199999999997</v>
      </c>
      <c r="K26" s="264">
        <f t="shared" si="3"/>
        <v>3028.3199999999997</v>
      </c>
      <c r="L26" s="264">
        <f t="shared" si="3"/>
        <v>3028.3199999999997</v>
      </c>
      <c r="M26" s="264">
        <f t="shared" si="3"/>
        <v>3028.3199999999997</v>
      </c>
      <c r="N26" s="264">
        <f t="shared" si="3"/>
        <v>3028.3199999999997</v>
      </c>
      <c r="O26" s="264">
        <f t="shared" si="3"/>
        <v>3028.3199999999997</v>
      </c>
      <c r="P26" s="264">
        <f t="shared" si="3"/>
        <v>3028.3199999999997</v>
      </c>
      <c r="Q26" s="264">
        <f t="shared" si="3"/>
        <v>3028.3199999999997</v>
      </c>
      <c r="R26" s="265">
        <f t="shared" si="3"/>
        <v>3028.3199999999997</v>
      </c>
    </row>
    <row r="27" spans="2:18" x14ac:dyDescent="0.4">
      <c r="B27" s="26"/>
      <c r="C27" s="26"/>
      <c r="D27" s="227"/>
      <c r="E27" s="26"/>
      <c r="F27" s="266"/>
      <c r="G27" s="25"/>
      <c r="H27" s="271"/>
      <c r="I27" s="268" t="str">
        <f>IF(($I$13+$I$22+$I$31+$I$40+$I$49+$I$58)&gt;1,"Exceeds Capacity!"," ")</f>
        <v xml:space="preserve"> </v>
      </c>
      <c r="J27" s="268" t="str">
        <f>IF(($J$13+$J$22+$J$31+$J$40+$J$49+$J$58)&gt;1,"Exceeds Capacity!"," ")</f>
        <v xml:space="preserve"> </v>
      </c>
      <c r="K27" s="268" t="str">
        <f>IF(($K$13+$K$22+$K$31+$K$40+$K$49+$K$58)&gt;1,"Exceeds Capacity!"," ")</f>
        <v xml:space="preserve"> </v>
      </c>
      <c r="L27" s="268" t="str">
        <f>IF(($L$13+$L$22+$L$31+$L$40+$L$49+$L$58)&gt;1,"Exceeds Capacity!"," ")</f>
        <v xml:space="preserve"> </v>
      </c>
      <c r="M27" s="268" t="str">
        <f>IF(($M$13+$M$22+$M$31+$M$40+$M$49+$M$58)&gt;1,"Exceeds Capacity!"," ")</f>
        <v xml:space="preserve"> </v>
      </c>
      <c r="N27" s="268" t="str">
        <f>IF(($N$13+$N$22+$N$31+$N$40+$N$49+$N$58)&gt;1,"Exceeds Capacity!"," ")</f>
        <v xml:space="preserve"> </v>
      </c>
      <c r="O27" s="268" t="str">
        <f>IF(($O$13+$O$22+$O$31+$O$40+$O$49+$O$58)&gt;1,"Exceeds Capacity!"," ")</f>
        <v xml:space="preserve"> </v>
      </c>
      <c r="P27" s="268" t="str">
        <f>IF(($P$13+$P$22+$P$31+$P$40+$P$49+$P$58)&gt;1,"Exceeds Capacity!"," ")</f>
        <v xml:space="preserve"> </v>
      </c>
      <c r="Q27" s="268" t="str">
        <f>IF(($Q$13+$Q$22+$Q$31+$Q$40+$Q$49+$Q$58)&gt;1,"Exceeds Capacity!"," ")</f>
        <v xml:space="preserve"> </v>
      </c>
      <c r="R27" s="268" t="str">
        <f>IF(($R$13+$R$22+$R$31+$R$40+$R$49+$R$58)&gt;1,"Exceeds Capacity!"," ")</f>
        <v xml:space="preserve"> </v>
      </c>
    </row>
    <row r="28" spans="2:18" x14ac:dyDescent="0.4">
      <c r="F28" s="251"/>
    </row>
    <row r="29" spans="2:18" ht="12.6" thickBot="1" x14ac:dyDescent="0.45">
      <c r="B29" s="28" t="str">
        <f>$B$11</f>
        <v>BATCH PRODUCTION ASSUMPTIONS, COSTS, YIELDS (account for aging losses in yield), &amp; PRICES</v>
      </c>
      <c r="G29" s="252"/>
      <c r="I29" s="28" t="str">
        <f>$I$11</f>
        <v>ANNUAL MARKETABLE PRODUCTION (accounts for aging) vs. ACTUAL ANNUAL PRODUCTION</v>
      </c>
    </row>
    <row r="30" spans="2:18" x14ac:dyDescent="0.4">
      <c r="B30" s="32" t="s">
        <v>201</v>
      </c>
      <c r="C30" s="218"/>
      <c r="D30" s="214" t="s">
        <v>198</v>
      </c>
      <c r="E30" s="218"/>
      <c r="F30" s="219"/>
      <c r="G30" s="32" t="s">
        <v>201</v>
      </c>
      <c r="H30" s="65"/>
      <c r="I30" s="32" t="s">
        <v>207</v>
      </c>
      <c r="J30" s="218"/>
      <c r="K30" s="218"/>
      <c r="L30" s="218"/>
      <c r="M30" s="218"/>
      <c r="N30" s="218"/>
      <c r="O30" s="218"/>
      <c r="P30" s="218"/>
      <c r="Q30" s="218"/>
      <c r="R30" s="65"/>
    </row>
    <row r="31" spans="2:18" x14ac:dyDescent="0.4">
      <c r="B31" s="69"/>
      <c r="C31" s="26"/>
      <c r="D31" s="26" t="s">
        <v>256</v>
      </c>
      <c r="E31" s="26"/>
      <c r="F31" s="325">
        <v>0.4</v>
      </c>
      <c r="G31" s="69" t="s">
        <v>88</v>
      </c>
      <c r="H31" s="213" t="str">
        <f>'Spirits Production'!D30</f>
        <v>Craft Vodka</v>
      </c>
      <c r="I31" s="222">
        <v>0.2</v>
      </c>
      <c r="J31" s="223">
        <v>0.2</v>
      </c>
      <c r="K31" s="223">
        <v>0.2</v>
      </c>
      <c r="L31" s="223">
        <v>0.2</v>
      </c>
      <c r="M31" s="223">
        <v>0.2</v>
      </c>
      <c r="N31" s="223">
        <v>0.2</v>
      </c>
      <c r="O31" s="223">
        <v>0.2</v>
      </c>
      <c r="P31" s="223">
        <v>0.2</v>
      </c>
      <c r="Q31" s="223">
        <v>0.2</v>
      </c>
      <c r="R31" s="224">
        <v>0.2</v>
      </c>
    </row>
    <row r="32" spans="2:18" x14ac:dyDescent="0.4">
      <c r="B32" s="69"/>
      <c r="C32" s="272"/>
      <c r="D32" s="227" t="s">
        <v>209</v>
      </c>
      <c r="E32" s="26"/>
      <c r="F32" s="215">
        <v>350</v>
      </c>
      <c r="G32" s="69" t="str">
        <f>'Spirits Production'!G14</f>
        <v>Units</v>
      </c>
      <c r="H32" s="109" t="s">
        <v>127</v>
      </c>
      <c r="I32" s="69" t="s">
        <v>208</v>
      </c>
      <c r="J32" s="26"/>
      <c r="K32" s="26"/>
      <c r="L32" s="26"/>
      <c r="M32" s="26"/>
      <c r="N32" s="26"/>
      <c r="O32" s="26"/>
      <c r="P32" s="26"/>
      <c r="Q32" s="26"/>
      <c r="R32" s="256"/>
    </row>
    <row r="33" spans="2:18" x14ac:dyDescent="0.4">
      <c r="B33" s="69"/>
      <c r="C33" s="26"/>
      <c r="D33" s="227" t="s">
        <v>195</v>
      </c>
      <c r="E33" s="26"/>
      <c r="F33" s="216">
        <v>35</v>
      </c>
      <c r="G33" s="69" t="s">
        <v>149</v>
      </c>
      <c r="H33" s="129">
        <f>F34+'Op Assumptions'!$F$17</f>
        <v>7.5112965604691713</v>
      </c>
      <c r="I33" s="257">
        <f t="shared" ref="I33:R33" si="4">IF(I$10-$H$34&lt;=0,0,$E$9*I31*$F$35)</f>
        <v>3533.0400000000004</v>
      </c>
      <c r="J33" s="258">
        <f t="shared" si="4"/>
        <v>3533.0400000000004</v>
      </c>
      <c r="K33" s="258">
        <f t="shared" si="4"/>
        <v>3533.0400000000004</v>
      </c>
      <c r="L33" s="258">
        <f t="shared" si="4"/>
        <v>3533.0400000000004</v>
      </c>
      <c r="M33" s="258">
        <f t="shared" si="4"/>
        <v>3533.0400000000004</v>
      </c>
      <c r="N33" s="258">
        <f t="shared" si="4"/>
        <v>3533.0400000000004</v>
      </c>
      <c r="O33" s="258">
        <f t="shared" si="4"/>
        <v>3533.0400000000004</v>
      </c>
      <c r="P33" s="258">
        <f t="shared" si="4"/>
        <v>3533.0400000000004</v>
      </c>
      <c r="Q33" s="258">
        <f t="shared" si="4"/>
        <v>3533.0400000000004</v>
      </c>
      <c r="R33" s="259">
        <f t="shared" si="4"/>
        <v>3533.0400000000004</v>
      </c>
    </row>
    <row r="34" spans="2:18" x14ac:dyDescent="0.4">
      <c r="B34" s="67"/>
      <c r="C34" s="26"/>
      <c r="D34" s="227" t="s">
        <v>210</v>
      </c>
      <c r="E34" s="26"/>
      <c r="F34" s="131">
        <f>F32/F35</f>
        <v>1.9812965604691708</v>
      </c>
      <c r="G34" s="69" t="str">
        <f>'Spirits Production'!G16</f>
        <v>Years Aged</v>
      </c>
      <c r="H34" s="189">
        <v>0</v>
      </c>
      <c r="I34" s="69" t="s">
        <v>213</v>
      </c>
      <c r="J34" s="26"/>
      <c r="K34" s="26"/>
      <c r="L34" s="26"/>
      <c r="M34" s="26"/>
      <c r="N34" s="26"/>
      <c r="O34" s="26"/>
      <c r="P34" s="26"/>
      <c r="Q34" s="26"/>
      <c r="R34" s="256"/>
    </row>
    <row r="35" spans="2:18" ht="12.6" thickBot="1" x14ac:dyDescent="0.45">
      <c r="B35" s="107"/>
      <c r="C35" s="260">
        <v>7</v>
      </c>
      <c r="D35" s="261" t="s">
        <v>211</v>
      </c>
      <c r="E35" s="260"/>
      <c r="F35" s="262">
        <f>F33*5.0472</f>
        <v>176.65200000000002</v>
      </c>
      <c r="G35" s="72" t="s">
        <v>89</v>
      </c>
      <c r="H35" s="191">
        <v>20</v>
      </c>
      <c r="I35" s="263">
        <f>$E$9*I31*$F$35</f>
        <v>3533.0400000000004</v>
      </c>
      <c r="J35" s="264">
        <f t="shared" ref="J35:R35" si="5">$E$9*J31*$F$35</f>
        <v>3533.0400000000004</v>
      </c>
      <c r="K35" s="264">
        <f t="shared" si="5"/>
        <v>3533.0400000000004</v>
      </c>
      <c r="L35" s="264">
        <f t="shared" si="5"/>
        <v>3533.0400000000004</v>
      </c>
      <c r="M35" s="264">
        <f t="shared" si="5"/>
        <v>3533.0400000000004</v>
      </c>
      <c r="N35" s="264">
        <f t="shared" si="5"/>
        <v>3533.0400000000004</v>
      </c>
      <c r="O35" s="264">
        <f t="shared" si="5"/>
        <v>3533.0400000000004</v>
      </c>
      <c r="P35" s="264">
        <f t="shared" si="5"/>
        <v>3533.0400000000004</v>
      </c>
      <c r="Q35" s="264">
        <f t="shared" si="5"/>
        <v>3533.0400000000004</v>
      </c>
      <c r="R35" s="265">
        <f t="shared" si="5"/>
        <v>3533.0400000000004</v>
      </c>
    </row>
    <row r="36" spans="2:18" x14ac:dyDescent="0.4">
      <c r="B36" s="26"/>
      <c r="C36" s="26"/>
      <c r="D36" s="227"/>
      <c r="E36" s="26"/>
      <c r="F36" s="266"/>
      <c r="G36" s="25"/>
      <c r="H36" s="271"/>
      <c r="I36" s="268" t="str">
        <f>IF(($I$13+$I$22+$I$31+$I$40+$I$49+$I$58)&gt;1,"Exceeds Capacity!"," ")</f>
        <v xml:space="preserve"> </v>
      </c>
      <c r="J36" s="268" t="str">
        <f>IF(($J$13+$J$22+$J$31+$J$40+$J$49+$J$58)&gt;1,"Exceeds Capacity!"," ")</f>
        <v xml:space="preserve"> </v>
      </c>
      <c r="K36" s="268" t="str">
        <f>IF(($K$13+$K$22+$K$31+$K$40+$K$49+$K$58)&gt;1,"Exceeds Capacity!"," ")</f>
        <v xml:space="preserve"> </v>
      </c>
      <c r="L36" s="268" t="str">
        <f>IF(($L$13+$L$22+$L$31+$L$40+$L$49+$L$58)&gt;1,"Exceeds Capacity!"," ")</f>
        <v xml:space="preserve"> </v>
      </c>
      <c r="M36" s="268" t="str">
        <f>IF(($M$13+$M$22+$M$31+$M$40+$M$49+$M$58)&gt;1,"Exceeds Capacity!"," ")</f>
        <v xml:space="preserve"> </v>
      </c>
      <c r="N36" s="268" t="str">
        <f>IF(($N$13+$N$22+$N$31+$N$40+$N$49+$N$58)&gt;1,"Exceeds Capacity!"," ")</f>
        <v xml:space="preserve"> </v>
      </c>
      <c r="O36" s="268" t="str">
        <f>IF(($O$13+$O$22+$O$31+$O$40+$O$49+$O$58)&gt;1,"Exceeds Capacity!"," ")</f>
        <v xml:space="preserve"> </v>
      </c>
      <c r="P36" s="268" t="str">
        <f>IF(($P$13+$P$22+$P$31+$P$40+$P$49+$P$58)&gt;1,"Exceeds Capacity!"," ")</f>
        <v xml:space="preserve"> </v>
      </c>
      <c r="Q36" s="268" t="str">
        <f>IF(($Q$13+$Q$22+$Q$31+$Q$40+$Q$49+$Q$58)&gt;1,"Exceeds Capacity!"," ")</f>
        <v xml:space="preserve"> </v>
      </c>
      <c r="R36" s="268" t="str">
        <f>IF(($R$13+$R$22+$R$31+$R$40+$R$49+$R$58)&gt;1,"Exceeds Capacity!"," ")</f>
        <v xml:space="preserve"> </v>
      </c>
    </row>
    <row r="37" spans="2:18" x14ac:dyDescent="0.4">
      <c r="F37" s="251"/>
    </row>
    <row r="38" spans="2:18" ht="12.6" thickBot="1" x14ac:dyDescent="0.45">
      <c r="B38" s="28" t="str">
        <f>$B$11</f>
        <v>BATCH PRODUCTION ASSUMPTIONS, COSTS, YIELDS (account for aging losses in yield), &amp; PRICES</v>
      </c>
      <c r="G38" s="252"/>
      <c r="I38" s="28" t="str">
        <f>$I$11</f>
        <v>ANNUAL MARKETABLE PRODUCTION (accounts for aging) vs. ACTUAL ANNUAL PRODUCTION</v>
      </c>
    </row>
    <row r="39" spans="2:18" x14ac:dyDescent="0.4">
      <c r="B39" s="32" t="s">
        <v>202</v>
      </c>
      <c r="C39" s="218"/>
      <c r="D39" s="214" t="s">
        <v>74</v>
      </c>
      <c r="E39" s="218"/>
      <c r="F39" s="219"/>
      <c r="G39" s="32" t="s">
        <v>202</v>
      </c>
      <c r="H39" s="65"/>
      <c r="I39" s="32" t="s">
        <v>207</v>
      </c>
      <c r="J39" s="218"/>
      <c r="K39" s="218"/>
      <c r="L39" s="218"/>
      <c r="M39" s="218"/>
      <c r="N39" s="218"/>
      <c r="O39" s="218"/>
      <c r="P39" s="218"/>
      <c r="Q39" s="218"/>
      <c r="R39" s="65"/>
    </row>
    <row r="40" spans="2:18" x14ac:dyDescent="0.4">
      <c r="B40" s="69"/>
      <c r="C40" s="26"/>
      <c r="D40" s="26" t="s">
        <v>256</v>
      </c>
      <c r="E40" s="26"/>
      <c r="F40" s="325">
        <v>0</v>
      </c>
      <c r="G40" s="69" t="s">
        <v>88</v>
      </c>
      <c r="H40" s="212" t="str">
        <f>'Spirits Production'!D39</f>
        <v>#4</v>
      </c>
      <c r="I40" s="222"/>
      <c r="J40" s="223"/>
      <c r="K40" s="223"/>
      <c r="L40" s="223"/>
      <c r="M40" s="223"/>
      <c r="N40" s="223"/>
      <c r="O40" s="223"/>
      <c r="P40" s="223"/>
      <c r="Q40" s="223"/>
      <c r="R40" s="224"/>
    </row>
    <row r="41" spans="2:18" x14ac:dyDescent="0.4">
      <c r="B41" s="69"/>
      <c r="C41" s="272"/>
      <c r="D41" s="227" t="s">
        <v>209</v>
      </c>
      <c r="E41" s="26"/>
      <c r="F41" s="215">
        <v>1</v>
      </c>
      <c r="G41" s="69" t="str">
        <f>'Spirits Production'!G14</f>
        <v>Units</v>
      </c>
      <c r="H41" s="109" t="s">
        <v>127</v>
      </c>
      <c r="I41" s="69" t="s">
        <v>208</v>
      </c>
      <c r="J41" s="26"/>
      <c r="K41" s="26"/>
      <c r="L41" s="26"/>
      <c r="M41" s="26"/>
      <c r="N41" s="26"/>
      <c r="O41" s="26"/>
      <c r="P41" s="26"/>
      <c r="Q41" s="26"/>
      <c r="R41" s="256"/>
    </row>
    <row r="42" spans="2:18" x14ac:dyDescent="0.4">
      <c r="B42" s="69"/>
      <c r="C42" s="26"/>
      <c r="D42" s="227" t="s">
        <v>195</v>
      </c>
      <c r="E42" s="26"/>
      <c r="F42" s="216">
        <v>1</v>
      </c>
      <c r="G42" s="69" t="s">
        <v>149</v>
      </c>
      <c r="H42" s="127">
        <f>'Op Assumptions'!$F$17+F43</f>
        <v>5.7281296560469173</v>
      </c>
      <c r="I42" s="257">
        <f t="shared" ref="I42:R42" si="6">IF(I$10-$H$43&lt;=0,0,$E$9*I40*$F$44)</f>
        <v>0</v>
      </c>
      <c r="J42" s="258">
        <f t="shared" si="6"/>
        <v>0</v>
      </c>
      <c r="K42" s="258">
        <f t="shared" si="6"/>
        <v>0</v>
      </c>
      <c r="L42" s="258">
        <f t="shared" si="6"/>
        <v>0</v>
      </c>
      <c r="M42" s="258">
        <f t="shared" si="6"/>
        <v>0</v>
      </c>
      <c r="N42" s="258">
        <f t="shared" si="6"/>
        <v>0</v>
      </c>
      <c r="O42" s="258">
        <f t="shared" si="6"/>
        <v>0</v>
      </c>
      <c r="P42" s="258">
        <f t="shared" si="6"/>
        <v>0</v>
      </c>
      <c r="Q42" s="258">
        <f t="shared" si="6"/>
        <v>0</v>
      </c>
      <c r="R42" s="259">
        <f t="shared" si="6"/>
        <v>0</v>
      </c>
    </row>
    <row r="43" spans="2:18" x14ac:dyDescent="0.4">
      <c r="B43" s="67"/>
      <c r="C43" s="26"/>
      <c r="D43" s="227" t="s">
        <v>210</v>
      </c>
      <c r="E43" s="26"/>
      <c r="F43" s="131">
        <f>F41/F44</f>
        <v>0.1981296560469171</v>
      </c>
      <c r="G43" s="69" t="str">
        <f>'Spirits Production'!G16</f>
        <v>Years Aged</v>
      </c>
      <c r="H43" s="189">
        <v>0</v>
      </c>
      <c r="I43" s="69" t="s">
        <v>213</v>
      </c>
      <c r="J43" s="26"/>
      <c r="K43" s="26"/>
      <c r="L43" s="26"/>
      <c r="M43" s="26"/>
      <c r="N43" s="26"/>
      <c r="O43" s="26"/>
      <c r="P43" s="26"/>
      <c r="Q43" s="26"/>
      <c r="R43" s="256"/>
    </row>
    <row r="44" spans="2:18" ht="12.6" thickBot="1" x14ac:dyDescent="0.45">
      <c r="B44" s="107"/>
      <c r="C44" s="260"/>
      <c r="D44" s="261" t="s">
        <v>211</v>
      </c>
      <c r="E44" s="260"/>
      <c r="F44" s="262">
        <f>F42*5.0472</f>
        <v>5.0472000000000001</v>
      </c>
      <c r="G44" s="72" t="s">
        <v>89</v>
      </c>
      <c r="H44" s="191"/>
      <c r="I44" s="263">
        <f>$E$9*I40*$F$44</f>
        <v>0</v>
      </c>
      <c r="J44" s="264">
        <f t="shared" ref="J44:R44" si="7">$E$9*J40*$F$44</f>
        <v>0</v>
      </c>
      <c r="K44" s="264">
        <f t="shared" si="7"/>
        <v>0</v>
      </c>
      <c r="L44" s="264">
        <f t="shared" si="7"/>
        <v>0</v>
      </c>
      <c r="M44" s="264">
        <f t="shared" si="7"/>
        <v>0</v>
      </c>
      <c r="N44" s="264">
        <f t="shared" si="7"/>
        <v>0</v>
      </c>
      <c r="O44" s="264">
        <f t="shared" si="7"/>
        <v>0</v>
      </c>
      <c r="P44" s="264">
        <f t="shared" si="7"/>
        <v>0</v>
      </c>
      <c r="Q44" s="264">
        <f t="shared" si="7"/>
        <v>0</v>
      </c>
      <c r="R44" s="265">
        <f t="shared" si="7"/>
        <v>0</v>
      </c>
    </row>
    <row r="45" spans="2:18" x14ac:dyDescent="0.4">
      <c r="B45" s="26"/>
      <c r="C45" s="26"/>
      <c r="D45" s="227"/>
      <c r="E45" s="26"/>
      <c r="F45" s="266"/>
      <c r="G45" s="25"/>
      <c r="H45" s="271"/>
      <c r="I45" s="268" t="str">
        <f>IF(($I$13+$I$22+$I$31+$I$40+$I$49+$I$58)&gt;1,"Exceeds Capacity!"," ")</f>
        <v xml:space="preserve"> </v>
      </c>
      <c r="J45" s="268" t="str">
        <f>IF(($J$13+$J$22+$J$31+$J$40+$J$49+$J$58)&gt;1,"Exceeds Capacity!"," ")</f>
        <v xml:space="preserve"> </v>
      </c>
      <c r="K45" s="268" t="str">
        <f>IF(($K$13+$K$22+$K$31+$K$40+$K$49+$K$58)&gt;1,"Exceeds Capacity!"," ")</f>
        <v xml:space="preserve"> </v>
      </c>
      <c r="L45" s="268" t="str">
        <f>IF(($L$13+$L$22+$L$31+$L$40+$L$49+$L$58)&gt;1,"Exceeds Capacity!"," ")</f>
        <v xml:space="preserve"> </v>
      </c>
      <c r="M45" s="268" t="str">
        <f>IF(($M$13+$M$22+$M$31+$M$40+$M$49+$M$58)&gt;1,"Exceeds Capacity!"," ")</f>
        <v xml:space="preserve"> </v>
      </c>
      <c r="N45" s="268" t="str">
        <f>IF(($N$13+$N$22+$N$31+$N$40+$N$49+$N$58)&gt;1,"Exceeds Capacity!"," ")</f>
        <v xml:space="preserve"> </v>
      </c>
      <c r="O45" s="268" t="str">
        <f>IF(($O$13+$O$22+$O$31+$O$40+$O$49+$O$58)&gt;1,"Exceeds Capacity!"," ")</f>
        <v xml:space="preserve"> </v>
      </c>
      <c r="P45" s="268" t="str">
        <f>IF(($P$13+$P$22+$P$31+$P$40+$P$49+$P$58)&gt;1,"Exceeds Capacity!"," ")</f>
        <v xml:space="preserve"> </v>
      </c>
      <c r="Q45" s="268" t="str">
        <f>IF(($Q$13+$Q$22+$Q$31+$Q$40+$Q$49+$Q$58)&gt;1,"Exceeds Capacity!"," ")</f>
        <v xml:space="preserve"> </v>
      </c>
      <c r="R45" s="268" t="str">
        <f>IF(($R$13+$R$22+$R$31+$R$40+$R$49+$R$58)&gt;1,"Exceeds Capacity!"," ")</f>
        <v xml:space="preserve"> </v>
      </c>
    </row>
    <row r="46" spans="2:18" x14ac:dyDescent="0.4">
      <c r="F46" s="251"/>
      <c r="K46" s="273"/>
      <c r="L46" s="274"/>
    </row>
    <row r="47" spans="2:18" ht="12.6" thickBot="1" x14ac:dyDescent="0.45">
      <c r="B47" s="28" t="str">
        <f>$B$11</f>
        <v>BATCH PRODUCTION ASSUMPTIONS, COSTS, YIELDS (account for aging losses in yield), &amp; PRICES</v>
      </c>
      <c r="G47" s="252"/>
      <c r="I47" s="28" t="str">
        <f>$I$11</f>
        <v>ANNUAL MARKETABLE PRODUCTION (accounts for aging) vs. ACTUAL ANNUAL PRODUCTION</v>
      </c>
      <c r="K47" s="273"/>
      <c r="L47" s="274"/>
    </row>
    <row r="48" spans="2:18" x14ac:dyDescent="0.4">
      <c r="B48" s="32" t="s">
        <v>203</v>
      </c>
      <c r="C48" s="218"/>
      <c r="D48" s="214" t="s">
        <v>75</v>
      </c>
      <c r="E48" s="218"/>
      <c r="F48" s="219"/>
      <c r="G48" s="32" t="s">
        <v>203</v>
      </c>
      <c r="H48" s="65"/>
      <c r="I48" s="32" t="s">
        <v>207</v>
      </c>
      <c r="J48" s="218"/>
      <c r="K48" s="218"/>
      <c r="L48" s="218"/>
      <c r="M48" s="218"/>
      <c r="N48" s="218"/>
      <c r="O48" s="218"/>
      <c r="P48" s="218"/>
      <c r="Q48" s="218"/>
      <c r="R48" s="65"/>
    </row>
    <row r="49" spans="2:18" x14ac:dyDescent="0.4">
      <c r="B49" s="69"/>
      <c r="C49" s="26"/>
      <c r="D49" s="26" t="s">
        <v>256</v>
      </c>
      <c r="E49" s="26"/>
      <c r="F49" s="325">
        <v>0</v>
      </c>
      <c r="G49" s="69" t="s">
        <v>88</v>
      </c>
      <c r="H49" s="213" t="str">
        <f>'Spirits Production'!D48</f>
        <v>#5</v>
      </c>
      <c r="I49" s="222"/>
      <c r="J49" s="223"/>
      <c r="K49" s="223"/>
      <c r="L49" s="223"/>
      <c r="M49" s="223"/>
      <c r="N49" s="223"/>
      <c r="O49" s="223"/>
      <c r="P49" s="223"/>
      <c r="Q49" s="223"/>
      <c r="R49" s="224"/>
    </row>
    <row r="50" spans="2:18" x14ac:dyDescent="0.4">
      <c r="B50" s="69"/>
      <c r="C50" s="272"/>
      <c r="D50" s="227" t="s">
        <v>209</v>
      </c>
      <c r="E50" s="26"/>
      <c r="F50" s="215">
        <v>1</v>
      </c>
      <c r="G50" s="69" t="s">
        <v>10</v>
      </c>
      <c r="H50" s="109" t="s">
        <v>127</v>
      </c>
      <c r="I50" s="69" t="s">
        <v>208</v>
      </c>
      <c r="J50" s="26"/>
      <c r="K50" s="26"/>
      <c r="L50" s="26"/>
      <c r="M50" s="26"/>
      <c r="N50" s="26"/>
      <c r="O50" s="26"/>
      <c r="P50" s="26"/>
      <c r="Q50" s="26"/>
      <c r="R50" s="256"/>
    </row>
    <row r="51" spans="2:18" x14ac:dyDescent="0.4">
      <c r="B51" s="69"/>
      <c r="C51" s="26"/>
      <c r="D51" s="227" t="s">
        <v>195</v>
      </c>
      <c r="E51" s="26"/>
      <c r="F51" s="216">
        <v>1</v>
      </c>
      <c r="G51" s="69" t="s">
        <v>149</v>
      </c>
      <c r="H51" s="129">
        <f>'Op Assumptions'!$F$17+F52</f>
        <v>5.7281296560469173</v>
      </c>
      <c r="I51" s="257">
        <f t="shared" ref="I51:R51" si="8">IF(I$10-$H$52&lt;=0,0,$E$9*I49*$F$53)</f>
        <v>0</v>
      </c>
      <c r="J51" s="258">
        <f t="shared" si="8"/>
        <v>0</v>
      </c>
      <c r="K51" s="258">
        <f t="shared" si="8"/>
        <v>0</v>
      </c>
      <c r="L51" s="258">
        <f t="shared" si="8"/>
        <v>0</v>
      </c>
      <c r="M51" s="258">
        <f t="shared" si="8"/>
        <v>0</v>
      </c>
      <c r="N51" s="258">
        <f t="shared" si="8"/>
        <v>0</v>
      </c>
      <c r="O51" s="258">
        <f t="shared" si="8"/>
        <v>0</v>
      </c>
      <c r="P51" s="258">
        <f t="shared" si="8"/>
        <v>0</v>
      </c>
      <c r="Q51" s="258">
        <f t="shared" si="8"/>
        <v>0</v>
      </c>
      <c r="R51" s="259">
        <f t="shared" si="8"/>
        <v>0</v>
      </c>
    </row>
    <row r="52" spans="2:18" x14ac:dyDescent="0.4">
      <c r="B52" s="67"/>
      <c r="C52" s="26"/>
      <c r="D52" s="227" t="s">
        <v>210</v>
      </c>
      <c r="E52" s="26"/>
      <c r="F52" s="131">
        <f>F50/F53</f>
        <v>0.1981296560469171</v>
      </c>
      <c r="G52" s="69" t="str">
        <f>G16</f>
        <v>Years Aged</v>
      </c>
      <c r="H52" s="189">
        <v>0</v>
      </c>
      <c r="I52" s="69" t="s">
        <v>213</v>
      </c>
      <c r="J52" s="26"/>
      <c r="K52" s="26"/>
      <c r="L52" s="26"/>
      <c r="M52" s="26"/>
      <c r="N52" s="26"/>
      <c r="O52" s="26"/>
      <c r="P52" s="26"/>
      <c r="Q52" s="26"/>
      <c r="R52" s="256"/>
    </row>
    <row r="53" spans="2:18" ht="12.6" thickBot="1" x14ac:dyDescent="0.45">
      <c r="B53" s="107"/>
      <c r="C53" s="260"/>
      <c r="D53" s="261" t="s">
        <v>211</v>
      </c>
      <c r="E53" s="260"/>
      <c r="F53" s="262">
        <f>F51*5.0472</f>
        <v>5.0472000000000001</v>
      </c>
      <c r="G53" s="72" t="s">
        <v>89</v>
      </c>
      <c r="H53" s="191"/>
      <c r="I53" s="263">
        <f>$E$9*I49*$F$53</f>
        <v>0</v>
      </c>
      <c r="J53" s="264">
        <f t="shared" ref="J53:R53" si="9">$E$9*J49*$F$53</f>
        <v>0</v>
      </c>
      <c r="K53" s="264">
        <f t="shared" si="9"/>
        <v>0</v>
      </c>
      <c r="L53" s="264">
        <f t="shared" si="9"/>
        <v>0</v>
      </c>
      <c r="M53" s="264">
        <f t="shared" si="9"/>
        <v>0</v>
      </c>
      <c r="N53" s="264">
        <f t="shared" si="9"/>
        <v>0</v>
      </c>
      <c r="O53" s="264">
        <f t="shared" si="9"/>
        <v>0</v>
      </c>
      <c r="P53" s="264">
        <f t="shared" si="9"/>
        <v>0</v>
      </c>
      <c r="Q53" s="264">
        <f t="shared" si="9"/>
        <v>0</v>
      </c>
      <c r="R53" s="265">
        <f t="shared" si="9"/>
        <v>0</v>
      </c>
    </row>
    <row r="54" spans="2:18" x14ac:dyDescent="0.4">
      <c r="B54" s="26"/>
      <c r="C54" s="26"/>
      <c r="D54" s="227"/>
      <c r="E54" s="26"/>
      <c r="F54" s="266"/>
      <c r="G54" s="25"/>
      <c r="H54" s="271"/>
      <c r="I54" s="268" t="str">
        <f>IF(($I$13+$I$22+$I$31+$I$40+$I$49+$I$58)&gt;1,"Exceeds Capacity!"," ")</f>
        <v xml:space="preserve"> </v>
      </c>
      <c r="J54" s="268" t="str">
        <f>IF(($J$13+$J$22+$J$31+$J$40+$J$49+$J$58)&gt;1,"Exceeds Capacity!"," ")</f>
        <v xml:space="preserve"> </v>
      </c>
      <c r="K54" s="268" t="str">
        <f>IF(($K$13+$K$22+$K$31+$K$40+$K$49+$K$58)&gt;1,"Exceeds Capacity!"," ")</f>
        <v xml:space="preserve"> </v>
      </c>
      <c r="L54" s="268" t="str">
        <f>IF(($L$13+$L$22+$L$31+$L$40+$L$49+$L$58)&gt;1,"Exceeds Capacity!"," ")</f>
        <v xml:space="preserve"> </v>
      </c>
      <c r="M54" s="268" t="str">
        <f>IF(($M$13+$M$22+$M$31+$M$40+$M$49+$M$58)&gt;1,"Exceeds Capacity!"," ")</f>
        <v xml:space="preserve"> </v>
      </c>
      <c r="N54" s="268" t="str">
        <f>IF(($N$13+$N$22+$N$31+$N$40+$N$49+$N$58)&gt;1,"Exceeds Capacity!"," ")</f>
        <v xml:space="preserve"> </v>
      </c>
      <c r="O54" s="268" t="str">
        <f>IF(($O$13+$O$22+$O$31+$O$40+$O$49+$O$58)&gt;1,"Exceeds Capacity!"," ")</f>
        <v xml:space="preserve"> </v>
      </c>
      <c r="P54" s="268" t="str">
        <f>IF(($P$13+$P$22+$P$31+$P$40+$P$49+$P$58)&gt;1,"Exceeds Capacity!"," ")</f>
        <v xml:space="preserve"> </v>
      </c>
      <c r="Q54" s="268" t="str">
        <f>IF(($Q$13+$Q$22+$Q$31+$Q$40+$Q$49+$Q$58)&gt;1,"Exceeds Capacity!"," ")</f>
        <v xml:space="preserve"> </v>
      </c>
      <c r="R54" s="268" t="str">
        <f>IF(($R$13+$R$22+$R$31+$R$40+$R$49+$R$58)&gt;1,"Exceeds Capacity!"," ")</f>
        <v xml:space="preserve"> </v>
      </c>
    </row>
    <row r="55" spans="2:18" x14ac:dyDescent="0.4">
      <c r="F55" s="251"/>
      <c r="K55" s="273"/>
      <c r="L55" s="274"/>
    </row>
    <row r="56" spans="2:18" ht="12.6" thickBot="1" x14ac:dyDescent="0.45">
      <c r="B56" s="28" t="str">
        <f>$B$11</f>
        <v>BATCH PRODUCTION ASSUMPTIONS, COSTS, YIELDS (account for aging losses in yield), &amp; PRICES</v>
      </c>
      <c r="G56" s="252"/>
      <c r="I56" s="28" t="str">
        <f>$I$11</f>
        <v>ANNUAL MARKETABLE PRODUCTION (accounts for aging) vs. ACTUAL ANNUAL PRODUCTION</v>
      </c>
      <c r="K56" s="273"/>
      <c r="L56" s="274"/>
    </row>
    <row r="57" spans="2:18" x14ac:dyDescent="0.4">
      <c r="B57" s="32" t="s">
        <v>204</v>
      </c>
      <c r="C57" s="218"/>
      <c r="D57" s="214" t="s">
        <v>212</v>
      </c>
      <c r="E57" s="218"/>
      <c r="F57" s="219"/>
      <c r="G57" s="32" t="s">
        <v>204</v>
      </c>
      <c r="H57" s="65"/>
      <c r="I57" s="32" t="s">
        <v>207</v>
      </c>
      <c r="J57" s="218"/>
      <c r="K57" s="218"/>
      <c r="L57" s="218"/>
      <c r="M57" s="218"/>
      <c r="N57" s="218"/>
      <c r="O57" s="218"/>
      <c r="P57" s="218"/>
      <c r="Q57" s="218"/>
      <c r="R57" s="65"/>
    </row>
    <row r="58" spans="2:18" x14ac:dyDescent="0.4">
      <c r="B58" s="69"/>
      <c r="C58" s="26"/>
      <c r="D58" s="26" t="s">
        <v>256</v>
      </c>
      <c r="E58" s="26"/>
      <c r="F58" s="325">
        <v>0</v>
      </c>
      <c r="G58" s="69" t="s">
        <v>88</v>
      </c>
      <c r="H58" s="213" t="str">
        <f>'Spirits Production'!D57</f>
        <v>#6</v>
      </c>
      <c r="I58" s="222"/>
      <c r="J58" s="223"/>
      <c r="K58" s="223"/>
      <c r="L58" s="223"/>
      <c r="M58" s="223"/>
      <c r="N58" s="223"/>
      <c r="O58" s="223"/>
      <c r="P58" s="223"/>
      <c r="Q58" s="223"/>
      <c r="R58" s="224"/>
    </row>
    <row r="59" spans="2:18" x14ac:dyDescent="0.4">
      <c r="B59" s="69"/>
      <c r="C59" s="272"/>
      <c r="D59" s="227" t="s">
        <v>209</v>
      </c>
      <c r="E59" s="26"/>
      <c r="F59" s="215">
        <v>1</v>
      </c>
      <c r="G59" s="69" t="str">
        <f>'Spirits Production'!G50</f>
        <v>Units</v>
      </c>
      <c r="H59" s="109" t="s">
        <v>127</v>
      </c>
      <c r="I59" s="69" t="s">
        <v>208</v>
      </c>
      <c r="J59" s="26"/>
      <c r="K59" s="26"/>
      <c r="L59" s="26"/>
      <c r="M59" s="26"/>
      <c r="N59" s="26"/>
      <c r="O59" s="26"/>
      <c r="P59" s="26"/>
      <c r="Q59" s="26"/>
      <c r="R59" s="256"/>
    </row>
    <row r="60" spans="2:18" x14ac:dyDescent="0.4">
      <c r="B60" s="69"/>
      <c r="C60" s="26"/>
      <c r="D60" s="227" t="s">
        <v>195</v>
      </c>
      <c r="E60" s="26"/>
      <c r="F60" s="216">
        <v>1</v>
      </c>
      <c r="G60" s="69" t="s">
        <v>149</v>
      </c>
      <c r="H60" s="127">
        <f>'Op Assumptions'!$F$17+F61</f>
        <v>5.7281296560469173</v>
      </c>
      <c r="I60" s="257">
        <f t="shared" ref="I60:R60" si="10">IF(I$10-$H$61&lt;=0,0,$E$9*I58*$F$62)</f>
        <v>0</v>
      </c>
      <c r="J60" s="258">
        <f t="shared" si="10"/>
        <v>0</v>
      </c>
      <c r="K60" s="258">
        <f t="shared" si="10"/>
        <v>0</v>
      </c>
      <c r="L60" s="258">
        <f t="shared" si="10"/>
        <v>0</v>
      </c>
      <c r="M60" s="258">
        <f t="shared" si="10"/>
        <v>0</v>
      </c>
      <c r="N60" s="258">
        <f t="shared" si="10"/>
        <v>0</v>
      </c>
      <c r="O60" s="258">
        <f t="shared" si="10"/>
        <v>0</v>
      </c>
      <c r="P60" s="258">
        <f t="shared" si="10"/>
        <v>0</v>
      </c>
      <c r="Q60" s="258">
        <f t="shared" si="10"/>
        <v>0</v>
      </c>
      <c r="R60" s="259">
        <f t="shared" si="10"/>
        <v>0</v>
      </c>
    </row>
    <row r="61" spans="2:18" x14ac:dyDescent="0.4">
      <c r="B61" s="67"/>
      <c r="C61" s="26"/>
      <c r="D61" s="227" t="s">
        <v>210</v>
      </c>
      <c r="E61" s="26"/>
      <c r="F61" s="131">
        <f>F59/F62</f>
        <v>0.1981296560469171</v>
      </c>
      <c r="G61" s="69" t="str">
        <f>'Spirits Production'!G52</f>
        <v>Years Aged</v>
      </c>
      <c r="H61" s="189">
        <v>0</v>
      </c>
      <c r="I61" s="69" t="s">
        <v>213</v>
      </c>
      <c r="J61" s="26"/>
      <c r="K61" s="26"/>
      <c r="L61" s="26"/>
      <c r="M61" s="26"/>
      <c r="N61" s="26"/>
      <c r="O61" s="26"/>
      <c r="P61" s="26"/>
      <c r="Q61" s="26"/>
      <c r="R61" s="256"/>
    </row>
    <row r="62" spans="2:18" ht="12.6" thickBot="1" x14ac:dyDescent="0.45">
      <c r="B62" s="107"/>
      <c r="C62" s="260"/>
      <c r="D62" s="261" t="s">
        <v>211</v>
      </c>
      <c r="E62" s="260"/>
      <c r="F62" s="262">
        <f>F60*5.0472</f>
        <v>5.0472000000000001</v>
      </c>
      <c r="G62" s="72" t="s">
        <v>89</v>
      </c>
      <c r="H62" s="191"/>
      <c r="I62" s="263">
        <f>$E$9*I58*$F$62</f>
        <v>0</v>
      </c>
      <c r="J62" s="264">
        <f t="shared" ref="J62:R62" si="11">$E$9*J58*$F$62</f>
        <v>0</v>
      </c>
      <c r="K62" s="264">
        <f t="shared" si="11"/>
        <v>0</v>
      </c>
      <c r="L62" s="264">
        <f t="shared" si="11"/>
        <v>0</v>
      </c>
      <c r="M62" s="264">
        <f t="shared" si="11"/>
        <v>0</v>
      </c>
      <c r="N62" s="264">
        <f t="shared" si="11"/>
        <v>0</v>
      </c>
      <c r="O62" s="264">
        <f t="shared" si="11"/>
        <v>0</v>
      </c>
      <c r="P62" s="264">
        <f t="shared" si="11"/>
        <v>0</v>
      </c>
      <c r="Q62" s="264">
        <f t="shared" si="11"/>
        <v>0</v>
      </c>
      <c r="R62" s="265">
        <f t="shared" si="11"/>
        <v>0</v>
      </c>
    </row>
    <row r="63" spans="2:18" x14ac:dyDescent="0.4">
      <c r="F63" s="251"/>
      <c r="I63" s="268" t="str">
        <f>IF(($I$13+$I$22+$I$31+$I$40+$I$49+$I$58)&gt;1,"Exceeds Capacity!"," ")</f>
        <v xml:space="preserve"> </v>
      </c>
      <c r="J63" s="268" t="str">
        <f>IF(($J$13+$J$22+$J$31+$J$40+$J$49+$J$58)&gt;1,"Exceeds Capacity!"," ")</f>
        <v xml:space="preserve"> </v>
      </c>
      <c r="K63" s="268" t="str">
        <f>IF(($K$13+$K$22+$K$31+$K$40+$K$49+$K$58)&gt;1,"Exceeds Capacity!"," ")</f>
        <v xml:space="preserve"> </v>
      </c>
      <c r="L63" s="268" t="str">
        <f>IF(($L$13+$L$22+$L$31+$L$40+$L$49+$L$58)&gt;1,"Exceeds Capacity!"," ")</f>
        <v xml:space="preserve"> </v>
      </c>
      <c r="M63" s="268" t="str">
        <f>IF(($M$13+$M$22+$M$31+$M$40+$M$49+$M$58)&gt;1,"Exceeds Capacity!"," ")</f>
        <v xml:space="preserve"> </v>
      </c>
      <c r="N63" s="268" t="str">
        <f>IF(($N$13+$N$22+$N$31+$N$40+$N$49+$N$58)&gt;1,"Exceeds Capacity!"," ")</f>
        <v xml:space="preserve"> </v>
      </c>
      <c r="O63" s="268" t="str">
        <f>IF(($O$13+$O$22+$O$31+$O$40+$O$49+$O$58)&gt;1,"Exceeds Capacity!"," ")</f>
        <v xml:space="preserve"> </v>
      </c>
      <c r="P63" s="268" t="str">
        <f>IF(($P$13+$P$22+$P$31+$P$40+$P$49+$P$58)&gt;1,"Exceeds Capacity!"," ")</f>
        <v xml:space="preserve"> </v>
      </c>
      <c r="Q63" s="268" t="str">
        <f>IF(($Q$13+$Q$22+$Q$31+$Q$40+$Q$49+$Q$58)&gt;1,"Exceeds Capacity!"," ")</f>
        <v xml:space="preserve"> </v>
      </c>
      <c r="R63" s="268" t="str">
        <f>IF(($R$13+$R$22+$R$31+$R$40+$R$49+$R$58)&gt;1,"Exceeds Capacity!"," ")</f>
        <v xml:space="preserve"> </v>
      </c>
    </row>
    <row r="64" spans="2:18" x14ac:dyDescent="0.4">
      <c r="F64" s="251"/>
      <c r="I64" s="268"/>
      <c r="J64" s="268"/>
      <c r="K64" s="268"/>
      <c r="L64" s="268"/>
      <c r="M64" s="268"/>
      <c r="N64" s="268"/>
      <c r="O64" s="268"/>
      <c r="P64" s="268"/>
      <c r="Q64" s="268"/>
      <c r="R64" s="268"/>
    </row>
    <row r="65" spans="5:18" x14ac:dyDescent="0.4">
      <c r="I65" s="28" t="s">
        <v>262</v>
      </c>
    </row>
    <row r="66" spans="5:18" x14ac:dyDescent="0.4">
      <c r="F66" s="269"/>
      <c r="I66" s="28" t="s">
        <v>206</v>
      </c>
      <c r="J66" s="28"/>
      <c r="K66" s="28"/>
      <c r="L66" s="28"/>
      <c r="M66" s="28"/>
      <c r="N66" s="28"/>
      <c r="O66" s="28"/>
      <c r="P66" s="28"/>
      <c r="Q66" s="28"/>
      <c r="R66" s="28"/>
    </row>
    <row r="67" spans="5:18" x14ac:dyDescent="0.4">
      <c r="E67" s="28"/>
      <c r="F67" s="133"/>
      <c r="I67" s="28">
        <v>1</v>
      </c>
      <c r="J67" s="28">
        <v>2</v>
      </c>
      <c r="K67" s="28">
        <v>3</v>
      </c>
      <c r="L67" s="28">
        <v>4</v>
      </c>
      <c r="M67" s="28">
        <v>5</v>
      </c>
      <c r="N67" s="28">
        <v>6</v>
      </c>
      <c r="O67" s="28">
        <v>7</v>
      </c>
      <c r="P67" s="28">
        <v>8</v>
      </c>
      <c r="Q67" s="28">
        <v>9</v>
      </c>
      <c r="R67" s="28">
        <v>10</v>
      </c>
    </row>
    <row r="68" spans="5:18" x14ac:dyDescent="0.4">
      <c r="F68" s="275"/>
      <c r="H68" s="326" t="str">
        <f>D12</f>
        <v>Peach Moonshine</v>
      </c>
      <c r="I68" s="172">
        <f>I15*0.1981*$F$13</f>
        <v>839.8742688000001</v>
      </c>
      <c r="J68" s="172">
        <f t="shared" ref="J68:R68" si="12">J15*0.1981*$F$13</f>
        <v>839.8742688000001</v>
      </c>
      <c r="K68" s="172">
        <f t="shared" si="12"/>
        <v>839.8742688000001</v>
      </c>
      <c r="L68" s="172">
        <f t="shared" si="12"/>
        <v>839.8742688000001</v>
      </c>
      <c r="M68" s="172">
        <f t="shared" si="12"/>
        <v>839.8742688000001</v>
      </c>
      <c r="N68" s="172">
        <f t="shared" si="12"/>
        <v>839.8742688000001</v>
      </c>
      <c r="O68" s="172">
        <f t="shared" si="12"/>
        <v>839.8742688000001</v>
      </c>
      <c r="P68" s="172">
        <f t="shared" si="12"/>
        <v>839.8742688000001</v>
      </c>
      <c r="Q68" s="172">
        <f t="shared" si="12"/>
        <v>839.8742688000001</v>
      </c>
      <c r="R68" s="172">
        <f t="shared" si="12"/>
        <v>839.8742688000001</v>
      </c>
    </row>
    <row r="69" spans="5:18" x14ac:dyDescent="0.4">
      <c r="F69" s="275"/>
      <c r="H69" s="326" t="str">
        <f>D21</f>
        <v>Peach Brandy</v>
      </c>
      <c r="I69" s="327">
        <f>I24*0.1981*$F$22</f>
        <v>0</v>
      </c>
      <c r="J69" s="327">
        <f t="shared" ref="J69:R69" si="13">J24*0.1981*$F$22</f>
        <v>0</v>
      </c>
      <c r="K69" s="327">
        <f t="shared" si="13"/>
        <v>359.94611519999995</v>
      </c>
      <c r="L69" s="327">
        <f t="shared" si="13"/>
        <v>359.94611519999995</v>
      </c>
      <c r="M69" s="327">
        <f t="shared" si="13"/>
        <v>359.94611519999995</v>
      </c>
      <c r="N69" s="327">
        <f t="shared" si="13"/>
        <v>359.94611519999995</v>
      </c>
      <c r="O69" s="327">
        <f t="shared" si="13"/>
        <v>359.94611519999995</v>
      </c>
      <c r="P69" s="327">
        <f t="shared" si="13"/>
        <v>359.94611519999995</v>
      </c>
      <c r="Q69" s="327">
        <f t="shared" si="13"/>
        <v>359.94611519999995</v>
      </c>
      <c r="R69" s="327">
        <f t="shared" si="13"/>
        <v>359.94611519999995</v>
      </c>
    </row>
    <row r="70" spans="5:18" x14ac:dyDescent="0.4">
      <c r="F70" s="275"/>
      <c r="H70" s="326" t="str">
        <f>D30</f>
        <v>Craft Vodka</v>
      </c>
      <c r="I70" s="172">
        <f>I33*0.1981*$F$31</f>
        <v>279.95808960000005</v>
      </c>
      <c r="J70" s="172">
        <f t="shared" ref="J70:R70" si="14">J33*0.1981*$F$31</f>
        <v>279.95808960000005</v>
      </c>
      <c r="K70" s="172">
        <f t="shared" si="14"/>
        <v>279.95808960000005</v>
      </c>
      <c r="L70" s="172">
        <f t="shared" si="14"/>
        <v>279.95808960000005</v>
      </c>
      <c r="M70" s="172">
        <f t="shared" si="14"/>
        <v>279.95808960000005</v>
      </c>
      <c r="N70" s="172">
        <f t="shared" si="14"/>
        <v>279.95808960000005</v>
      </c>
      <c r="O70" s="172">
        <f t="shared" si="14"/>
        <v>279.95808960000005</v>
      </c>
      <c r="P70" s="172">
        <f t="shared" si="14"/>
        <v>279.95808960000005</v>
      </c>
      <c r="Q70" s="172">
        <f t="shared" si="14"/>
        <v>279.95808960000005</v>
      </c>
      <c r="R70" s="172">
        <f t="shared" si="14"/>
        <v>279.95808960000005</v>
      </c>
    </row>
    <row r="71" spans="5:18" x14ac:dyDescent="0.4">
      <c r="H71" s="326" t="str">
        <f>D39</f>
        <v>#4</v>
      </c>
      <c r="I71" s="327">
        <f>I42*0.1981*$F$40</f>
        <v>0</v>
      </c>
      <c r="J71" s="327">
        <f t="shared" ref="J71:R71" si="15">J42*0.1981*$F$40</f>
        <v>0</v>
      </c>
      <c r="K71" s="327">
        <f t="shared" si="15"/>
        <v>0</v>
      </c>
      <c r="L71" s="327">
        <f t="shared" si="15"/>
        <v>0</v>
      </c>
      <c r="M71" s="327">
        <f t="shared" si="15"/>
        <v>0</v>
      </c>
      <c r="N71" s="327">
        <f t="shared" si="15"/>
        <v>0</v>
      </c>
      <c r="O71" s="327">
        <f t="shared" si="15"/>
        <v>0</v>
      </c>
      <c r="P71" s="327">
        <f t="shared" si="15"/>
        <v>0</v>
      </c>
      <c r="Q71" s="327">
        <f t="shared" si="15"/>
        <v>0</v>
      </c>
      <c r="R71" s="327">
        <f t="shared" si="15"/>
        <v>0</v>
      </c>
    </row>
    <row r="72" spans="5:18" x14ac:dyDescent="0.4">
      <c r="H72" s="326" t="str">
        <f>D48</f>
        <v>#5</v>
      </c>
      <c r="I72" s="327">
        <f>I51*0.1981*$F$49</f>
        <v>0</v>
      </c>
      <c r="J72" s="327">
        <f t="shared" ref="J72:R72" si="16">J51*0.1981*$F$49</f>
        <v>0</v>
      </c>
      <c r="K72" s="327">
        <f t="shared" si="16"/>
        <v>0</v>
      </c>
      <c r="L72" s="327">
        <f t="shared" si="16"/>
        <v>0</v>
      </c>
      <c r="M72" s="327">
        <f t="shared" si="16"/>
        <v>0</v>
      </c>
      <c r="N72" s="327">
        <f t="shared" si="16"/>
        <v>0</v>
      </c>
      <c r="O72" s="327">
        <f t="shared" si="16"/>
        <v>0</v>
      </c>
      <c r="P72" s="327">
        <f t="shared" si="16"/>
        <v>0</v>
      </c>
      <c r="Q72" s="327">
        <f t="shared" si="16"/>
        <v>0</v>
      </c>
      <c r="R72" s="327">
        <f t="shared" si="16"/>
        <v>0</v>
      </c>
    </row>
    <row r="73" spans="5:18" x14ac:dyDescent="0.4">
      <c r="H73" s="328" t="str">
        <f>D57</f>
        <v>#6</v>
      </c>
      <c r="I73" s="329">
        <f>I60*0.1981*$F$58</f>
        <v>0</v>
      </c>
      <c r="J73" s="329">
        <f t="shared" ref="J73:R73" si="17">J60*0.1981*$F$58</f>
        <v>0</v>
      </c>
      <c r="K73" s="329">
        <f t="shared" si="17"/>
        <v>0</v>
      </c>
      <c r="L73" s="329">
        <f t="shared" si="17"/>
        <v>0</v>
      </c>
      <c r="M73" s="329">
        <f t="shared" si="17"/>
        <v>0</v>
      </c>
      <c r="N73" s="329">
        <f t="shared" si="17"/>
        <v>0</v>
      </c>
      <c r="O73" s="329">
        <f t="shared" si="17"/>
        <v>0</v>
      </c>
      <c r="P73" s="329">
        <f t="shared" si="17"/>
        <v>0</v>
      </c>
      <c r="Q73" s="329">
        <f t="shared" si="17"/>
        <v>0</v>
      </c>
      <c r="R73" s="329">
        <f t="shared" si="17"/>
        <v>0</v>
      </c>
    </row>
    <row r="74" spans="5:18" x14ac:dyDescent="0.4">
      <c r="H74" s="27" t="s">
        <v>263</v>
      </c>
      <c r="I74" s="172">
        <f>SUM(I68:I73)</f>
        <v>1119.8323584000002</v>
      </c>
      <c r="J74" s="172">
        <f t="shared" ref="J74:R74" si="18">SUM(J68:J73)</f>
        <v>1119.8323584000002</v>
      </c>
      <c r="K74" s="172">
        <f t="shared" si="18"/>
        <v>1479.7784736000001</v>
      </c>
      <c r="L74" s="172">
        <f t="shared" si="18"/>
        <v>1479.7784736000001</v>
      </c>
      <c r="M74" s="172">
        <f t="shared" si="18"/>
        <v>1479.7784736000001</v>
      </c>
      <c r="N74" s="172">
        <f t="shared" si="18"/>
        <v>1479.7784736000001</v>
      </c>
      <c r="O74" s="172">
        <f t="shared" si="18"/>
        <v>1479.7784736000001</v>
      </c>
      <c r="P74" s="172">
        <f t="shared" si="18"/>
        <v>1479.7784736000001</v>
      </c>
      <c r="Q74" s="172">
        <f t="shared" si="18"/>
        <v>1479.7784736000001</v>
      </c>
      <c r="R74" s="172">
        <f t="shared" si="18"/>
        <v>1479.7784736000001</v>
      </c>
    </row>
  </sheetData>
  <sheetProtection algorithmName="SHA-512" hashValue="WF2DQrnUrumRlKuMVKJk6k/zDGu+TQNQu4magT1nMLqAaJtvRkoNP5ZW3wLHVuxGqMWam+8bueZDZ/afB6W3uA==" saltValue="/b4xA8XmdFAtoZkyND3L8w==" spinCount="100000" sheet="1" objects="1" scenarios="1"/>
  <phoneticPr fontId="0" type="noConversion"/>
  <pageMargins left="0.75" right="0.75" top="1" bottom="1"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70" r:id="rId4" name="Drop Down 50">
              <controlPr defaultSize="0" autoLine="0" autoPict="0">
                <anchor moveWithCells="1">
                  <from>
                    <xdr:col>27</xdr:col>
                    <xdr:colOff>0</xdr:colOff>
                    <xdr:row>8</xdr:row>
                    <xdr:rowOff>0</xdr:rowOff>
                  </from>
                  <to>
                    <xdr:col>28</xdr:col>
                    <xdr:colOff>0</xdr:colOff>
                    <xdr:row>9</xdr:row>
                    <xdr:rowOff>38100</xdr:rowOff>
                  </to>
                </anchor>
              </controlPr>
            </control>
          </mc:Choice>
        </mc:AlternateContent>
        <mc:AlternateContent xmlns:mc="http://schemas.openxmlformats.org/markup-compatibility/2006">
          <mc:Choice Requires="x14">
            <control shapeId="5171" r:id="rId5" name="Drop Down 51">
              <controlPr defaultSize="0" autoLine="0" autoPict="0">
                <anchor moveWithCells="1">
                  <from>
                    <xdr:col>27</xdr:col>
                    <xdr:colOff>7620</xdr:colOff>
                    <xdr:row>8</xdr:row>
                    <xdr:rowOff>0</xdr:rowOff>
                  </from>
                  <to>
                    <xdr:col>28</xdr:col>
                    <xdr:colOff>7620</xdr:colOff>
                    <xdr:row>9</xdr:row>
                    <xdr:rowOff>38100</xdr:rowOff>
                  </to>
                </anchor>
              </controlPr>
            </control>
          </mc:Choice>
        </mc:AlternateContent>
        <mc:AlternateContent xmlns:mc="http://schemas.openxmlformats.org/markup-compatibility/2006">
          <mc:Choice Requires="x14">
            <control shapeId="5172" r:id="rId6" name="Drop Down 52">
              <controlPr defaultSize="0" autoLine="0" autoPict="0">
                <anchor moveWithCells="1">
                  <from>
                    <xdr:col>27</xdr:col>
                    <xdr:colOff>0</xdr:colOff>
                    <xdr:row>8</xdr:row>
                    <xdr:rowOff>0</xdr:rowOff>
                  </from>
                  <to>
                    <xdr:col>28</xdr:col>
                    <xdr:colOff>0</xdr:colOff>
                    <xdr:row>9</xdr:row>
                    <xdr:rowOff>38100</xdr:rowOff>
                  </to>
                </anchor>
              </controlPr>
            </control>
          </mc:Choice>
        </mc:AlternateContent>
        <mc:AlternateContent xmlns:mc="http://schemas.openxmlformats.org/markup-compatibility/2006">
          <mc:Choice Requires="x14">
            <control shapeId="5173" r:id="rId7" name="Drop Down 53">
              <controlPr defaultSize="0" autoLine="0" autoPict="0">
                <anchor moveWithCells="1">
                  <from>
                    <xdr:col>27</xdr:col>
                    <xdr:colOff>7620</xdr:colOff>
                    <xdr:row>8</xdr:row>
                    <xdr:rowOff>0</xdr:rowOff>
                  </from>
                  <to>
                    <xdr:col>28</xdr:col>
                    <xdr:colOff>7620</xdr:colOff>
                    <xdr:row>9</xdr:row>
                    <xdr:rowOff>38100</xdr:rowOff>
                  </to>
                </anchor>
              </controlPr>
            </control>
          </mc:Choice>
        </mc:AlternateContent>
        <mc:AlternateContent xmlns:mc="http://schemas.openxmlformats.org/markup-compatibility/2006">
          <mc:Choice Requires="x14">
            <control shapeId="5174" r:id="rId8" name="Drop Down 54">
              <controlPr defaultSize="0" autoLine="0" autoPict="0">
                <anchor moveWithCells="1">
                  <from>
                    <xdr:col>26</xdr:col>
                    <xdr:colOff>601980</xdr:colOff>
                    <xdr:row>8</xdr:row>
                    <xdr:rowOff>0</xdr:rowOff>
                  </from>
                  <to>
                    <xdr:col>27</xdr:col>
                    <xdr:colOff>1440180</xdr:colOff>
                    <xdr:row>9</xdr:row>
                    <xdr:rowOff>38100</xdr:rowOff>
                  </to>
                </anchor>
              </controlPr>
            </control>
          </mc:Choice>
        </mc:AlternateContent>
        <mc:AlternateContent xmlns:mc="http://schemas.openxmlformats.org/markup-compatibility/2006">
          <mc:Choice Requires="x14">
            <control shapeId="5175" r:id="rId9" name="Drop Down 55">
              <controlPr defaultSize="0" autoLine="0" autoPict="0">
                <anchor moveWithCells="1">
                  <from>
                    <xdr:col>27</xdr:col>
                    <xdr:colOff>0</xdr:colOff>
                    <xdr:row>8</xdr:row>
                    <xdr:rowOff>0</xdr:rowOff>
                  </from>
                  <to>
                    <xdr:col>28</xdr:col>
                    <xdr:colOff>0</xdr:colOff>
                    <xdr:row>9</xdr:row>
                    <xdr:rowOff>38100</xdr:rowOff>
                  </to>
                </anchor>
              </controlPr>
            </control>
          </mc:Choice>
        </mc:AlternateContent>
        <mc:AlternateContent xmlns:mc="http://schemas.openxmlformats.org/markup-compatibility/2006">
          <mc:Choice Requires="x14">
            <control shapeId="5176" r:id="rId10" name="Drop Down 56">
              <controlPr defaultSize="0" autoLine="0" autoPict="0">
                <anchor moveWithCells="1">
                  <from>
                    <xdr:col>27</xdr:col>
                    <xdr:colOff>7620</xdr:colOff>
                    <xdr:row>8</xdr:row>
                    <xdr:rowOff>0</xdr:rowOff>
                  </from>
                  <to>
                    <xdr:col>28</xdr:col>
                    <xdr:colOff>7620</xdr:colOff>
                    <xdr:row>9</xdr:row>
                    <xdr:rowOff>38100</xdr:rowOff>
                  </to>
                </anchor>
              </controlPr>
            </control>
          </mc:Choice>
        </mc:AlternateContent>
        <mc:AlternateContent xmlns:mc="http://schemas.openxmlformats.org/markup-compatibility/2006">
          <mc:Choice Requires="x14">
            <control shapeId="5177" r:id="rId11" name="Drop Down 57">
              <controlPr defaultSize="0" autoLine="0" autoPict="0">
                <anchor moveWithCells="1">
                  <from>
                    <xdr:col>27</xdr:col>
                    <xdr:colOff>0</xdr:colOff>
                    <xdr:row>8</xdr:row>
                    <xdr:rowOff>0</xdr:rowOff>
                  </from>
                  <to>
                    <xdr:col>28</xdr:col>
                    <xdr:colOff>0</xdr:colOff>
                    <xdr:row>9</xdr:row>
                    <xdr:rowOff>38100</xdr:rowOff>
                  </to>
                </anchor>
              </controlPr>
            </control>
          </mc:Choice>
        </mc:AlternateContent>
        <mc:AlternateContent xmlns:mc="http://schemas.openxmlformats.org/markup-compatibility/2006">
          <mc:Choice Requires="x14">
            <control shapeId="5178" r:id="rId12" name="Drop Down 58">
              <controlPr defaultSize="0" autoLine="0" autoPict="0">
                <anchor moveWithCells="1">
                  <from>
                    <xdr:col>27</xdr:col>
                    <xdr:colOff>7620</xdr:colOff>
                    <xdr:row>8</xdr:row>
                    <xdr:rowOff>0</xdr:rowOff>
                  </from>
                  <to>
                    <xdr:col>28</xdr:col>
                    <xdr:colOff>7620</xdr:colOff>
                    <xdr:row>9</xdr:row>
                    <xdr:rowOff>38100</xdr:rowOff>
                  </to>
                </anchor>
              </controlPr>
            </control>
          </mc:Choice>
        </mc:AlternateContent>
        <mc:AlternateContent xmlns:mc="http://schemas.openxmlformats.org/markup-compatibility/2006">
          <mc:Choice Requires="x14">
            <control shapeId="5179" r:id="rId13" name="Drop Down 59">
              <controlPr defaultSize="0" autoLine="0" autoPict="0">
                <anchor moveWithCells="1">
                  <from>
                    <xdr:col>26</xdr:col>
                    <xdr:colOff>601980</xdr:colOff>
                    <xdr:row>8</xdr:row>
                    <xdr:rowOff>0</xdr:rowOff>
                  </from>
                  <to>
                    <xdr:col>27</xdr:col>
                    <xdr:colOff>1440180</xdr:colOff>
                    <xdr:row>9</xdr:row>
                    <xdr:rowOff>38100</xdr:rowOff>
                  </to>
                </anchor>
              </controlPr>
            </control>
          </mc:Choice>
        </mc:AlternateContent>
        <mc:AlternateContent xmlns:mc="http://schemas.openxmlformats.org/markup-compatibility/2006">
          <mc:Choice Requires="x14">
            <control shapeId="5180" r:id="rId14" name="Drop Down 60">
              <controlPr defaultSize="0" autoLine="0" autoPict="0">
                <anchor moveWithCells="1">
                  <from>
                    <xdr:col>27</xdr:col>
                    <xdr:colOff>0</xdr:colOff>
                    <xdr:row>8</xdr:row>
                    <xdr:rowOff>0</xdr:rowOff>
                  </from>
                  <to>
                    <xdr:col>28</xdr:col>
                    <xdr:colOff>0</xdr:colOff>
                    <xdr:row>9</xdr:row>
                    <xdr:rowOff>38100</xdr:rowOff>
                  </to>
                </anchor>
              </controlPr>
            </control>
          </mc:Choice>
        </mc:AlternateContent>
        <mc:AlternateContent xmlns:mc="http://schemas.openxmlformats.org/markup-compatibility/2006">
          <mc:Choice Requires="x14">
            <control shapeId="5181" r:id="rId15" name="Drop Down 61">
              <controlPr defaultSize="0" autoLine="0" autoPict="0">
                <anchor moveWithCells="1">
                  <from>
                    <xdr:col>27</xdr:col>
                    <xdr:colOff>7620</xdr:colOff>
                    <xdr:row>8</xdr:row>
                    <xdr:rowOff>0</xdr:rowOff>
                  </from>
                  <to>
                    <xdr:col>28</xdr:col>
                    <xdr:colOff>7620</xdr:colOff>
                    <xdr:row>9</xdr:row>
                    <xdr:rowOff>38100</xdr:rowOff>
                  </to>
                </anchor>
              </controlPr>
            </control>
          </mc:Choice>
        </mc:AlternateContent>
        <mc:AlternateContent xmlns:mc="http://schemas.openxmlformats.org/markup-compatibility/2006">
          <mc:Choice Requires="x14">
            <control shapeId="5182" r:id="rId16" name="Drop Down 62">
              <controlPr defaultSize="0" autoLine="0" autoPict="0">
                <anchor moveWithCells="1">
                  <from>
                    <xdr:col>27</xdr:col>
                    <xdr:colOff>0</xdr:colOff>
                    <xdr:row>8</xdr:row>
                    <xdr:rowOff>0</xdr:rowOff>
                  </from>
                  <to>
                    <xdr:col>28</xdr:col>
                    <xdr:colOff>0</xdr:colOff>
                    <xdr:row>9</xdr:row>
                    <xdr:rowOff>38100</xdr:rowOff>
                  </to>
                </anchor>
              </controlPr>
            </control>
          </mc:Choice>
        </mc:AlternateContent>
        <mc:AlternateContent xmlns:mc="http://schemas.openxmlformats.org/markup-compatibility/2006">
          <mc:Choice Requires="x14">
            <control shapeId="5183" r:id="rId17" name="Drop Down 63">
              <controlPr defaultSize="0" autoLine="0" autoPict="0">
                <anchor moveWithCells="1">
                  <from>
                    <xdr:col>27</xdr:col>
                    <xdr:colOff>7620</xdr:colOff>
                    <xdr:row>8</xdr:row>
                    <xdr:rowOff>0</xdr:rowOff>
                  </from>
                  <to>
                    <xdr:col>28</xdr:col>
                    <xdr:colOff>7620</xdr:colOff>
                    <xdr:row>9</xdr:row>
                    <xdr:rowOff>38100</xdr:rowOff>
                  </to>
                </anchor>
              </controlPr>
            </control>
          </mc:Choice>
        </mc:AlternateContent>
        <mc:AlternateContent xmlns:mc="http://schemas.openxmlformats.org/markup-compatibility/2006">
          <mc:Choice Requires="x14">
            <control shapeId="5184" r:id="rId18" name="Drop Down 64">
              <controlPr defaultSize="0" autoLine="0" autoPict="0">
                <anchor moveWithCells="1">
                  <from>
                    <xdr:col>26</xdr:col>
                    <xdr:colOff>601980</xdr:colOff>
                    <xdr:row>8</xdr:row>
                    <xdr:rowOff>0</xdr:rowOff>
                  </from>
                  <to>
                    <xdr:col>27</xdr:col>
                    <xdr:colOff>1440180</xdr:colOff>
                    <xdr:row>9</xdr:row>
                    <xdr:rowOff>38100</xdr:rowOff>
                  </to>
                </anchor>
              </controlPr>
            </control>
          </mc:Choice>
        </mc:AlternateContent>
        <mc:AlternateContent xmlns:mc="http://schemas.openxmlformats.org/markup-compatibility/2006">
          <mc:Choice Requires="x14">
            <control shapeId="5185" r:id="rId19" name="Drop Down 65">
              <controlPr defaultSize="0" autoLine="0" autoPict="0">
                <anchor moveWithCells="1">
                  <from>
                    <xdr:col>27</xdr:col>
                    <xdr:colOff>0</xdr:colOff>
                    <xdr:row>8</xdr:row>
                    <xdr:rowOff>0</xdr:rowOff>
                  </from>
                  <to>
                    <xdr:col>28</xdr:col>
                    <xdr:colOff>0</xdr:colOff>
                    <xdr:row>9</xdr:row>
                    <xdr:rowOff>38100</xdr:rowOff>
                  </to>
                </anchor>
              </controlPr>
            </control>
          </mc:Choice>
        </mc:AlternateContent>
        <mc:AlternateContent xmlns:mc="http://schemas.openxmlformats.org/markup-compatibility/2006">
          <mc:Choice Requires="x14">
            <control shapeId="5186" r:id="rId20" name="Drop Down 66">
              <controlPr defaultSize="0" autoLine="0" autoPict="0">
                <anchor moveWithCells="1">
                  <from>
                    <xdr:col>27</xdr:col>
                    <xdr:colOff>7620</xdr:colOff>
                    <xdr:row>8</xdr:row>
                    <xdr:rowOff>0</xdr:rowOff>
                  </from>
                  <to>
                    <xdr:col>28</xdr:col>
                    <xdr:colOff>7620</xdr:colOff>
                    <xdr:row>9</xdr:row>
                    <xdr:rowOff>38100</xdr:rowOff>
                  </to>
                </anchor>
              </controlPr>
            </control>
          </mc:Choice>
        </mc:AlternateContent>
        <mc:AlternateContent xmlns:mc="http://schemas.openxmlformats.org/markup-compatibility/2006">
          <mc:Choice Requires="x14">
            <control shapeId="5187" r:id="rId21" name="Drop Down 67">
              <controlPr defaultSize="0" autoLine="0" autoPict="0">
                <anchor moveWithCells="1">
                  <from>
                    <xdr:col>27</xdr:col>
                    <xdr:colOff>0</xdr:colOff>
                    <xdr:row>8</xdr:row>
                    <xdr:rowOff>0</xdr:rowOff>
                  </from>
                  <to>
                    <xdr:col>28</xdr:col>
                    <xdr:colOff>0</xdr:colOff>
                    <xdr:row>9</xdr:row>
                    <xdr:rowOff>38100</xdr:rowOff>
                  </to>
                </anchor>
              </controlPr>
            </control>
          </mc:Choice>
        </mc:AlternateContent>
        <mc:AlternateContent xmlns:mc="http://schemas.openxmlformats.org/markup-compatibility/2006">
          <mc:Choice Requires="x14">
            <control shapeId="5188" r:id="rId22" name="Drop Down 68">
              <controlPr defaultSize="0" autoLine="0" autoPict="0">
                <anchor moveWithCells="1">
                  <from>
                    <xdr:col>27</xdr:col>
                    <xdr:colOff>7620</xdr:colOff>
                    <xdr:row>8</xdr:row>
                    <xdr:rowOff>0</xdr:rowOff>
                  </from>
                  <to>
                    <xdr:col>28</xdr:col>
                    <xdr:colOff>7620</xdr:colOff>
                    <xdr:row>9</xdr:row>
                    <xdr:rowOff>38100</xdr:rowOff>
                  </to>
                </anchor>
              </controlPr>
            </control>
          </mc:Choice>
        </mc:AlternateContent>
        <mc:AlternateContent xmlns:mc="http://schemas.openxmlformats.org/markup-compatibility/2006">
          <mc:Choice Requires="x14">
            <control shapeId="5189" r:id="rId23" name="Drop Down 69">
              <controlPr defaultSize="0" autoLine="0" autoPict="0">
                <anchor moveWithCells="1">
                  <from>
                    <xdr:col>26</xdr:col>
                    <xdr:colOff>601980</xdr:colOff>
                    <xdr:row>8</xdr:row>
                    <xdr:rowOff>0</xdr:rowOff>
                  </from>
                  <to>
                    <xdr:col>27</xdr:col>
                    <xdr:colOff>1440180</xdr:colOff>
                    <xdr:row>9</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B3506"/>
  <sheetViews>
    <sheetView showGridLines="0" workbookViewId="0"/>
  </sheetViews>
  <sheetFormatPr defaultColWidth="9.109375" defaultRowHeight="12.3" x14ac:dyDescent="0.4"/>
  <cols>
    <col min="1" max="1" width="9.109375" style="27"/>
    <col min="2" max="2" width="34" style="27" customWidth="1"/>
    <col min="3" max="3" width="11.88671875" style="27" customWidth="1"/>
    <col min="4" max="4" width="13.5546875" style="27" bestFit="1" customWidth="1"/>
    <col min="5" max="5" width="30.33203125" style="27" customWidth="1"/>
    <col min="6" max="6" width="12.6640625" style="27" customWidth="1"/>
    <col min="7" max="7" width="9.109375" style="141"/>
    <col min="8" max="8" width="27.6640625" style="27" customWidth="1"/>
    <col min="9" max="9" width="9.109375" style="27"/>
    <col min="10" max="10" width="9.109375" style="141"/>
    <col min="11" max="11" width="11.33203125" style="27" customWidth="1"/>
    <col min="12" max="12" width="11.6640625" style="27" bestFit="1" customWidth="1"/>
    <col min="13" max="13" width="9.109375" style="27"/>
    <col min="14" max="14" width="9.109375" style="141"/>
    <col min="15" max="15" width="19.5546875" style="27" bestFit="1" customWidth="1"/>
    <col min="16" max="16" width="15.33203125" style="27" customWidth="1"/>
    <col min="17" max="17" width="12" style="27" customWidth="1"/>
    <col min="18" max="18" width="12.109375" style="27" customWidth="1"/>
    <col min="19" max="19" width="9.109375" style="27"/>
    <col min="20" max="20" width="9.109375" style="141"/>
    <col min="21" max="21" width="40.109375" style="27" bestFit="1" customWidth="1"/>
    <col min="22" max="22" width="11.6640625" style="27" bestFit="1" customWidth="1"/>
    <col min="23" max="23" width="9.109375" style="142"/>
    <col min="24" max="24" width="9.109375" style="27"/>
    <col min="25" max="25" width="15.88671875" style="27" customWidth="1"/>
    <col min="26" max="26" width="16.109375" style="27" customWidth="1"/>
    <col min="27" max="27" width="9.109375" style="27"/>
    <col min="28" max="28" width="9.109375" style="142"/>
    <col min="29" max="29" width="9.109375" style="27"/>
    <col min="30" max="30" width="20.88671875" style="27" bestFit="1" customWidth="1"/>
    <col min="31" max="16384" width="9.109375" style="27"/>
  </cols>
  <sheetData>
    <row r="1" spans="2:14" x14ac:dyDescent="0.4">
      <c r="G1" s="26"/>
      <c r="J1" s="26"/>
      <c r="N1" s="26"/>
    </row>
    <row r="2" spans="2:14" ht="15" x14ac:dyDescent="0.5">
      <c r="B2" s="31" t="s">
        <v>227</v>
      </c>
      <c r="G2" s="26"/>
      <c r="J2" s="26"/>
      <c r="N2" s="26"/>
    </row>
    <row r="3" spans="2:14" ht="12.6" thickBot="1" x14ac:dyDescent="0.45">
      <c r="G3" s="26"/>
      <c r="J3" s="26"/>
      <c r="N3" s="26"/>
    </row>
    <row r="4" spans="2:14" ht="12.6" thickBot="1" x14ac:dyDescent="0.45">
      <c r="B4" s="85" t="s">
        <v>269</v>
      </c>
      <c r="C4" s="134"/>
      <c r="E4" s="85" t="s">
        <v>179</v>
      </c>
      <c r="F4" s="105"/>
      <c r="G4" s="26"/>
      <c r="H4" s="284" t="s">
        <v>270</v>
      </c>
      <c r="I4" s="285" t="s">
        <v>267</v>
      </c>
      <c r="J4" s="285" t="s">
        <v>155</v>
      </c>
      <c r="K4" s="286" t="s">
        <v>73</v>
      </c>
      <c r="N4" s="26"/>
    </row>
    <row r="5" spans="2:14" x14ac:dyDescent="0.4">
      <c r="B5" s="67" t="s">
        <v>16</v>
      </c>
      <c r="C5" s="180">
        <v>0.5</v>
      </c>
      <c r="E5" s="67" t="s">
        <v>131</v>
      </c>
      <c r="F5" s="335">
        <v>250</v>
      </c>
      <c r="G5" s="26"/>
      <c r="H5" s="332" t="s">
        <v>313</v>
      </c>
      <c r="I5" s="293">
        <v>250</v>
      </c>
      <c r="J5" s="294">
        <v>12</v>
      </c>
      <c r="K5" s="337">
        <f>I5*J5</f>
        <v>3000</v>
      </c>
      <c r="N5" s="26"/>
    </row>
    <row r="6" spans="2:14" x14ac:dyDescent="0.4">
      <c r="B6" s="67" t="s">
        <v>15</v>
      </c>
      <c r="C6" s="180">
        <v>0.06</v>
      </c>
      <c r="D6" s="30"/>
      <c r="E6" s="67" t="s">
        <v>132</v>
      </c>
      <c r="F6" s="335">
        <v>150</v>
      </c>
      <c r="G6" s="26"/>
      <c r="H6" s="333" t="s">
        <v>314</v>
      </c>
      <c r="I6" s="238">
        <v>285</v>
      </c>
      <c r="J6" s="295">
        <v>12</v>
      </c>
      <c r="K6" s="338">
        <f>I6*J6</f>
        <v>3420</v>
      </c>
      <c r="N6" s="26"/>
    </row>
    <row r="7" spans="2:14" x14ac:dyDescent="0.4">
      <c r="B7" s="67" t="s">
        <v>14</v>
      </c>
      <c r="C7" s="181">
        <v>15</v>
      </c>
      <c r="D7" s="30"/>
      <c r="E7" s="89" t="s">
        <v>217</v>
      </c>
      <c r="F7" s="335">
        <v>500</v>
      </c>
      <c r="G7" s="26"/>
      <c r="H7" s="333" t="s">
        <v>315</v>
      </c>
      <c r="I7" s="238">
        <v>200</v>
      </c>
      <c r="J7" s="295">
        <v>24</v>
      </c>
      <c r="K7" s="338">
        <f>I7*J7</f>
        <v>4800</v>
      </c>
      <c r="N7" s="26"/>
    </row>
    <row r="8" spans="2:14" x14ac:dyDescent="0.4">
      <c r="B8" s="67" t="s">
        <v>83</v>
      </c>
      <c r="C8" s="102">
        <f>'PPE &amp; Depreciation'!D64</f>
        <v>129707.6</v>
      </c>
      <c r="D8" s="30"/>
      <c r="E8" s="67" t="s">
        <v>133</v>
      </c>
      <c r="F8" s="335">
        <v>75</v>
      </c>
      <c r="G8" s="26"/>
      <c r="H8" s="333"/>
      <c r="I8" s="238"/>
      <c r="J8" s="295"/>
      <c r="K8" s="338">
        <f>I8*J8</f>
        <v>0</v>
      </c>
      <c r="N8" s="26"/>
    </row>
    <row r="9" spans="2:14" ht="12.6" thickBot="1" x14ac:dyDescent="0.45">
      <c r="B9" s="67" t="s">
        <v>13</v>
      </c>
      <c r="C9" s="102">
        <f>C8*C5</f>
        <v>64853.8</v>
      </c>
      <c r="D9" s="30"/>
      <c r="E9" s="72" t="s">
        <v>92</v>
      </c>
      <c r="F9" s="336">
        <f>SUM(F5:F8)</f>
        <v>975</v>
      </c>
      <c r="G9" s="26"/>
      <c r="H9" s="333"/>
      <c r="I9" s="239"/>
      <c r="J9" s="296"/>
      <c r="K9" s="339">
        <f>I9*J9</f>
        <v>0</v>
      </c>
      <c r="N9" s="26"/>
    </row>
    <row r="10" spans="2:14" x14ac:dyDescent="0.4">
      <c r="B10" s="67" t="s">
        <v>17</v>
      </c>
      <c r="C10" s="102">
        <f>F24</f>
        <v>41903.351200000005</v>
      </c>
      <c r="D10" s="30"/>
      <c r="G10" s="26"/>
      <c r="H10" s="334"/>
      <c r="I10" s="91" t="s">
        <v>268</v>
      </c>
      <c r="J10" s="91"/>
      <c r="K10" s="340">
        <f>SUM(K5:K9)</f>
        <v>11220</v>
      </c>
      <c r="N10" s="26"/>
    </row>
    <row r="11" spans="2:14" ht="12.6" thickBot="1" x14ac:dyDescent="0.45">
      <c r="B11" s="107" t="s">
        <v>24</v>
      </c>
      <c r="C11" s="182">
        <v>7.0000000000000007E-2</v>
      </c>
      <c r="D11" s="30"/>
      <c r="F11" s="260"/>
      <c r="G11" s="26"/>
      <c r="H11" s="341" t="s">
        <v>273</v>
      </c>
      <c r="J11" s="26"/>
      <c r="N11" s="26"/>
    </row>
    <row r="12" spans="2:14" ht="12.6" thickBot="1" x14ac:dyDescent="0.45">
      <c r="B12" s="26"/>
      <c r="C12" s="88"/>
      <c r="D12" s="30"/>
      <c r="E12" s="143" t="s">
        <v>239</v>
      </c>
      <c r="F12" s="144"/>
      <c r="H12" s="342" t="s">
        <v>275</v>
      </c>
      <c r="J12" s="26"/>
      <c r="N12" s="26"/>
    </row>
    <row r="13" spans="2:14" ht="12.6" thickBot="1" x14ac:dyDescent="0.45">
      <c r="B13" s="26"/>
      <c r="C13" s="106"/>
      <c r="D13" s="30"/>
      <c r="E13" s="145" t="s">
        <v>129</v>
      </c>
      <c r="F13" s="183">
        <v>4.2</v>
      </c>
      <c r="G13" s="26"/>
      <c r="H13" s="342" t="s">
        <v>274</v>
      </c>
      <c r="J13" s="26"/>
      <c r="N13" s="26"/>
    </row>
    <row r="14" spans="2:14" ht="12.6" thickBot="1" x14ac:dyDescent="0.45">
      <c r="B14" s="85" t="s">
        <v>257</v>
      </c>
      <c r="C14" s="108"/>
      <c r="D14" s="30"/>
      <c r="E14" s="89" t="s">
        <v>224</v>
      </c>
      <c r="F14" s="184">
        <v>0.33</v>
      </c>
      <c r="G14" s="26"/>
      <c r="H14" s="342" t="s">
        <v>271</v>
      </c>
      <c r="J14" s="26"/>
      <c r="N14" s="26"/>
    </row>
    <row r="15" spans="2:14" x14ac:dyDescent="0.4">
      <c r="B15" s="67" t="s">
        <v>81</v>
      </c>
      <c r="C15" s="180">
        <v>5.0000000000000001E-3</v>
      </c>
      <c r="D15" s="30"/>
      <c r="E15" s="67" t="s">
        <v>130</v>
      </c>
      <c r="F15" s="184">
        <v>0.75</v>
      </c>
      <c r="G15" s="26"/>
      <c r="H15" s="342" t="s">
        <v>272</v>
      </c>
      <c r="I15" s="26"/>
      <c r="J15" s="26"/>
      <c r="K15" s="26"/>
      <c r="N15" s="26"/>
    </row>
    <row r="16" spans="2:14" ht="12.6" thickBot="1" x14ac:dyDescent="0.45">
      <c r="B16" s="107" t="s">
        <v>85</v>
      </c>
      <c r="C16" s="182">
        <v>0.3</v>
      </c>
      <c r="D16" s="26"/>
      <c r="E16" s="228" t="s">
        <v>225</v>
      </c>
      <c r="F16" s="184">
        <v>0.25</v>
      </c>
      <c r="G16" s="26"/>
      <c r="I16" s="26"/>
      <c r="J16" s="26"/>
      <c r="K16" s="26"/>
      <c r="N16" s="26"/>
    </row>
    <row r="17" spans="2:14" ht="12.6" thickBot="1" x14ac:dyDescent="0.45">
      <c r="B17" s="26"/>
      <c r="C17" s="26"/>
      <c r="D17" s="26"/>
      <c r="E17" s="104" t="s">
        <v>226</v>
      </c>
      <c r="F17" s="146">
        <f>SUM(F13:F16)</f>
        <v>5.53</v>
      </c>
      <c r="I17" s="26"/>
      <c r="J17" s="26"/>
      <c r="K17" s="26"/>
      <c r="N17" s="26"/>
    </row>
    <row r="18" spans="2:14" ht="12.6" thickBot="1" x14ac:dyDescent="0.45">
      <c r="B18" s="26"/>
      <c r="C18" s="26"/>
      <c r="D18" s="26"/>
      <c r="E18" s="331" t="s">
        <v>240</v>
      </c>
      <c r="F18" s="218"/>
      <c r="G18" s="26"/>
      <c r="I18" s="26"/>
      <c r="J18" s="26"/>
      <c r="K18" s="26"/>
      <c r="N18" s="26"/>
    </row>
    <row r="19" spans="2:14" ht="12.6" thickBot="1" x14ac:dyDescent="0.45">
      <c r="B19" s="85" t="s">
        <v>228</v>
      </c>
      <c r="C19" s="134"/>
      <c r="F19" s="26"/>
      <c r="G19" s="26"/>
      <c r="I19" s="26"/>
      <c r="J19" s="26"/>
      <c r="K19" s="26"/>
      <c r="L19" s="37"/>
      <c r="N19" s="26"/>
    </row>
    <row r="20" spans="2:14" ht="12.6" thickBot="1" x14ac:dyDescent="0.45">
      <c r="B20" s="89" t="s">
        <v>229</v>
      </c>
      <c r="C20" s="184">
        <v>5000</v>
      </c>
      <c r="E20" s="85" t="s">
        <v>17</v>
      </c>
      <c r="F20" s="147"/>
      <c r="G20" s="26"/>
      <c r="I20" s="26"/>
      <c r="J20" s="26"/>
      <c r="K20" s="26"/>
      <c r="L20" s="97"/>
      <c r="N20" s="26"/>
    </row>
    <row r="21" spans="2:14" x14ac:dyDescent="0.4">
      <c r="B21" s="89" t="s">
        <v>230</v>
      </c>
      <c r="C21" s="184">
        <v>5000</v>
      </c>
      <c r="E21" s="89" t="s">
        <v>243</v>
      </c>
      <c r="F21" s="185">
        <v>0.1</v>
      </c>
      <c r="G21" s="26"/>
      <c r="I21" s="26"/>
      <c r="J21" s="26"/>
      <c r="K21" s="26"/>
      <c r="L21" s="98"/>
      <c r="N21" s="26"/>
    </row>
    <row r="22" spans="2:14" ht="12.6" thickBot="1" x14ac:dyDescent="0.45">
      <c r="B22" s="72" t="s">
        <v>48</v>
      </c>
      <c r="C22" s="146">
        <f>SUM(C20:C21)</f>
        <v>10000</v>
      </c>
      <c r="E22" s="89" t="s">
        <v>244</v>
      </c>
      <c r="F22" s="148">
        <f>F21*'Profit-Loss'!D17</f>
        <v>31903.351200000001</v>
      </c>
      <c r="G22" s="26"/>
      <c r="I22" s="26"/>
      <c r="J22" s="26"/>
      <c r="K22" s="26"/>
      <c r="L22" s="99"/>
      <c r="N22" s="26"/>
    </row>
    <row r="23" spans="2:14" x14ac:dyDescent="0.4">
      <c r="E23" s="67" t="s">
        <v>170</v>
      </c>
      <c r="F23" s="184">
        <v>10000</v>
      </c>
      <c r="G23" s="26"/>
      <c r="I23" s="26"/>
      <c r="J23" s="26"/>
      <c r="K23" s="26"/>
      <c r="L23" s="100"/>
      <c r="N23" s="26"/>
    </row>
    <row r="24" spans="2:14" ht="12.6" thickBot="1" x14ac:dyDescent="0.45">
      <c r="E24" s="72" t="s">
        <v>171</v>
      </c>
      <c r="F24" s="150">
        <f>SUM(F22,F23)</f>
        <v>41903.351200000005</v>
      </c>
      <c r="G24" s="26"/>
      <c r="I24" s="26"/>
      <c r="J24" s="26"/>
      <c r="K24" s="26"/>
      <c r="L24" s="101"/>
      <c r="N24" s="26"/>
    </row>
    <row r="25" spans="2:14" ht="12.6" thickBot="1" x14ac:dyDescent="0.45">
      <c r="B25" s="85" t="s">
        <v>182</v>
      </c>
      <c r="C25" s="149"/>
      <c r="G25" s="26"/>
      <c r="J25" s="26"/>
      <c r="K25" s="28"/>
      <c r="L25" s="37"/>
      <c r="N25" s="26"/>
    </row>
    <row r="26" spans="2:14" ht="12.6" thickBot="1" x14ac:dyDescent="0.45">
      <c r="B26" s="237" t="s">
        <v>235</v>
      </c>
      <c r="C26" s="233">
        <v>3500</v>
      </c>
      <c r="G26" s="26"/>
      <c r="J26" s="26"/>
      <c r="K26" s="28"/>
      <c r="L26" s="37"/>
      <c r="N26" s="26"/>
    </row>
    <row r="27" spans="2:14" ht="12.6" thickBot="1" x14ac:dyDescent="0.45">
      <c r="B27" s="237" t="s">
        <v>236</v>
      </c>
      <c r="C27" s="234">
        <v>3350</v>
      </c>
      <c r="E27" s="85" t="s">
        <v>44</v>
      </c>
      <c r="F27" s="105"/>
      <c r="G27" s="26"/>
      <c r="J27" s="26"/>
      <c r="K27" s="28"/>
      <c r="L27" s="97"/>
      <c r="N27" s="26"/>
    </row>
    <row r="28" spans="2:14" x14ac:dyDescent="0.4">
      <c r="B28" s="237" t="s">
        <v>238</v>
      </c>
      <c r="C28" s="234">
        <v>4451</v>
      </c>
      <c r="E28" s="67" t="s">
        <v>82</v>
      </c>
      <c r="F28" s="180">
        <v>0.01</v>
      </c>
      <c r="G28" s="26"/>
      <c r="J28" s="26"/>
      <c r="K28" s="28"/>
      <c r="L28" s="98"/>
      <c r="N28" s="26"/>
    </row>
    <row r="29" spans="2:14" x14ac:dyDescent="0.4">
      <c r="B29" s="237" t="s">
        <v>237</v>
      </c>
      <c r="C29" s="234">
        <v>114</v>
      </c>
      <c r="E29" s="67" t="s">
        <v>316</v>
      </c>
      <c r="F29" s="180">
        <v>5.0000000000000001E-3</v>
      </c>
      <c r="G29" s="26"/>
      <c r="J29" s="26"/>
      <c r="K29" s="28"/>
      <c r="L29" s="99"/>
      <c r="N29" s="26"/>
    </row>
    <row r="30" spans="2:14" x14ac:dyDescent="0.4">
      <c r="B30" s="236" t="s">
        <v>145</v>
      </c>
      <c r="C30" s="234">
        <v>25000</v>
      </c>
      <c r="E30" s="89" t="s">
        <v>106</v>
      </c>
      <c r="F30" s="186">
        <v>0.03</v>
      </c>
      <c r="G30" s="26"/>
      <c r="J30" s="26"/>
      <c r="K30" s="28"/>
      <c r="L30" s="100"/>
      <c r="N30" s="26"/>
    </row>
    <row r="31" spans="2:14" x14ac:dyDescent="0.4">
      <c r="B31" s="236" t="s">
        <v>146</v>
      </c>
      <c r="C31" s="234">
        <v>1260</v>
      </c>
      <c r="D31" s="26"/>
      <c r="E31" s="89" t="s">
        <v>93</v>
      </c>
      <c r="F31" s="180">
        <v>0.02</v>
      </c>
      <c r="G31" s="26"/>
      <c r="J31" s="26"/>
      <c r="K31" s="28"/>
      <c r="N31" s="26"/>
    </row>
    <row r="32" spans="2:14" ht="12.6" thickBot="1" x14ac:dyDescent="0.45">
      <c r="B32" s="344" t="s">
        <v>276</v>
      </c>
      <c r="C32" s="343">
        <f>K10</f>
        <v>11220</v>
      </c>
      <c r="E32" s="103" t="s">
        <v>94</v>
      </c>
      <c r="F32" s="187">
        <v>0.09</v>
      </c>
      <c r="G32" s="64"/>
      <c r="J32" s="26"/>
      <c r="N32" s="26"/>
    </row>
    <row r="33" spans="2:28" ht="15.3" thickBot="1" x14ac:dyDescent="0.55000000000000004">
      <c r="B33" s="72" t="s">
        <v>48</v>
      </c>
      <c r="C33" s="235">
        <f>SUM(C26:C32)</f>
        <v>48895</v>
      </c>
      <c r="E33" s="31"/>
      <c r="G33" s="64"/>
      <c r="J33" s="26"/>
      <c r="N33" s="26"/>
    </row>
    <row r="34" spans="2:28" ht="15.3" thickBot="1" x14ac:dyDescent="0.55000000000000004">
      <c r="E34" s="31"/>
      <c r="G34" s="27"/>
      <c r="J34" s="26"/>
      <c r="N34" s="26"/>
    </row>
    <row r="35" spans="2:28" s="174" customFormat="1" ht="12.6" thickBot="1" x14ac:dyDescent="0.45">
      <c r="E35" s="85" t="s">
        <v>261</v>
      </c>
      <c r="F35" s="232"/>
      <c r="G35" s="227"/>
      <c r="H35" s="27"/>
      <c r="I35" s="27"/>
      <c r="J35" s="26"/>
      <c r="K35" s="27"/>
      <c r="N35" s="227"/>
      <c r="T35" s="229"/>
      <c r="W35" s="230"/>
      <c r="AB35" s="230"/>
    </row>
    <row r="36" spans="2:28" ht="12.6" thickBot="1" x14ac:dyDescent="0.45">
      <c r="B36" s="85" t="s">
        <v>173</v>
      </c>
      <c r="C36" s="147"/>
      <c r="E36" s="89" t="s">
        <v>259</v>
      </c>
      <c r="F36" s="184">
        <v>2.7</v>
      </c>
      <c r="G36" s="227"/>
      <c r="H36" s="174"/>
      <c r="I36" s="174"/>
      <c r="J36" s="227"/>
      <c r="K36" s="174"/>
      <c r="N36" s="26"/>
    </row>
    <row r="37" spans="2:28" ht="12.6" thickBot="1" x14ac:dyDescent="0.45">
      <c r="B37" s="89" t="s">
        <v>214</v>
      </c>
      <c r="C37" s="185">
        <v>0.05</v>
      </c>
      <c r="E37" s="90" t="s">
        <v>260</v>
      </c>
      <c r="F37" s="231">
        <v>2.4</v>
      </c>
      <c r="G37" s="227"/>
      <c r="H37" s="26"/>
      <c r="J37" s="27"/>
      <c r="N37" s="26"/>
    </row>
    <row r="38" spans="2:28" ht="12.6" thickBot="1" x14ac:dyDescent="0.45">
      <c r="B38" s="151" t="s">
        <v>174</v>
      </c>
      <c r="C38" s="188">
        <v>1</v>
      </c>
      <c r="E38" s="27" t="s">
        <v>258</v>
      </c>
      <c r="F38" s="225"/>
      <c r="G38" s="163"/>
      <c r="H38" s="26"/>
      <c r="J38" s="27"/>
      <c r="N38" s="26"/>
    </row>
    <row r="39" spans="2:28" x14ac:dyDescent="0.4">
      <c r="F39" s="225"/>
      <c r="G39" s="225"/>
      <c r="H39" s="163"/>
      <c r="J39" s="27"/>
      <c r="N39" s="26"/>
    </row>
    <row r="40" spans="2:28" x14ac:dyDescent="0.4">
      <c r="E40" s="35"/>
      <c r="G40" s="225"/>
      <c r="H40" s="225"/>
      <c r="J40" s="27"/>
      <c r="N40" s="26"/>
    </row>
    <row r="41" spans="2:28" x14ac:dyDescent="0.4">
      <c r="D41" s="36"/>
      <c r="G41" s="26"/>
      <c r="H41" s="225"/>
      <c r="J41" s="27"/>
      <c r="L41" s="44"/>
      <c r="N41" s="26"/>
      <c r="O41" s="28"/>
      <c r="P41" s="39"/>
      <c r="Q41" s="39"/>
      <c r="R41" s="39"/>
      <c r="U41" s="28"/>
      <c r="V41" s="44"/>
    </row>
    <row r="42" spans="2:28" x14ac:dyDescent="0.4">
      <c r="D42" s="36"/>
      <c r="G42" s="26"/>
      <c r="H42" s="28"/>
      <c r="J42" s="26"/>
      <c r="K42" s="28"/>
      <c r="L42" s="39"/>
      <c r="N42" s="26"/>
      <c r="O42" s="152"/>
      <c r="P42" s="153"/>
      <c r="Q42" s="153"/>
      <c r="R42" s="153"/>
      <c r="U42" s="28"/>
      <c r="V42" s="44"/>
    </row>
    <row r="43" spans="2:28" x14ac:dyDescent="0.4">
      <c r="G43" s="26"/>
      <c r="J43" s="26"/>
      <c r="K43" s="28"/>
      <c r="L43" s="153"/>
      <c r="N43" s="26"/>
      <c r="O43" s="28"/>
      <c r="P43" s="39"/>
      <c r="Q43" s="39"/>
      <c r="R43" s="39"/>
      <c r="U43" s="28"/>
      <c r="V43" s="44"/>
    </row>
    <row r="44" spans="2:28" x14ac:dyDescent="0.4">
      <c r="E44" s="35"/>
      <c r="G44" s="26"/>
      <c r="H44" s="28"/>
      <c r="J44" s="26"/>
      <c r="K44" s="28"/>
      <c r="L44" s="42"/>
      <c r="N44" s="26"/>
      <c r="O44" s="152"/>
      <c r="P44" s="153"/>
      <c r="Q44" s="153"/>
      <c r="R44" s="153"/>
      <c r="U44" s="28"/>
      <c r="V44" s="44"/>
      <c r="Z44" s="39"/>
    </row>
    <row r="45" spans="2:28" x14ac:dyDescent="0.4">
      <c r="G45" s="26"/>
      <c r="J45" s="26"/>
      <c r="L45" s="39"/>
      <c r="N45" s="26"/>
      <c r="O45" s="28"/>
      <c r="P45" s="39"/>
      <c r="Q45" s="39"/>
      <c r="R45" s="39"/>
      <c r="U45" s="28"/>
      <c r="V45" s="44"/>
      <c r="Z45" s="39"/>
    </row>
    <row r="46" spans="2:28" x14ac:dyDescent="0.4">
      <c r="D46" s="36"/>
      <c r="G46" s="26"/>
      <c r="H46" s="28"/>
      <c r="J46" s="26"/>
      <c r="K46" s="28"/>
      <c r="L46" s="44"/>
      <c r="N46" s="26"/>
      <c r="O46" s="152"/>
      <c r="P46" s="153"/>
      <c r="Q46" s="153"/>
      <c r="R46" s="153"/>
      <c r="S46" s="153"/>
      <c r="U46" s="28"/>
      <c r="V46" s="44"/>
      <c r="Z46" s="35"/>
    </row>
    <row r="47" spans="2:28" x14ac:dyDescent="0.4">
      <c r="D47" s="36"/>
      <c r="G47" s="26"/>
      <c r="H47" s="28"/>
      <c r="I47" s="37"/>
      <c r="J47" s="56"/>
      <c r="K47" s="37"/>
      <c r="N47" s="26"/>
      <c r="O47" s="152"/>
      <c r="P47" s="153"/>
      <c r="Q47" s="153"/>
      <c r="R47" s="153"/>
      <c r="S47" s="153"/>
      <c r="U47" s="28"/>
      <c r="V47" s="44"/>
      <c r="Z47" s="39"/>
    </row>
    <row r="48" spans="2:28" x14ac:dyDescent="0.4">
      <c r="G48" s="26"/>
      <c r="I48" s="45"/>
      <c r="J48" s="154"/>
      <c r="K48" s="30"/>
      <c r="N48" s="26"/>
      <c r="O48" s="152"/>
      <c r="P48" s="153"/>
      <c r="Q48" s="153"/>
      <c r="R48" s="153"/>
      <c r="S48" s="153"/>
      <c r="U48" s="33"/>
      <c r="Z48" s="35"/>
    </row>
    <row r="49" spans="4:26" x14ac:dyDescent="0.4">
      <c r="G49" s="26"/>
      <c r="I49" s="45"/>
      <c r="J49" s="154"/>
      <c r="K49" s="30"/>
      <c r="N49" s="26"/>
      <c r="O49" s="153"/>
      <c r="P49" s="153"/>
      <c r="Q49" s="153"/>
      <c r="R49" s="153"/>
      <c r="S49" s="153"/>
      <c r="U49" s="28"/>
      <c r="V49" s="44"/>
      <c r="Z49" s="39"/>
    </row>
    <row r="50" spans="4:26" x14ac:dyDescent="0.4">
      <c r="G50" s="26"/>
      <c r="I50" s="45"/>
      <c r="J50" s="154"/>
      <c r="K50" s="30"/>
      <c r="N50" s="26"/>
      <c r="O50" s="155"/>
      <c r="P50" s="155"/>
      <c r="Q50" s="155"/>
      <c r="R50" s="155"/>
      <c r="S50" s="153"/>
      <c r="U50" s="28"/>
      <c r="V50" s="44"/>
      <c r="Z50" s="22"/>
    </row>
    <row r="51" spans="4:26" x14ac:dyDescent="0.4">
      <c r="D51" s="36"/>
      <c r="G51" s="26"/>
      <c r="I51" s="45"/>
      <c r="J51" s="154"/>
      <c r="K51" s="30"/>
      <c r="N51" s="26"/>
      <c r="O51" s="153"/>
      <c r="P51" s="153"/>
      <c r="Q51" s="153"/>
      <c r="R51" s="153"/>
      <c r="S51" s="153"/>
      <c r="U51" s="28"/>
      <c r="V51" s="44"/>
      <c r="Z51" s="35"/>
    </row>
    <row r="52" spans="4:26" x14ac:dyDescent="0.4">
      <c r="D52" s="36"/>
      <c r="G52" s="26"/>
      <c r="I52" s="30"/>
      <c r="J52" s="45"/>
      <c r="K52" s="30"/>
      <c r="N52" s="26"/>
      <c r="O52" s="152"/>
      <c r="P52" s="153"/>
      <c r="Q52" s="153"/>
      <c r="R52" s="153"/>
      <c r="S52" s="153"/>
      <c r="U52" s="28"/>
      <c r="V52" s="44"/>
      <c r="Z52" s="15"/>
    </row>
    <row r="53" spans="4:26" x14ac:dyDescent="0.4">
      <c r="G53" s="26"/>
      <c r="J53" s="26"/>
      <c r="N53" s="26"/>
      <c r="O53" s="153"/>
      <c r="P53" s="153"/>
      <c r="Q53" s="153"/>
      <c r="R53" s="153"/>
      <c r="S53" s="153"/>
      <c r="U53" s="28"/>
      <c r="V53" s="44"/>
      <c r="Z53" s="156"/>
    </row>
    <row r="54" spans="4:26" x14ac:dyDescent="0.4">
      <c r="E54" s="35"/>
      <c r="G54" s="26"/>
      <c r="J54" s="26"/>
      <c r="N54" s="26"/>
      <c r="O54" s="152"/>
      <c r="P54" s="153"/>
      <c r="Q54" s="153"/>
      <c r="R54" s="153"/>
      <c r="S54" s="153"/>
      <c r="Z54" s="15"/>
    </row>
    <row r="55" spans="4:26" x14ac:dyDescent="0.4">
      <c r="E55" s="35"/>
      <c r="G55" s="26"/>
      <c r="J55" s="26"/>
      <c r="N55" s="26"/>
      <c r="O55" s="153"/>
      <c r="P55" s="153"/>
      <c r="Q55" s="153"/>
      <c r="R55" s="153"/>
      <c r="S55" s="153"/>
      <c r="U55" s="33"/>
      <c r="Z55" s="15"/>
    </row>
    <row r="56" spans="4:26" x14ac:dyDescent="0.4">
      <c r="D56" s="36"/>
      <c r="E56" s="28"/>
      <c r="F56" s="45"/>
      <c r="G56" s="26"/>
      <c r="J56" s="26"/>
      <c r="N56" s="26"/>
      <c r="O56" s="152"/>
      <c r="P56" s="153"/>
      <c r="Q56" s="153"/>
      <c r="R56" s="153"/>
      <c r="S56" s="153"/>
      <c r="V56" s="42"/>
      <c r="Z56" s="15"/>
    </row>
    <row r="57" spans="4:26" x14ac:dyDescent="0.4">
      <c r="D57" s="36"/>
      <c r="F57" s="154"/>
      <c r="G57" s="45"/>
      <c r="J57" s="26"/>
      <c r="N57" s="26"/>
      <c r="O57" s="153"/>
      <c r="P57" s="153"/>
      <c r="Q57" s="153"/>
      <c r="R57" s="153"/>
      <c r="S57" s="153"/>
      <c r="V57" s="42"/>
      <c r="Z57" s="15"/>
    </row>
    <row r="58" spans="4:26" x14ac:dyDescent="0.4">
      <c r="F58" s="154"/>
      <c r="G58" s="45"/>
      <c r="H58" s="157"/>
      <c r="I58" s="45"/>
      <c r="J58" s="25"/>
      <c r="N58" s="26"/>
      <c r="O58" s="152"/>
      <c r="P58" s="153"/>
      <c r="Q58" s="153"/>
      <c r="R58" s="153"/>
      <c r="S58" s="153"/>
      <c r="V58" s="42"/>
      <c r="Z58" s="35"/>
    </row>
    <row r="59" spans="4:26" x14ac:dyDescent="0.4">
      <c r="F59" s="154"/>
      <c r="G59" s="45"/>
      <c r="H59" s="45"/>
      <c r="I59" s="45"/>
      <c r="J59" s="158"/>
      <c r="N59" s="26"/>
      <c r="O59" s="153"/>
      <c r="P59" s="153"/>
      <c r="Q59" s="153"/>
      <c r="R59" s="153"/>
      <c r="S59" s="153"/>
      <c r="U59" s="28"/>
      <c r="V59" s="42"/>
    </row>
    <row r="60" spans="4:26" x14ac:dyDescent="0.4">
      <c r="F60" s="154"/>
      <c r="G60" s="45"/>
      <c r="H60" s="45"/>
      <c r="I60" s="45"/>
      <c r="J60" s="158"/>
      <c r="N60" s="26"/>
      <c r="O60" s="152"/>
      <c r="P60" s="153"/>
      <c r="Q60" s="153"/>
      <c r="R60" s="153"/>
      <c r="S60" s="153"/>
    </row>
    <row r="61" spans="4:26" x14ac:dyDescent="0.4">
      <c r="F61" s="154"/>
      <c r="G61" s="45"/>
      <c r="H61" s="45"/>
      <c r="I61" s="45"/>
      <c r="J61" s="158"/>
      <c r="N61" s="26"/>
      <c r="U61" s="33"/>
      <c r="Z61" s="39"/>
    </row>
    <row r="62" spans="4:26" x14ac:dyDescent="0.4">
      <c r="F62" s="154"/>
      <c r="G62" s="45"/>
      <c r="H62" s="45"/>
      <c r="I62" s="45"/>
      <c r="J62" s="158"/>
      <c r="N62" s="26"/>
      <c r="U62" s="28"/>
      <c r="V62" s="42"/>
      <c r="Z62" s="39"/>
    </row>
    <row r="63" spans="4:26" x14ac:dyDescent="0.4">
      <c r="F63" s="45"/>
      <c r="G63" s="45"/>
      <c r="H63" s="45"/>
      <c r="I63" s="45"/>
      <c r="J63" s="158"/>
      <c r="N63" s="26"/>
      <c r="U63" s="28"/>
      <c r="V63" s="44"/>
      <c r="Z63" s="39"/>
    </row>
    <row r="64" spans="4:26" x14ac:dyDescent="0.4">
      <c r="F64" s="45"/>
      <c r="G64" s="45"/>
      <c r="H64" s="45"/>
      <c r="I64" s="45"/>
      <c r="J64" s="158"/>
      <c r="N64" s="26"/>
      <c r="U64" s="28"/>
      <c r="V64" s="42"/>
      <c r="Z64" s="39"/>
    </row>
    <row r="65" spans="4:26" x14ac:dyDescent="0.4">
      <c r="G65" s="45"/>
      <c r="H65" s="45"/>
      <c r="I65" s="45"/>
      <c r="J65" s="26"/>
      <c r="N65" s="26"/>
      <c r="U65" s="28"/>
      <c r="Y65" s="28"/>
      <c r="Z65" s="159"/>
    </row>
    <row r="66" spans="4:26" x14ac:dyDescent="0.4">
      <c r="G66" s="26"/>
      <c r="H66" s="45"/>
      <c r="I66" s="45"/>
      <c r="J66" s="26"/>
      <c r="N66" s="26"/>
      <c r="U66" s="28"/>
      <c r="V66" s="42"/>
    </row>
    <row r="67" spans="4:26" x14ac:dyDescent="0.4">
      <c r="G67" s="26"/>
      <c r="J67" s="26"/>
      <c r="N67" s="26"/>
      <c r="U67" s="28"/>
      <c r="V67" s="44"/>
      <c r="Y67" s="44"/>
    </row>
    <row r="68" spans="4:26" x14ac:dyDescent="0.4">
      <c r="G68" s="26"/>
      <c r="J68" s="26"/>
      <c r="N68" s="26"/>
      <c r="U68" s="28"/>
      <c r="V68" s="42"/>
      <c r="Y68" s="44"/>
    </row>
    <row r="69" spans="4:26" x14ac:dyDescent="0.4">
      <c r="E69" s="30"/>
      <c r="F69" s="30"/>
      <c r="G69" s="26"/>
      <c r="J69" s="26"/>
      <c r="N69" s="26"/>
      <c r="U69" s="28"/>
      <c r="V69" s="42"/>
    </row>
    <row r="70" spans="4:26" x14ac:dyDescent="0.4">
      <c r="D70" s="30"/>
      <c r="E70" s="37"/>
      <c r="F70" s="37"/>
      <c r="G70" s="45"/>
      <c r="J70" s="26"/>
      <c r="L70" s="30"/>
      <c r="M70" s="30"/>
      <c r="N70" s="26"/>
    </row>
    <row r="71" spans="4:26" x14ac:dyDescent="0.4">
      <c r="D71" s="30"/>
      <c r="E71" s="30"/>
      <c r="F71" s="160"/>
      <c r="G71" s="56"/>
      <c r="H71" s="30"/>
      <c r="I71" s="30"/>
      <c r="J71" s="45"/>
      <c r="K71" s="30"/>
      <c r="L71" s="30"/>
      <c r="M71" s="30"/>
      <c r="N71" s="26"/>
      <c r="U71" s="28"/>
      <c r="V71" s="42"/>
    </row>
    <row r="72" spans="4:26" x14ac:dyDescent="0.4">
      <c r="D72" s="30"/>
      <c r="E72" s="30"/>
      <c r="F72" s="160"/>
      <c r="G72" s="45"/>
      <c r="H72" s="30"/>
      <c r="I72" s="30"/>
      <c r="J72" s="56"/>
      <c r="K72" s="37"/>
      <c r="L72" s="30"/>
      <c r="M72" s="30"/>
      <c r="N72" s="26"/>
      <c r="U72" s="28"/>
      <c r="V72" s="42"/>
    </row>
    <row r="73" spans="4:26" x14ac:dyDescent="0.4">
      <c r="D73" s="30"/>
      <c r="E73" s="30"/>
      <c r="F73" s="160"/>
      <c r="G73" s="45"/>
      <c r="H73" s="30"/>
      <c r="I73" s="30"/>
      <c r="J73" s="56"/>
      <c r="K73" s="37"/>
      <c r="L73" s="30"/>
      <c r="M73" s="30"/>
      <c r="N73" s="26"/>
      <c r="U73" s="28"/>
      <c r="V73" s="42"/>
    </row>
    <row r="74" spans="4:26" x14ac:dyDescent="0.4">
      <c r="D74" s="30"/>
      <c r="E74" s="30"/>
      <c r="F74" s="160"/>
      <c r="G74" s="45"/>
      <c r="H74" s="30"/>
      <c r="I74" s="30"/>
      <c r="J74" s="56"/>
      <c r="K74" s="37"/>
      <c r="L74" s="160"/>
      <c r="M74" s="161"/>
      <c r="N74" s="26"/>
      <c r="U74" s="28"/>
      <c r="V74" s="42"/>
    </row>
    <row r="75" spans="4:26" x14ac:dyDescent="0.4">
      <c r="D75" s="30"/>
      <c r="E75" s="30"/>
      <c r="F75" s="30"/>
      <c r="G75" s="45"/>
      <c r="H75" s="30"/>
      <c r="I75" s="30"/>
      <c r="J75" s="45"/>
      <c r="K75" s="30"/>
      <c r="L75" s="160"/>
      <c r="M75" s="161"/>
      <c r="N75" s="26"/>
      <c r="U75" s="28"/>
      <c r="V75" s="42"/>
    </row>
    <row r="76" spans="4:26" x14ac:dyDescent="0.4">
      <c r="D76" s="30"/>
      <c r="E76" s="37"/>
      <c r="F76" s="30"/>
      <c r="G76" s="45"/>
      <c r="H76" s="30"/>
      <c r="I76" s="30"/>
      <c r="J76" s="45"/>
      <c r="K76" s="30"/>
      <c r="L76" s="160"/>
      <c r="M76" s="161"/>
      <c r="N76" s="26"/>
    </row>
    <row r="77" spans="4:26" x14ac:dyDescent="0.4">
      <c r="D77" s="30"/>
      <c r="E77" s="37"/>
      <c r="F77" s="161"/>
      <c r="G77" s="45"/>
      <c r="H77" s="30"/>
      <c r="I77" s="30"/>
      <c r="J77" s="45"/>
      <c r="K77" s="30"/>
      <c r="L77" s="160"/>
      <c r="M77" s="161"/>
      <c r="N77" s="26"/>
      <c r="U77" s="28"/>
      <c r="V77" s="42"/>
    </row>
    <row r="78" spans="4:26" x14ac:dyDescent="0.4">
      <c r="D78" s="30"/>
      <c r="E78" s="30"/>
      <c r="F78" s="161"/>
      <c r="G78" s="45"/>
      <c r="H78" s="45"/>
      <c r="I78" s="30"/>
      <c r="J78" s="45"/>
      <c r="K78" s="30"/>
      <c r="L78" s="160"/>
      <c r="M78" s="161"/>
      <c r="N78" s="26"/>
      <c r="U78" s="28"/>
      <c r="V78" s="42"/>
    </row>
    <row r="79" spans="4:26" x14ac:dyDescent="0.4">
      <c r="D79" s="30"/>
      <c r="E79" s="30"/>
      <c r="F79" s="161"/>
      <c r="G79" s="45"/>
      <c r="H79" s="30"/>
      <c r="I79" s="30"/>
      <c r="J79" s="45"/>
      <c r="K79" s="30"/>
      <c r="L79" s="160"/>
      <c r="M79" s="161"/>
      <c r="N79" s="26"/>
    </row>
    <row r="80" spans="4:26" x14ac:dyDescent="0.4">
      <c r="D80" s="30"/>
      <c r="E80" s="30"/>
      <c r="F80" s="161"/>
      <c r="G80" s="45"/>
      <c r="H80" s="30"/>
      <c r="I80" s="30"/>
      <c r="J80" s="45"/>
      <c r="K80" s="30"/>
      <c r="L80" s="160"/>
      <c r="M80" s="161"/>
      <c r="N80" s="26"/>
      <c r="U80" s="33"/>
    </row>
    <row r="81" spans="4:21" x14ac:dyDescent="0.4">
      <c r="D81" s="30"/>
      <c r="E81" s="30"/>
      <c r="F81" s="161"/>
      <c r="G81" s="45"/>
      <c r="H81" s="30"/>
      <c r="I81" s="30"/>
      <c r="J81" s="45"/>
      <c r="K81" s="30"/>
      <c r="L81" s="160"/>
      <c r="M81" s="161"/>
      <c r="N81" s="26"/>
      <c r="U81" s="28"/>
    </row>
    <row r="82" spans="4:21" x14ac:dyDescent="0.4">
      <c r="D82" s="30"/>
      <c r="E82" s="30"/>
      <c r="F82" s="161"/>
      <c r="G82" s="45"/>
      <c r="H82" s="30"/>
      <c r="I82" s="30"/>
      <c r="J82" s="45"/>
      <c r="K82" s="30"/>
      <c r="L82" s="160"/>
      <c r="M82" s="161"/>
      <c r="N82" s="26"/>
      <c r="U82" s="28"/>
    </row>
    <row r="83" spans="4:21" x14ac:dyDescent="0.4">
      <c r="D83" s="30"/>
      <c r="E83" s="30"/>
      <c r="F83" s="161"/>
      <c r="G83" s="45"/>
      <c r="H83" s="30"/>
      <c r="I83" s="30"/>
      <c r="J83" s="45"/>
      <c r="K83" s="30"/>
      <c r="L83" s="30"/>
      <c r="M83" s="161"/>
      <c r="N83" s="26"/>
      <c r="U83" s="28"/>
    </row>
    <row r="84" spans="4:21" x14ac:dyDescent="0.4">
      <c r="D84" s="30"/>
      <c r="E84" s="30"/>
      <c r="F84" s="161"/>
      <c r="G84" s="45"/>
      <c r="H84" s="30"/>
      <c r="I84" s="30"/>
      <c r="J84" s="45"/>
      <c r="K84" s="30"/>
      <c r="L84" s="30"/>
      <c r="M84" s="162"/>
      <c r="N84" s="26"/>
    </row>
    <row r="85" spans="4:21" x14ac:dyDescent="0.4">
      <c r="D85" s="30"/>
      <c r="E85" s="30"/>
      <c r="F85" s="161"/>
      <c r="G85" s="45"/>
      <c r="H85" s="30"/>
      <c r="I85" s="30"/>
      <c r="J85" s="45"/>
      <c r="K85" s="30"/>
      <c r="L85" s="30"/>
      <c r="M85" s="30"/>
      <c r="N85" s="26"/>
    </row>
    <row r="86" spans="4:21" x14ac:dyDescent="0.4">
      <c r="D86" s="30"/>
      <c r="E86" s="30"/>
      <c r="F86" s="161"/>
      <c r="G86" s="45"/>
      <c r="H86" s="30"/>
      <c r="I86" s="30"/>
      <c r="J86" s="45"/>
      <c r="K86" s="30"/>
      <c r="L86" s="30"/>
      <c r="M86" s="30"/>
      <c r="N86" s="26"/>
    </row>
    <row r="87" spans="4:21" x14ac:dyDescent="0.4">
      <c r="D87" s="30"/>
      <c r="E87" s="30"/>
      <c r="F87" s="161"/>
      <c r="G87" s="45"/>
      <c r="H87" s="30"/>
      <c r="I87" s="30"/>
      <c r="J87" s="45"/>
      <c r="K87" s="30"/>
      <c r="L87" s="30"/>
      <c r="M87" s="30"/>
      <c r="N87" s="26"/>
    </row>
    <row r="88" spans="4:21" x14ac:dyDescent="0.4">
      <c r="D88" s="30"/>
      <c r="E88" s="30"/>
      <c r="F88" s="161"/>
      <c r="G88" s="45"/>
      <c r="H88" s="30"/>
      <c r="I88" s="30"/>
      <c r="J88" s="45"/>
      <c r="K88" s="30"/>
      <c r="L88" s="30"/>
      <c r="M88" s="30"/>
      <c r="N88" s="26"/>
    </row>
    <row r="89" spans="4:21" x14ac:dyDescent="0.4">
      <c r="D89" s="30"/>
      <c r="E89" s="30"/>
      <c r="F89" s="161"/>
      <c r="G89" s="45"/>
      <c r="H89" s="30"/>
      <c r="I89" s="30"/>
      <c r="J89" s="45"/>
      <c r="K89" s="30"/>
      <c r="L89" s="30"/>
      <c r="M89" s="30"/>
      <c r="N89" s="26"/>
    </row>
    <row r="90" spans="4:21" x14ac:dyDescent="0.4">
      <c r="D90" s="30"/>
      <c r="E90" s="30"/>
      <c r="F90" s="161"/>
      <c r="G90" s="45"/>
      <c r="H90" s="30"/>
      <c r="I90" s="30"/>
      <c r="J90" s="45"/>
      <c r="K90" s="30"/>
      <c r="L90" s="30"/>
      <c r="M90" s="30"/>
      <c r="N90" s="26"/>
    </row>
    <row r="91" spans="4:21" x14ac:dyDescent="0.4">
      <c r="D91" s="30"/>
      <c r="E91" s="30"/>
      <c r="F91" s="161"/>
      <c r="G91" s="45"/>
      <c r="H91" s="30"/>
      <c r="I91" s="30"/>
      <c r="J91" s="45"/>
      <c r="K91" s="30"/>
      <c r="L91" s="30"/>
      <c r="M91" s="30"/>
      <c r="N91" s="26"/>
    </row>
    <row r="92" spans="4:21" x14ac:dyDescent="0.4">
      <c r="D92" s="30"/>
      <c r="E92" s="30"/>
      <c r="F92" s="161"/>
      <c r="G92" s="45"/>
      <c r="H92" s="30"/>
      <c r="I92" s="30"/>
      <c r="J92" s="45"/>
      <c r="K92" s="30"/>
      <c r="L92" s="30"/>
      <c r="M92" s="30"/>
      <c r="N92" s="26"/>
    </row>
    <row r="93" spans="4:21" x14ac:dyDescent="0.4">
      <c r="D93" s="30"/>
      <c r="E93" s="30"/>
      <c r="F93" s="161"/>
      <c r="G93" s="45"/>
      <c r="H93" s="30"/>
      <c r="I93" s="30"/>
      <c r="J93" s="45"/>
      <c r="K93" s="30"/>
      <c r="L93" s="30"/>
      <c r="M93" s="30"/>
      <c r="N93" s="26"/>
    </row>
    <row r="94" spans="4:21" x14ac:dyDescent="0.4">
      <c r="D94" s="30"/>
      <c r="E94" s="30"/>
      <c r="F94" s="161"/>
      <c r="G94" s="45"/>
      <c r="H94" s="30"/>
      <c r="I94" s="30"/>
      <c r="J94" s="45"/>
      <c r="K94" s="30"/>
      <c r="L94" s="30"/>
      <c r="M94" s="30"/>
      <c r="N94" s="26"/>
    </row>
    <row r="95" spans="4:21" x14ac:dyDescent="0.4">
      <c r="D95" s="30"/>
      <c r="E95" s="30"/>
      <c r="F95" s="161"/>
      <c r="G95" s="45"/>
      <c r="H95" s="30"/>
      <c r="I95" s="30"/>
      <c r="J95" s="45"/>
      <c r="K95" s="30"/>
      <c r="L95" s="30"/>
      <c r="M95" s="30"/>
      <c r="N95" s="26"/>
    </row>
    <row r="96" spans="4:21" x14ac:dyDescent="0.4">
      <c r="D96" s="30"/>
      <c r="E96" s="30"/>
      <c r="F96" s="161"/>
      <c r="G96" s="45"/>
      <c r="H96" s="30"/>
      <c r="I96" s="30"/>
      <c r="J96" s="45"/>
      <c r="K96" s="30"/>
      <c r="L96" s="30"/>
      <c r="M96" s="30"/>
      <c r="N96" s="26"/>
    </row>
    <row r="97" spans="4:14" x14ac:dyDescent="0.4">
      <c r="D97" s="30"/>
      <c r="E97" s="30"/>
      <c r="F97" s="161"/>
      <c r="G97" s="45"/>
      <c r="H97" s="30"/>
      <c r="I97" s="30"/>
      <c r="J97" s="45"/>
      <c r="K97" s="30"/>
      <c r="L97" s="30"/>
      <c r="M97" s="30"/>
      <c r="N97" s="26"/>
    </row>
    <row r="98" spans="4:14" x14ac:dyDescent="0.4">
      <c r="D98" s="30"/>
      <c r="E98" s="30"/>
      <c r="F98" s="161"/>
      <c r="G98" s="45"/>
      <c r="H98" s="30"/>
      <c r="I98" s="30"/>
      <c r="J98" s="45"/>
      <c r="K98" s="30"/>
      <c r="L98" s="30"/>
      <c r="M98" s="30"/>
      <c r="N98" s="26"/>
    </row>
    <row r="99" spans="4:14" x14ac:dyDescent="0.4">
      <c r="D99" s="30"/>
      <c r="E99" s="37"/>
      <c r="F99" s="161"/>
      <c r="G99" s="45"/>
      <c r="H99" s="30"/>
      <c r="I99" s="30"/>
      <c r="J99" s="45"/>
      <c r="K99" s="30"/>
      <c r="L99" s="30"/>
      <c r="M99" s="30"/>
      <c r="N99" s="26"/>
    </row>
    <row r="100" spans="4:14" x14ac:dyDescent="0.4">
      <c r="D100" s="30"/>
      <c r="E100" s="30"/>
      <c r="F100" s="161"/>
      <c r="G100" s="45"/>
      <c r="H100" s="30"/>
      <c r="I100" s="30"/>
      <c r="J100" s="45"/>
      <c r="K100" s="30"/>
      <c r="L100" s="30"/>
      <c r="M100" s="30"/>
      <c r="N100" s="26"/>
    </row>
    <row r="101" spans="4:14" x14ac:dyDescent="0.4">
      <c r="D101" s="30"/>
      <c r="E101" s="30"/>
      <c r="F101" s="161"/>
      <c r="G101" s="45"/>
      <c r="H101" s="30"/>
      <c r="I101" s="30"/>
      <c r="J101" s="45"/>
      <c r="K101" s="30"/>
      <c r="L101" s="30"/>
      <c r="M101" s="30"/>
      <c r="N101" s="26"/>
    </row>
    <row r="102" spans="4:14" x14ac:dyDescent="0.4">
      <c r="D102" s="30"/>
      <c r="E102" s="30"/>
      <c r="F102" s="161"/>
      <c r="G102" s="45"/>
      <c r="H102" s="30"/>
      <c r="I102" s="30"/>
      <c r="J102" s="45"/>
      <c r="K102" s="30"/>
      <c r="L102" s="30"/>
      <c r="M102" s="30"/>
      <c r="N102" s="26"/>
    </row>
    <row r="103" spans="4:14" x14ac:dyDescent="0.4">
      <c r="D103" s="30"/>
      <c r="E103" s="30"/>
      <c r="F103" s="161"/>
      <c r="G103" s="45"/>
      <c r="H103" s="30"/>
      <c r="I103" s="30"/>
      <c r="J103" s="45"/>
      <c r="K103" s="30"/>
      <c r="L103" s="30"/>
      <c r="M103" s="30"/>
      <c r="N103" s="26"/>
    </row>
    <row r="104" spans="4:14" x14ac:dyDescent="0.4">
      <c r="D104" s="30"/>
      <c r="E104" s="37"/>
      <c r="F104" s="161"/>
      <c r="G104" s="45"/>
      <c r="H104" s="30"/>
      <c r="I104" s="30"/>
      <c r="J104" s="45"/>
      <c r="K104" s="30"/>
      <c r="L104" s="30"/>
      <c r="M104" s="30"/>
      <c r="N104" s="26"/>
    </row>
    <row r="105" spans="4:14" x14ac:dyDescent="0.4">
      <c r="D105" s="30"/>
      <c r="E105" s="30"/>
      <c r="F105" s="161"/>
      <c r="G105" s="45"/>
      <c r="H105" s="30"/>
      <c r="I105" s="30"/>
      <c r="J105" s="45"/>
      <c r="K105" s="30"/>
      <c r="L105" s="30"/>
      <c r="M105" s="30"/>
      <c r="N105" s="26"/>
    </row>
    <row r="106" spans="4:14" x14ac:dyDescent="0.4">
      <c r="D106" s="30"/>
      <c r="E106" s="30"/>
      <c r="F106" s="161"/>
      <c r="G106" s="45"/>
      <c r="H106" s="30"/>
      <c r="I106" s="30"/>
      <c r="J106" s="45"/>
      <c r="K106" s="30"/>
      <c r="L106" s="30"/>
      <c r="M106" s="30"/>
      <c r="N106" s="26"/>
    </row>
    <row r="107" spans="4:14" x14ac:dyDescent="0.4">
      <c r="D107" s="30"/>
      <c r="E107" s="30"/>
      <c r="F107" s="161"/>
      <c r="G107" s="45"/>
      <c r="H107" s="30"/>
      <c r="I107" s="30"/>
      <c r="J107" s="45"/>
      <c r="K107" s="30"/>
      <c r="L107" s="30"/>
      <c r="M107" s="30"/>
      <c r="N107" s="26"/>
    </row>
    <row r="108" spans="4:14" x14ac:dyDescent="0.4">
      <c r="D108" s="30"/>
      <c r="E108" s="30"/>
      <c r="F108" s="161"/>
      <c r="G108" s="45"/>
      <c r="H108" s="30"/>
      <c r="I108" s="30"/>
      <c r="J108" s="45"/>
      <c r="K108" s="30"/>
      <c r="L108" s="30"/>
      <c r="M108" s="30"/>
      <c r="N108" s="26"/>
    </row>
    <row r="109" spans="4:14" x14ac:dyDescent="0.4">
      <c r="D109" s="30"/>
      <c r="E109" s="30"/>
      <c r="F109" s="161"/>
      <c r="G109" s="45"/>
      <c r="H109" s="30"/>
      <c r="I109" s="30"/>
      <c r="J109" s="45"/>
      <c r="K109" s="30"/>
      <c r="L109" s="30"/>
      <c r="M109" s="30"/>
      <c r="N109" s="26"/>
    </row>
    <row r="110" spans="4:14" x14ac:dyDescent="0.4">
      <c r="D110" s="30"/>
      <c r="E110" s="30"/>
      <c r="F110" s="161"/>
      <c r="G110" s="45"/>
      <c r="H110" s="30"/>
      <c r="I110" s="30"/>
      <c r="J110" s="45"/>
      <c r="K110" s="30"/>
      <c r="L110" s="30"/>
      <c r="M110" s="30"/>
      <c r="N110" s="26"/>
    </row>
    <row r="111" spans="4:14" x14ac:dyDescent="0.4">
      <c r="D111" s="30"/>
      <c r="E111" s="30"/>
      <c r="F111" s="161"/>
      <c r="G111" s="45"/>
      <c r="H111" s="30"/>
      <c r="I111" s="30"/>
      <c r="J111" s="45"/>
      <c r="K111" s="30"/>
      <c r="L111" s="30"/>
      <c r="M111" s="30"/>
      <c r="N111" s="26"/>
    </row>
    <row r="112" spans="4:14" x14ac:dyDescent="0.4">
      <c r="D112" s="30"/>
      <c r="E112" s="30"/>
      <c r="F112" s="30"/>
      <c r="G112" s="45"/>
      <c r="H112" s="30"/>
      <c r="I112" s="30"/>
      <c r="J112" s="45"/>
      <c r="K112" s="30"/>
      <c r="L112" s="30"/>
      <c r="M112" s="30"/>
      <c r="N112" s="26"/>
    </row>
    <row r="113" spans="4:14" x14ac:dyDescent="0.4">
      <c r="D113" s="30"/>
      <c r="E113" s="37"/>
      <c r="F113" s="30"/>
      <c r="G113" s="45"/>
      <c r="H113" s="30"/>
      <c r="I113" s="30"/>
      <c r="J113" s="45"/>
      <c r="K113" s="30"/>
      <c r="L113" s="30"/>
      <c r="M113" s="30"/>
      <c r="N113" s="26"/>
    </row>
    <row r="114" spans="4:14" x14ac:dyDescent="0.4">
      <c r="D114" s="30"/>
      <c r="E114" s="37"/>
      <c r="F114" s="37"/>
      <c r="G114" s="45"/>
      <c r="H114" s="30"/>
      <c r="I114" s="30"/>
      <c r="J114" s="45"/>
      <c r="K114" s="30"/>
      <c r="L114" s="30"/>
      <c r="M114" s="30"/>
      <c r="N114" s="26"/>
    </row>
    <row r="115" spans="4:14" x14ac:dyDescent="0.4">
      <c r="D115" s="30"/>
      <c r="E115" s="30"/>
      <c r="F115" s="161"/>
      <c r="G115" s="56"/>
      <c r="H115" s="30"/>
      <c r="I115" s="30"/>
      <c r="J115" s="45"/>
      <c r="K115" s="30"/>
      <c r="L115" s="30"/>
      <c r="M115" s="30"/>
      <c r="N115" s="26"/>
    </row>
    <row r="116" spans="4:14" x14ac:dyDescent="0.4">
      <c r="D116" s="30"/>
      <c r="E116" s="30"/>
      <c r="F116" s="161"/>
      <c r="G116" s="154"/>
      <c r="H116" s="30"/>
      <c r="I116" s="30"/>
      <c r="J116" s="45"/>
      <c r="K116" s="30"/>
      <c r="L116" s="30"/>
      <c r="M116" s="30"/>
      <c r="N116" s="26"/>
    </row>
    <row r="117" spans="4:14" x14ac:dyDescent="0.4">
      <c r="D117" s="30"/>
      <c r="E117" s="30"/>
      <c r="F117" s="161"/>
      <c r="G117" s="154"/>
      <c r="H117" s="30"/>
      <c r="I117" s="30"/>
      <c r="J117" s="45"/>
      <c r="K117" s="30"/>
      <c r="L117" s="30"/>
      <c r="M117" s="30"/>
      <c r="N117" s="26"/>
    </row>
    <row r="118" spans="4:14" x14ac:dyDescent="0.4">
      <c r="D118" s="30"/>
      <c r="E118" s="30"/>
      <c r="F118" s="161"/>
      <c r="G118" s="154"/>
      <c r="H118" s="30"/>
      <c r="I118" s="30"/>
      <c r="J118" s="45"/>
      <c r="K118" s="30"/>
      <c r="L118" s="30"/>
      <c r="M118" s="30"/>
      <c r="N118" s="26"/>
    </row>
    <row r="119" spans="4:14" x14ac:dyDescent="0.4">
      <c r="D119" s="30"/>
      <c r="E119" s="30"/>
      <c r="F119" s="161"/>
      <c r="G119" s="154"/>
      <c r="H119" s="30"/>
      <c r="I119" s="30"/>
      <c r="J119" s="45"/>
      <c r="K119" s="30"/>
      <c r="L119" s="30"/>
      <c r="M119" s="30"/>
      <c r="N119" s="26"/>
    </row>
    <row r="120" spans="4:14" x14ac:dyDescent="0.4">
      <c r="D120" s="30"/>
      <c r="E120" s="30"/>
      <c r="F120" s="161"/>
      <c r="G120" s="154"/>
      <c r="H120" s="30"/>
      <c r="I120" s="30"/>
      <c r="J120" s="45"/>
      <c r="K120" s="30"/>
      <c r="L120" s="30"/>
      <c r="M120" s="30"/>
      <c r="N120" s="26"/>
    </row>
    <row r="121" spans="4:14" x14ac:dyDescent="0.4">
      <c r="D121" s="30"/>
      <c r="E121" s="30"/>
      <c r="F121" s="161"/>
      <c r="G121" s="154"/>
      <c r="H121" s="30"/>
      <c r="I121" s="30"/>
      <c r="J121" s="45"/>
      <c r="K121" s="30"/>
      <c r="L121" s="30"/>
      <c r="M121" s="30"/>
      <c r="N121" s="26"/>
    </row>
    <row r="122" spans="4:14" x14ac:dyDescent="0.4">
      <c r="D122" s="30"/>
      <c r="E122" s="30"/>
      <c r="F122" s="161"/>
      <c r="G122" s="154"/>
      <c r="H122" s="30"/>
      <c r="I122" s="30"/>
      <c r="J122" s="45"/>
      <c r="K122" s="30"/>
      <c r="L122" s="30"/>
      <c r="M122" s="30"/>
      <c r="N122" s="26"/>
    </row>
    <row r="123" spans="4:14" x14ac:dyDescent="0.4">
      <c r="D123" s="30"/>
      <c r="G123" s="154"/>
      <c r="H123" s="30"/>
      <c r="I123" s="30"/>
      <c r="J123" s="45"/>
      <c r="K123" s="30"/>
      <c r="L123" s="30"/>
      <c r="M123" s="30"/>
      <c r="N123" s="26"/>
    </row>
    <row r="124" spans="4:14" x14ac:dyDescent="0.4">
      <c r="G124" s="26"/>
      <c r="H124" s="30"/>
      <c r="I124" s="30"/>
      <c r="J124" s="45"/>
      <c r="K124" s="30"/>
      <c r="N124" s="26"/>
    </row>
    <row r="125" spans="4:14" x14ac:dyDescent="0.4">
      <c r="G125" s="26"/>
      <c r="J125" s="26"/>
      <c r="N125" s="26"/>
    </row>
    <row r="126" spans="4:14" x14ac:dyDescent="0.4">
      <c r="G126" s="26"/>
      <c r="J126" s="26"/>
      <c r="N126" s="26"/>
    </row>
    <row r="127" spans="4:14" x14ac:dyDescent="0.4">
      <c r="G127" s="26"/>
      <c r="J127" s="26"/>
      <c r="N127" s="26"/>
    </row>
    <row r="128" spans="4:14" x14ac:dyDescent="0.4">
      <c r="G128" s="26"/>
      <c r="J128" s="26"/>
      <c r="N128" s="26"/>
    </row>
    <row r="129" spans="7:14" x14ac:dyDescent="0.4">
      <c r="G129" s="26"/>
      <c r="J129" s="26"/>
      <c r="N129" s="26"/>
    </row>
    <row r="130" spans="7:14" x14ac:dyDescent="0.4">
      <c r="G130" s="26"/>
      <c r="J130" s="26"/>
      <c r="N130" s="26"/>
    </row>
    <row r="131" spans="7:14" x14ac:dyDescent="0.4">
      <c r="G131" s="26"/>
      <c r="J131" s="26"/>
      <c r="N131" s="26"/>
    </row>
    <row r="132" spans="7:14" x14ac:dyDescent="0.4">
      <c r="G132" s="26"/>
      <c r="J132" s="26"/>
      <c r="N132" s="26"/>
    </row>
    <row r="133" spans="7:14" x14ac:dyDescent="0.4">
      <c r="G133" s="26"/>
      <c r="J133" s="26"/>
      <c r="N133" s="26"/>
    </row>
    <row r="134" spans="7:14" x14ac:dyDescent="0.4">
      <c r="G134" s="26"/>
      <c r="J134" s="26"/>
      <c r="N134" s="26"/>
    </row>
    <row r="135" spans="7:14" x14ac:dyDescent="0.4">
      <c r="G135" s="26"/>
      <c r="J135" s="26"/>
      <c r="N135" s="26"/>
    </row>
    <row r="136" spans="7:14" x14ac:dyDescent="0.4">
      <c r="G136" s="26"/>
      <c r="J136" s="26"/>
      <c r="N136" s="26"/>
    </row>
    <row r="137" spans="7:14" x14ac:dyDescent="0.4">
      <c r="G137" s="26"/>
      <c r="J137" s="26"/>
      <c r="N137" s="26"/>
    </row>
    <row r="138" spans="7:14" x14ac:dyDescent="0.4">
      <c r="G138" s="26"/>
      <c r="J138" s="26"/>
      <c r="N138" s="26"/>
    </row>
    <row r="139" spans="7:14" x14ac:dyDescent="0.4">
      <c r="G139" s="26"/>
      <c r="J139" s="26"/>
      <c r="N139" s="26"/>
    </row>
    <row r="140" spans="7:14" x14ac:dyDescent="0.4">
      <c r="G140" s="26"/>
      <c r="J140" s="26"/>
      <c r="N140" s="26"/>
    </row>
    <row r="141" spans="7:14" x14ac:dyDescent="0.4">
      <c r="G141" s="26"/>
      <c r="J141" s="26"/>
      <c r="N141" s="26"/>
    </row>
    <row r="142" spans="7:14" x14ac:dyDescent="0.4">
      <c r="G142" s="26"/>
      <c r="J142" s="26"/>
      <c r="N142" s="26"/>
    </row>
    <row r="143" spans="7:14" x14ac:dyDescent="0.4">
      <c r="G143" s="26"/>
      <c r="J143" s="26"/>
      <c r="N143" s="26"/>
    </row>
    <row r="144" spans="7:14" x14ac:dyDescent="0.4">
      <c r="G144" s="26"/>
      <c r="J144" s="26"/>
      <c r="N144" s="26"/>
    </row>
    <row r="145" spans="7:14" x14ac:dyDescent="0.4">
      <c r="G145" s="26"/>
      <c r="J145" s="26"/>
      <c r="N145" s="26"/>
    </row>
    <row r="146" spans="7:14" x14ac:dyDescent="0.4">
      <c r="G146" s="26"/>
      <c r="J146" s="26"/>
      <c r="N146" s="26"/>
    </row>
    <row r="147" spans="7:14" x14ac:dyDescent="0.4">
      <c r="G147" s="26"/>
      <c r="J147" s="26"/>
      <c r="N147" s="26"/>
    </row>
    <row r="148" spans="7:14" x14ac:dyDescent="0.4">
      <c r="G148" s="26"/>
      <c r="J148" s="26"/>
      <c r="N148" s="26"/>
    </row>
    <row r="149" spans="7:14" x14ac:dyDescent="0.4">
      <c r="G149" s="26"/>
      <c r="J149" s="26"/>
      <c r="N149" s="26"/>
    </row>
    <row r="150" spans="7:14" x14ac:dyDescent="0.4">
      <c r="G150" s="26"/>
      <c r="J150" s="26"/>
      <c r="N150" s="26"/>
    </row>
    <row r="151" spans="7:14" x14ac:dyDescent="0.4">
      <c r="G151" s="26"/>
      <c r="J151" s="26"/>
      <c r="N151" s="26"/>
    </row>
    <row r="152" spans="7:14" x14ac:dyDescent="0.4">
      <c r="G152" s="26"/>
      <c r="J152" s="26"/>
      <c r="N152" s="26"/>
    </row>
    <row r="153" spans="7:14" x14ac:dyDescent="0.4">
      <c r="G153" s="26"/>
      <c r="J153" s="26"/>
      <c r="N153" s="26"/>
    </row>
    <row r="154" spans="7:14" x14ac:dyDescent="0.4">
      <c r="G154" s="26"/>
      <c r="J154" s="26"/>
      <c r="N154" s="26"/>
    </row>
    <row r="155" spans="7:14" x14ac:dyDescent="0.4">
      <c r="G155" s="26"/>
      <c r="J155" s="26"/>
      <c r="N155" s="26"/>
    </row>
    <row r="156" spans="7:14" x14ac:dyDescent="0.4">
      <c r="G156" s="26"/>
      <c r="J156" s="26"/>
      <c r="N156" s="26"/>
    </row>
    <row r="157" spans="7:14" x14ac:dyDescent="0.4">
      <c r="G157" s="26"/>
      <c r="J157" s="26"/>
      <c r="N157" s="26"/>
    </row>
    <row r="158" spans="7:14" x14ac:dyDescent="0.4">
      <c r="J158" s="26"/>
      <c r="N158" s="26"/>
    </row>
    <row r="159" spans="7:14" x14ac:dyDescent="0.4">
      <c r="J159" s="26"/>
      <c r="N159" s="26"/>
    </row>
    <row r="160" spans="7:14" x14ac:dyDescent="0.4">
      <c r="J160" s="26"/>
      <c r="N160" s="26"/>
    </row>
    <row r="161" spans="10:14" x14ac:dyDescent="0.4">
      <c r="J161" s="26"/>
      <c r="N161" s="26"/>
    </row>
    <row r="162" spans="10:14" x14ac:dyDescent="0.4">
      <c r="J162" s="26"/>
      <c r="N162" s="26"/>
    </row>
    <row r="163" spans="10:14" x14ac:dyDescent="0.4">
      <c r="J163" s="26"/>
      <c r="N163" s="26"/>
    </row>
    <row r="164" spans="10:14" x14ac:dyDescent="0.4">
      <c r="J164" s="26"/>
      <c r="N164" s="26"/>
    </row>
    <row r="165" spans="10:14" x14ac:dyDescent="0.4">
      <c r="J165" s="26"/>
      <c r="N165" s="26"/>
    </row>
    <row r="166" spans="10:14" x14ac:dyDescent="0.4">
      <c r="J166" s="26"/>
      <c r="N166" s="26"/>
    </row>
    <row r="167" spans="10:14" x14ac:dyDescent="0.4">
      <c r="J167" s="26"/>
      <c r="N167" s="26"/>
    </row>
    <row r="168" spans="10:14" x14ac:dyDescent="0.4">
      <c r="J168" s="26"/>
      <c r="N168" s="26"/>
    </row>
    <row r="169" spans="10:14" x14ac:dyDescent="0.4">
      <c r="J169" s="26"/>
      <c r="N169" s="26"/>
    </row>
    <row r="170" spans="10:14" x14ac:dyDescent="0.4">
      <c r="J170" s="26"/>
      <c r="N170" s="26"/>
    </row>
    <row r="171" spans="10:14" x14ac:dyDescent="0.4">
      <c r="J171" s="26"/>
      <c r="N171" s="26"/>
    </row>
    <row r="172" spans="10:14" x14ac:dyDescent="0.4">
      <c r="J172" s="26"/>
      <c r="N172" s="26"/>
    </row>
    <row r="173" spans="10:14" x14ac:dyDescent="0.4">
      <c r="J173" s="26"/>
      <c r="N173" s="26"/>
    </row>
    <row r="174" spans="10:14" x14ac:dyDescent="0.4">
      <c r="J174" s="26"/>
      <c r="N174" s="26"/>
    </row>
    <row r="175" spans="10:14" x14ac:dyDescent="0.4">
      <c r="J175" s="26"/>
      <c r="N175" s="26"/>
    </row>
    <row r="176" spans="10:14" x14ac:dyDescent="0.4">
      <c r="J176" s="26"/>
      <c r="N176" s="26"/>
    </row>
    <row r="177" spans="10:14" x14ac:dyDescent="0.4">
      <c r="J177" s="26"/>
      <c r="N177" s="26"/>
    </row>
    <row r="178" spans="10:14" x14ac:dyDescent="0.4">
      <c r="J178" s="26"/>
      <c r="N178" s="26"/>
    </row>
    <row r="179" spans="10:14" x14ac:dyDescent="0.4">
      <c r="J179" s="26"/>
      <c r="N179" s="26"/>
    </row>
    <row r="180" spans="10:14" x14ac:dyDescent="0.4">
      <c r="J180" s="26"/>
      <c r="N180" s="26"/>
    </row>
    <row r="181" spans="10:14" x14ac:dyDescent="0.4">
      <c r="J181" s="26"/>
      <c r="N181" s="26"/>
    </row>
    <row r="182" spans="10:14" x14ac:dyDescent="0.4">
      <c r="J182" s="26"/>
      <c r="N182" s="26"/>
    </row>
    <row r="183" spans="10:14" x14ac:dyDescent="0.4">
      <c r="J183" s="26"/>
      <c r="N183" s="26"/>
    </row>
    <row r="184" spans="10:14" x14ac:dyDescent="0.4">
      <c r="J184" s="26"/>
      <c r="N184" s="26"/>
    </row>
    <row r="185" spans="10:14" x14ac:dyDescent="0.4">
      <c r="J185" s="26"/>
      <c r="N185" s="26"/>
    </row>
    <row r="186" spans="10:14" x14ac:dyDescent="0.4">
      <c r="J186" s="26"/>
      <c r="N186" s="26"/>
    </row>
    <row r="187" spans="10:14" x14ac:dyDescent="0.4">
      <c r="J187" s="26"/>
      <c r="N187" s="26"/>
    </row>
    <row r="188" spans="10:14" x14ac:dyDescent="0.4">
      <c r="J188" s="26"/>
      <c r="N188" s="26"/>
    </row>
    <row r="189" spans="10:14" x14ac:dyDescent="0.4">
      <c r="J189" s="26"/>
      <c r="N189" s="26"/>
    </row>
    <row r="190" spans="10:14" x14ac:dyDescent="0.4">
      <c r="J190" s="26"/>
      <c r="N190" s="26"/>
    </row>
    <row r="191" spans="10:14" x14ac:dyDescent="0.4">
      <c r="J191" s="26"/>
      <c r="N191" s="26"/>
    </row>
    <row r="192" spans="10:14" x14ac:dyDescent="0.4">
      <c r="J192" s="26"/>
      <c r="N192" s="26"/>
    </row>
    <row r="193" spans="10:14" x14ac:dyDescent="0.4">
      <c r="J193" s="26"/>
      <c r="N193" s="26"/>
    </row>
    <row r="194" spans="10:14" x14ac:dyDescent="0.4">
      <c r="J194" s="26"/>
      <c r="N194" s="26"/>
    </row>
    <row r="195" spans="10:14" x14ac:dyDescent="0.4">
      <c r="J195" s="26"/>
      <c r="N195" s="26"/>
    </row>
    <row r="196" spans="10:14" x14ac:dyDescent="0.4">
      <c r="J196" s="26"/>
      <c r="N196" s="26"/>
    </row>
    <row r="197" spans="10:14" x14ac:dyDescent="0.4">
      <c r="J197" s="26"/>
      <c r="N197" s="26"/>
    </row>
    <row r="198" spans="10:14" x14ac:dyDescent="0.4">
      <c r="J198" s="26"/>
      <c r="N198" s="26"/>
    </row>
    <row r="199" spans="10:14" x14ac:dyDescent="0.4">
      <c r="J199" s="26"/>
      <c r="N199" s="26"/>
    </row>
    <row r="200" spans="10:14" x14ac:dyDescent="0.4">
      <c r="J200" s="26"/>
      <c r="N200" s="26"/>
    </row>
    <row r="201" spans="10:14" x14ac:dyDescent="0.4">
      <c r="J201" s="26"/>
      <c r="N201" s="26"/>
    </row>
    <row r="202" spans="10:14" x14ac:dyDescent="0.4">
      <c r="J202" s="26"/>
      <c r="N202" s="26"/>
    </row>
    <row r="203" spans="10:14" x14ac:dyDescent="0.4">
      <c r="J203" s="26"/>
      <c r="N203" s="26"/>
    </row>
    <row r="204" spans="10:14" x14ac:dyDescent="0.4">
      <c r="J204" s="26"/>
      <c r="N204" s="26"/>
    </row>
    <row r="205" spans="10:14" x14ac:dyDescent="0.4">
      <c r="J205" s="26"/>
      <c r="N205" s="26"/>
    </row>
    <row r="206" spans="10:14" x14ac:dyDescent="0.4">
      <c r="J206" s="26"/>
      <c r="N206" s="26"/>
    </row>
    <row r="207" spans="10:14" x14ac:dyDescent="0.4">
      <c r="J207" s="26"/>
      <c r="N207" s="26"/>
    </row>
    <row r="208" spans="10:14" x14ac:dyDescent="0.4">
      <c r="J208" s="26"/>
      <c r="N208" s="26"/>
    </row>
    <row r="209" spans="10:14" x14ac:dyDescent="0.4">
      <c r="J209" s="26"/>
      <c r="N209" s="26"/>
    </row>
    <row r="210" spans="10:14" x14ac:dyDescent="0.4">
      <c r="J210" s="26"/>
      <c r="N210" s="26"/>
    </row>
    <row r="211" spans="10:14" x14ac:dyDescent="0.4">
      <c r="J211" s="26"/>
      <c r="N211" s="26"/>
    </row>
    <row r="212" spans="10:14" x14ac:dyDescent="0.4">
      <c r="J212" s="26"/>
      <c r="N212" s="26"/>
    </row>
    <row r="213" spans="10:14" x14ac:dyDescent="0.4">
      <c r="J213" s="26"/>
      <c r="N213" s="26"/>
    </row>
    <row r="214" spans="10:14" x14ac:dyDescent="0.4">
      <c r="J214" s="26"/>
      <c r="N214" s="26"/>
    </row>
    <row r="215" spans="10:14" x14ac:dyDescent="0.4">
      <c r="J215" s="26"/>
      <c r="N215" s="26"/>
    </row>
    <row r="216" spans="10:14" x14ac:dyDescent="0.4">
      <c r="J216" s="26"/>
      <c r="N216" s="26"/>
    </row>
    <row r="217" spans="10:14" x14ac:dyDescent="0.4">
      <c r="J217" s="26"/>
      <c r="N217" s="26"/>
    </row>
    <row r="218" spans="10:14" x14ac:dyDescent="0.4">
      <c r="J218" s="26"/>
      <c r="N218" s="26"/>
    </row>
    <row r="219" spans="10:14" x14ac:dyDescent="0.4">
      <c r="J219" s="26"/>
      <c r="N219" s="26"/>
    </row>
    <row r="220" spans="10:14" x14ac:dyDescent="0.4">
      <c r="J220" s="26"/>
      <c r="N220" s="26"/>
    </row>
    <row r="221" spans="10:14" x14ac:dyDescent="0.4">
      <c r="J221" s="26"/>
      <c r="N221" s="26"/>
    </row>
    <row r="222" spans="10:14" x14ac:dyDescent="0.4">
      <c r="J222" s="26"/>
      <c r="N222" s="26"/>
    </row>
    <row r="223" spans="10:14" x14ac:dyDescent="0.4">
      <c r="J223" s="26"/>
      <c r="N223" s="26"/>
    </row>
    <row r="224" spans="10:14" x14ac:dyDescent="0.4">
      <c r="J224" s="26"/>
      <c r="N224" s="26"/>
    </row>
    <row r="225" spans="10:14" x14ac:dyDescent="0.4">
      <c r="J225" s="26"/>
      <c r="N225" s="26"/>
    </row>
    <row r="226" spans="10:14" x14ac:dyDescent="0.4">
      <c r="J226" s="26"/>
      <c r="N226" s="26"/>
    </row>
    <row r="227" spans="10:14" x14ac:dyDescent="0.4">
      <c r="J227" s="26"/>
      <c r="N227" s="26"/>
    </row>
    <row r="228" spans="10:14" x14ac:dyDescent="0.4">
      <c r="J228" s="26"/>
      <c r="N228" s="26"/>
    </row>
    <row r="229" spans="10:14" x14ac:dyDescent="0.4">
      <c r="J229" s="26"/>
      <c r="N229" s="26"/>
    </row>
    <row r="230" spans="10:14" x14ac:dyDescent="0.4">
      <c r="J230" s="26"/>
      <c r="N230" s="26"/>
    </row>
    <row r="231" spans="10:14" x14ac:dyDescent="0.4">
      <c r="J231" s="26"/>
      <c r="N231" s="26"/>
    </row>
    <row r="232" spans="10:14" x14ac:dyDescent="0.4">
      <c r="J232" s="26"/>
      <c r="N232" s="26"/>
    </row>
    <row r="233" spans="10:14" x14ac:dyDescent="0.4">
      <c r="J233" s="26"/>
      <c r="N233" s="26"/>
    </row>
    <row r="234" spans="10:14" x14ac:dyDescent="0.4">
      <c r="J234" s="26"/>
      <c r="N234" s="26"/>
    </row>
    <row r="235" spans="10:14" x14ac:dyDescent="0.4">
      <c r="J235" s="26"/>
      <c r="N235" s="26"/>
    </row>
    <row r="236" spans="10:14" x14ac:dyDescent="0.4">
      <c r="J236" s="26"/>
      <c r="N236" s="26"/>
    </row>
    <row r="237" spans="10:14" x14ac:dyDescent="0.4">
      <c r="J237" s="26"/>
      <c r="N237" s="26"/>
    </row>
    <row r="238" spans="10:14" x14ac:dyDescent="0.4">
      <c r="J238" s="26"/>
      <c r="N238" s="26"/>
    </row>
    <row r="239" spans="10:14" x14ac:dyDescent="0.4">
      <c r="J239" s="26"/>
      <c r="N239" s="26"/>
    </row>
    <row r="240" spans="10:14" x14ac:dyDescent="0.4">
      <c r="J240" s="26"/>
      <c r="N240" s="26"/>
    </row>
    <row r="241" spans="10:14" x14ac:dyDescent="0.4">
      <c r="J241" s="26"/>
      <c r="N241" s="26"/>
    </row>
    <row r="242" spans="10:14" x14ac:dyDescent="0.4">
      <c r="J242" s="26"/>
      <c r="N242" s="26"/>
    </row>
    <row r="243" spans="10:14" x14ac:dyDescent="0.4">
      <c r="J243" s="26"/>
      <c r="N243" s="26"/>
    </row>
    <row r="244" spans="10:14" x14ac:dyDescent="0.4">
      <c r="J244" s="26"/>
      <c r="N244" s="26"/>
    </row>
    <row r="245" spans="10:14" x14ac:dyDescent="0.4">
      <c r="J245" s="26"/>
      <c r="N245" s="26"/>
    </row>
    <row r="246" spans="10:14" x14ac:dyDescent="0.4">
      <c r="J246" s="26"/>
      <c r="N246" s="26"/>
    </row>
    <row r="247" spans="10:14" x14ac:dyDescent="0.4">
      <c r="J247" s="26"/>
      <c r="N247" s="26"/>
    </row>
    <row r="248" spans="10:14" x14ac:dyDescent="0.4">
      <c r="J248" s="26"/>
      <c r="N248" s="26"/>
    </row>
    <row r="249" spans="10:14" x14ac:dyDescent="0.4">
      <c r="J249" s="26"/>
      <c r="N249" s="26"/>
    </row>
    <row r="250" spans="10:14" x14ac:dyDescent="0.4">
      <c r="J250" s="26"/>
      <c r="N250" s="26"/>
    </row>
    <row r="251" spans="10:14" x14ac:dyDescent="0.4">
      <c r="J251" s="26"/>
      <c r="N251" s="26"/>
    </row>
    <row r="252" spans="10:14" x14ac:dyDescent="0.4">
      <c r="J252" s="26"/>
      <c r="N252" s="26"/>
    </row>
    <row r="253" spans="10:14" x14ac:dyDescent="0.4">
      <c r="J253" s="26"/>
      <c r="N253" s="26"/>
    </row>
    <row r="254" spans="10:14" x14ac:dyDescent="0.4">
      <c r="J254" s="26"/>
      <c r="N254" s="26"/>
    </row>
    <row r="255" spans="10:14" x14ac:dyDescent="0.4">
      <c r="J255" s="26"/>
      <c r="N255" s="26"/>
    </row>
    <row r="256" spans="10:14" x14ac:dyDescent="0.4">
      <c r="J256" s="26"/>
      <c r="N256" s="26"/>
    </row>
    <row r="257" spans="10:14" x14ac:dyDescent="0.4">
      <c r="J257" s="26"/>
      <c r="N257" s="26"/>
    </row>
    <row r="258" spans="10:14" x14ac:dyDescent="0.4">
      <c r="J258" s="26"/>
      <c r="N258" s="26"/>
    </row>
    <row r="259" spans="10:14" x14ac:dyDescent="0.4">
      <c r="J259" s="26"/>
      <c r="N259" s="26"/>
    </row>
    <row r="260" spans="10:14" x14ac:dyDescent="0.4">
      <c r="J260" s="26"/>
      <c r="N260" s="26"/>
    </row>
    <row r="261" spans="10:14" x14ac:dyDescent="0.4">
      <c r="J261" s="26"/>
      <c r="N261" s="26"/>
    </row>
    <row r="262" spans="10:14" x14ac:dyDescent="0.4">
      <c r="J262" s="26"/>
      <c r="N262" s="26"/>
    </row>
    <row r="263" spans="10:14" x14ac:dyDescent="0.4">
      <c r="J263" s="26"/>
      <c r="N263" s="26"/>
    </row>
    <row r="264" spans="10:14" x14ac:dyDescent="0.4">
      <c r="J264" s="26"/>
      <c r="N264" s="26"/>
    </row>
    <row r="265" spans="10:14" x14ac:dyDescent="0.4">
      <c r="J265" s="26"/>
      <c r="N265" s="26"/>
    </row>
    <row r="266" spans="10:14" x14ac:dyDescent="0.4">
      <c r="J266" s="26"/>
      <c r="N266" s="26"/>
    </row>
    <row r="267" spans="10:14" x14ac:dyDescent="0.4">
      <c r="J267" s="26"/>
      <c r="N267" s="26"/>
    </row>
    <row r="268" spans="10:14" x14ac:dyDescent="0.4">
      <c r="J268" s="26"/>
      <c r="N268" s="26"/>
    </row>
    <row r="269" spans="10:14" x14ac:dyDescent="0.4">
      <c r="J269" s="26"/>
      <c r="N269" s="26"/>
    </row>
    <row r="270" spans="10:14" x14ac:dyDescent="0.4">
      <c r="J270" s="26"/>
      <c r="N270" s="26"/>
    </row>
    <row r="271" spans="10:14" x14ac:dyDescent="0.4">
      <c r="J271" s="26"/>
      <c r="N271" s="26"/>
    </row>
    <row r="272" spans="10:14" x14ac:dyDescent="0.4">
      <c r="J272" s="26"/>
      <c r="N272" s="26"/>
    </row>
    <row r="273" spans="10:14" x14ac:dyDescent="0.4">
      <c r="J273" s="26"/>
      <c r="N273" s="26"/>
    </row>
    <row r="274" spans="10:14" x14ac:dyDescent="0.4">
      <c r="J274" s="26"/>
      <c r="N274" s="26"/>
    </row>
    <row r="275" spans="10:14" x14ac:dyDescent="0.4">
      <c r="J275" s="26"/>
      <c r="N275" s="26"/>
    </row>
    <row r="276" spans="10:14" x14ac:dyDescent="0.4">
      <c r="J276" s="26"/>
      <c r="N276" s="26"/>
    </row>
    <row r="277" spans="10:14" x14ac:dyDescent="0.4">
      <c r="J277" s="26"/>
      <c r="N277" s="26"/>
    </row>
    <row r="278" spans="10:14" x14ac:dyDescent="0.4">
      <c r="J278" s="26"/>
      <c r="N278" s="26"/>
    </row>
    <row r="279" spans="10:14" x14ac:dyDescent="0.4">
      <c r="J279" s="26"/>
      <c r="N279" s="26"/>
    </row>
    <row r="280" spans="10:14" x14ac:dyDescent="0.4">
      <c r="J280" s="26"/>
      <c r="N280" s="26"/>
    </row>
    <row r="281" spans="10:14" x14ac:dyDescent="0.4">
      <c r="J281" s="26"/>
      <c r="N281" s="26"/>
    </row>
    <row r="282" spans="10:14" x14ac:dyDescent="0.4">
      <c r="J282" s="26"/>
      <c r="N282" s="26"/>
    </row>
    <row r="283" spans="10:14" x14ac:dyDescent="0.4">
      <c r="J283" s="26"/>
      <c r="N283" s="26"/>
    </row>
    <row r="284" spans="10:14" x14ac:dyDescent="0.4">
      <c r="J284" s="26"/>
      <c r="N284" s="26"/>
    </row>
    <row r="285" spans="10:14" x14ac:dyDescent="0.4">
      <c r="J285" s="26"/>
      <c r="N285" s="26"/>
    </row>
    <row r="286" spans="10:14" x14ac:dyDescent="0.4">
      <c r="J286" s="26"/>
      <c r="N286" s="26"/>
    </row>
    <row r="287" spans="10:14" x14ac:dyDescent="0.4">
      <c r="J287" s="26"/>
      <c r="N287" s="26"/>
    </row>
    <row r="288" spans="10:14" x14ac:dyDescent="0.4">
      <c r="J288" s="26"/>
      <c r="N288" s="26"/>
    </row>
    <row r="289" spans="10:14" x14ac:dyDescent="0.4">
      <c r="J289" s="26"/>
      <c r="N289" s="26"/>
    </row>
    <row r="290" spans="10:14" x14ac:dyDescent="0.4">
      <c r="J290" s="26"/>
      <c r="N290" s="26"/>
    </row>
    <row r="291" spans="10:14" x14ac:dyDescent="0.4">
      <c r="J291" s="26"/>
      <c r="N291" s="26"/>
    </row>
    <row r="292" spans="10:14" x14ac:dyDescent="0.4">
      <c r="J292" s="26"/>
      <c r="N292" s="26"/>
    </row>
    <row r="293" spans="10:14" x14ac:dyDescent="0.4">
      <c r="J293" s="26"/>
      <c r="N293" s="26"/>
    </row>
    <row r="294" spans="10:14" x14ac:dyDescent="0.4">
      <c r="J294" s="26"/>
      <c r="N294" s="26"/>
    </row>
    <row r="295" spans="10:14" x14ac:dyDescent="0.4">
      <c r="J295" s="26"/>
      <c r="N295" s="26"/>
    </row>
    <row r="296" spans="10:14" x14ac:dyDescent="0.4">
      <c r="J296" s="26"/>
      <c r="N296" s="26"/>
    </row>
    <row r="297" spans="10:14" x14ac:dyDescent="0.4">
      <c r="J297" s="26"/>
      <c r="N297" s="26"/>
    </row>
    <row r="298" spans="10:14" x14ac:dyDescent="0.4">
      <c r="J298" s="26"/>
      <c r="N298" s="26"/>
    </row>
    <row r="299" spans="10:14" x14ac:dyDescent="0.4">
      <c r="J299" s="26"/>
      <c r="N299" s="26"/>
    </row>
    <row r="300" spans="10:14" x14ac:dyDescent="0.4">
      <c r="J300" s="26"/>
      <c r="N300" s="26"/>
    </row>
    <row r="301" spans="10:14" x14ac:dyDescent="0.4">
      <c r="J301" s="26"/>
      <c r="N301" s="26"/>
    </row>
    <row r="302" spans="10:14" x14ac:dyDescent="0.4">
      <c r="J302" s="26"/>
      <c r="N302" s="26"/>
    </row>
    <row r="303" spans="10:14" x14ac:dyDescent="0.4">
      <c r="J303" s="26"/>
      <c r="N303" s="26"/>
    </row>
    <row r="304" spans="10:14" x14ac:dyDescent="0.4">
      <c r="J304" s="26"/>
      <c r="N304" s="26"/>
    </row>
    <row r="305" spans="10:14" x14ac:dyDescent="0.4">
      <c r="J305" s="26"/>
      <c r="N305" s="26"/>
    </row>
    <row r="306" spans="10:14" x14ac:dyDescent="0.4">
      <c r="J306" s="26"/>
      <c r="N306" s="26"/>
    </row>
    <row r="307" spans="10:14" x14ac:dyDescent="0.4">
      <c r="J307" s="26"/>
      <c r="N307" s="26"/>
    </row>
    <row r="308" spans="10:14" x14ac:dyDescent="0.4">
      <c r="J308" s="26"/>
      <c r="N308" s="26"/>
    </row>
    <row r="309" spans="10:14" x14ac:dyDescent="0.4">
      <c r="J309" s="26"/>
      <c r="N309" s="26"/>
    </row>
    <row r="310" spans="10:14" x14ac:dyDescent="0.4">
      <c r="J310" s="26"/>
      <c r="N310" s="26"/>
    </row>
    <row r="311" spans="10:14" x14ac:dyDescent="0.4">
      <c r="J311" s="26"/>
      <c r="N311" s="26"/>
    </row>
    <row r="312" spans="10:14" x14ac:dyDescent="0.4">
      <c r="J312" s="26"/>
      <c r="N312" s="26"/>
    </row>
    <row r="313" spans="10:14" x14ac:dyDescent="0.4">
      <c r="J313" s="26"/>
      <c r="N313" s="26"/>
    </row>
    <row r="314" spans="10:14" x14ac:dyDescent="0.4">
      <c r="J314" s="26"/>
      <c r="N314" s="26"/>
    </row>
    <row r="315" spans="10:14" x14ac:dyDescent="0.4">
      <c r="J315" s="26"/>
      <c r="N315" s="26"/>
    </row>
    <row r="316" spans="10:14" x14ac:dyDescent="0.4">
      <c r="J316" s="26"/>
      <c r="N316" s="26"/>
    </row>
    <row r="317" spans="10:14" x14ac:dyDescent="0.4">
      <c r="J317" s="26"/>
      <c r="N317" s="26"/>
    </row>
    <row r="318" spans="10:14" x14ac:dyDescent="0.4">
      <c r="J318" s="26"/>
      <c r="N318" s="26"/>
    </row>
    <row r="319" spans="10:14" x14ac:dyDescent="0.4">
      <c r="J319" s="26"/>
      <c r="N319" s="26"/>
    </row>
    <row r="320" spans="10:14" x14ac:dyDescent="0.4">
      <c r="J320" s="26"/>
      <c r="N320" s="26"/>
    </row>
    <row r="321" spans="10:14" x14ac:dyDescent="0.4">
      <c r="J321" s="26"/>
      <c r="N321" s="26"/>
    </row>
    <row r="322" spans="10:14" x14ac:dyDescent="0.4">
      <c r="J322" s="26"/>
      <c r="N322" s="26"/>
    </row>
    <row r="323" spans="10:14" x14ac:dyDescent="0.4">
      <c r="J323" s="26"/>
      <c r="N323" s="26"/>
    </row>
    <row r="324" spans="10:14" x14ac:dyDescent="0.4">
      <c r="J324" s="26"/>
      <c r="N324" s="26"/>
    </row>
    <row r="325" spans="10:14" x14ac:dyDescent="0.4">
      <c r="J325" s="26"/>
      <c r="N325" s="26"/>
    </row>
    <row r="326" spans="10:14" x14ac:dyDescent="0.4">
      <c r="J326" s="26"/>
      <c r="N326" s="26"/>
    </row>
    <row r="327" spans="10:14" x14ac:dyDescent="0.4">
      <c r="J327" s="26"/>
      <c r="N327" s="26"/>
    </row>
    <row r="328" spans="10:14" x14ac:dyDescent="0.4">
      <c r="J328" s="26"/>
      <c r="N328" s="26"/>
    </row>
    <row r="329" spans="10:14" x14ac:dyDescent="0.4">
      <c r="J329" s="26"/>
      <c r="N329" s="26"/>
    </row>
    <row r="330" spans="10:14" x14ac:dyDescent="0.4">
      <c r="J330" s="26"/>
      <c r="N330" s="26"/>
    </row>
    <row r="331" spans="10:14" x14ac:dyDescent="0.4">
      <c r="J331" s="26"/>
      <c r="N331" s="26"/>
    </row>
    <row r="332" spans="10:14" x14ac:dyDescent="0.4">
      <c r="J332" s="26"/>
      <c r="N332" s="26"/>
    </row>
    <row r="333" spans="10:14" x14ac:dyDescent="0.4">
      <c r="J333" s="26"/>
      <c r="N333" s="26"/>
    </row>
    <row r="334" spans="10:14" x14ac:dyDescent="0.4">
      <c r="J334" s="26"/>
      <c r="N334" s="26"/>
    </row>
    <row r="335" spans="10:14" x14ac:dyDescent="0.4">
      <c r="J335" s="26"/>
      <c r="N335" s="26"/>
    </row>
    <row r="336" spans="10:14" x14ac:dyDescent="0.4">
      <c r="J336" s="26"/>
      <c r="N336" s="26"/>
    </row>
    <row r="337" spans="10:14" x14ac:dyDescent="0.4">
      <c r="J337" s="26"/>
      <c r="N337" s="26"/>
    </row>
    <row r="338" spans="10:14" x14ac:dyDescent="0.4">
      <c r="J338" s="26"/>
      <c r="N338" s="26"/>
    </row>
    <row r="339" spans="10:14" x14ac:dyDescent="0.4">
      <c r="J339" s="26"/>
      <c r="N339" s="26"/>
    </row>
    <row r="340" spans="10:14" x14ac:dyDescent="0.4">
      <c r="J340" s="26"/>
      <c r="N340" s="26"/>
    </row>
    <row r="341" spans="10:14" x14ac:dyDescent="0.4">
      <c r="J341" s="26"/>
      <c r="N341" s="26"/>
    </row>
    <row r="342" spans="10:14" x14ac:dyDescent="0.4">
      <c r="J342" s="26"/>
      <c r="N342" s="26"/>
    </row>
    <row r="343" spans="10:14" x14ac:dyDescent="0.4">
      <c r="J343" s="26"/>
      <c r="N343" s="26"/>
    </row>
    <row r="344" spans="10:14" x14ac:dyDescent="0.4">
      <c r="J344" s="26"/>
      <c r="N344" s="26"/>
    </row>
    <row r="345" spans="10:14" x14ac:dyDescent="0.4">
      <c r="J345" s="26"/>
      <c r="N345" s="26"/>
    </row>
    <row r="346" spans="10:14" x14ac:dyDescent="0.4">
      <c r="J346" s="26"/>
      <c r="N346" s="26"/>
    </row>
    <row r="347" spans="10:14" x14ac:dyDescent="0.4">
      <c r="J347" s="26"/>
      <c r="N347" s="26"/>
    </row>
    <row r="348" spans="10:14" x14ac:dyDescent="0.4">
      <c r="J348" s="26"/>
      <c r="N348" s="26"/>
    </row>
    <row r="349" spans="10:14" x14ac:dyDescent="0.4">
      <c r="J349" s="26"/>
      <c r="N349" s="26"/>
    </row>
    <row r="350" spans="10:14" x14ac:dyDescent="0.4">
      <c r="J350" s="26"/>
      <c r="N350" s="26"/>
    </row>
    <row r="351" spans="10:14" x14ac:dyDescent="0.4">
      <c r="J351" s="26"/>
      <c r="N351" s="26"/>
    </row>
    <row r="352" spans="10:14" x14ac:dyDescent="0.4">
      <c r="J352" s="26"/>
      <c r="N352" s="26"/>
    </row>
    <row r="353" spans="10:14" x14ac:dyDescent="0.4">
      <c r="J353" s="26"/>
      <c r="N353" s="26"/>
    </row>
    <row r="354" spans="10:14" x14ac:dyDescent="0.4">
      <c r="J354" s="26"/>
      <c r="N354" s="26"/>
    </row>
    <row r="355" spans="10:14" x14ac:dyDescent="0.4">
      <c r="J355" s="26"/>
      <c r="N355" s="26"/>
    </row>
    <row r="356" spans="10:14" x14ac:dyDescent="0.4">
      <c r="J356" s="26"/>
      <c r="N356" s="26"/>
    </row>
    <row r="357" spans="10:14" x14ac:dyDescent="0.4">
      <c r="J357" s="26"/>
      <c r="N357" s="26"/>
    </row>
    <row r="358" spans="10:14" x14ac:dyDescent="0.4">
      <c r="J358" s="26"/>
      <c r="N358" s="26"/>
    </row>
    <row r="359" spans="10:14" x14ac:dyDescent="0.4">
      <c r="J359" s="26"/>
      <c r="N359" s="26"/>
    </row>
    <row r="360" spans="10:14" x14ac:dyDescent="0.4">
      <c r="J360" s="26"/>
      <c r="N360" s="26"/>
    </row>
    <row r="361" spans="10:14" x14ac:dyDescent="0.4">
      <c r="J361" s="26"/>
      <c r="N361" s="26"/>
    </row>
    <row r="362" spans="10:14" x14ac:dyDescent="0.4">
      <c r="J362" s="26"/>
      <c r="N362" s="26"/>
    </row>
    <row r="363" spans="10:14" x14ac:dyDescent="0.4">
      <c r="J363" s="26"/>
      <c r="N363" s="26"/>
    </row>
    <row r="364" spans="10:14" x14ac:dyDescent="0.4">
      <c r="J364" s="26"/>
      <c r="N364" s="26"/>
    </row>
    <row r="365" spans="10:14" x14ac:dyDescent="0.4">
      <c r="J365" s="26"/>
      <c r="N365" s="26"/>
    </row>
    <row r="366" spans="10:14" x14ac:dyDescent="0.4">
      <c r="J366" s="26"/>
      <c r="N366" s="26"/>
    </row>
    <row r="367" spans="10:14" x14ac:dyDescent="0.4">
      <c r="J367" s="26"/>
      <c r="N367" s="26"/>
    </row>
    <row r="368" spans="10:14" x14ac:dyDescent="0.4">
      <c r="J368" s="26"/>
      <c r="N368" s="26"/>
    </row>
    <row r="369" spans="10:14" x14ac:dyDescent="0.4">
      <c r="J369" s="26"/>
      <c r="N369" s="26"/>
    </row>
    <row r="370" spans="10:14" x14ac:dyDescent="0.4">
      <c r="J370" s="26"/>
      <c r="N370" s="26"/>
    </row>
    <row r="371" spans="10:14" x14ac:dyDescent="0.4">
      <c r="J371" s="26"/>
      <c r="N371" s="26"/>
    </row>
    <row r="372" spans="10:14" x14ac:dyDescent="0.4">
      <c r="J372" s="26"/>
      <c r="N372" s="26"/>
    </row>
    <row r="373" spans="10:14" x14ac:dyDescent="0.4">
      <c r="J373" s="26"/>
      <c r="N373" s="26"/>
    </row>
    <row r="374" spans="10:14" x14ac:dyDescent="0.4">
      <c r="J374" s="26"/>
      <c r="N374" s="26"/>
    </row>
    <row r="375" spans="10:14" x14ac:dyDescent="0.4">
      <c r="J375" s="26"/>
      <c r="N375" s="26"/>
    </row>
    <row r="376" spans="10:14" x14ac:dyDescent="0.4">
      <c r="J376" s="26"/>
      <c r="N376" s="26"/>
    </row>
    <row r="377" spans="10:14" x14ac:dyDescent="0.4">
      <c r="J377" s="26"/>
      <c r="N377" s="26"/>
    </row>
    <row r="378" spans="10:14" x14ac:dyDescent="0.4">
      <c r="J378" s="26"/>
      <c r="N378" s="26"/>
    </row>
    <row r="379" spans="10:14" x14ac:dyDescent="0.4">
      <c r="J379" s="26"/>
      <c r="N379" s="26"/>
    </row>
    <row r="380" spans="10:14" x14ac:dyDescent="0.4">
      <c r="J380" s="26"/>
      <c r="N380" s="26"/>
    </row>
    <row r="381" spans="10:14" x14ac:dyDescent="0.4">
      <c r="J381" s="26"/>
      <c r="N381" s="26"/>
    </row>
    <row r="382" spans="10:14" x14ac:dyDescent="0.4">
      <c r="J382" s="26"/>
      <c r="N382" s="26"/>
    </row>
    <row r="383" spans="10:14" x14ac:dyDescent="0.4">
      <c r="J383" s="26"/>
      <c r="N383" s="26"/>
    </row>
    <row r="384" spans="10:14" x14ac:dyDescent="0.4">
      <c r="J384" s="26"/>
      <c r="N384" s="26"/>
    </row>
    <row r="385" spans="10:14" x14ac:dyDescent="0.4">
      <c r="J385" s="26"/>
      <c r="N385" s="26"/>
    </row>
    <row r="386" spans="10:14" x14ac:dyDescent="0.4">
      <c r="J386" s="26"/>
      <c r="N386" s="26"/>
    </row>
    <row r="387" spans="10:14" x14ac:dyDescent="0.4">
      <c r="J387" s="26"/>
      <c r="N387" s="26"/>
    </row>
    <row r="388" spans="10:14" x14ac:dyDescent="0.4">
      <c r="J388" s="26"/>
      <c r="N388" s="26"/>
    </row>
    <row r="389" spans="10:14" x14ac:dyDescent="0.4">
      <c r="J389" s="26"/>
      <c r="N389" s="26"/>
    </row>
    <row r="390" spans="10:14" x14ac:dyDescent="0.4">
      <c r="J390" s="26"/>
      <c r="N390" s="26"/>
    </row>
    <row r="391" spans="10:14" x14ac:dyDescent="0.4">
      <c r="J391" s="26"/>
      <c r="N391" s="26"/>
    </row>
    <row r="392" spans="10:14" x14ac:dyDescent="0.4">
      <c r="J392" s="26"/>
      <c r="N392" s="26"/>
    </row>
    <row r="393" spans="10:14" x14ac:dyDescent="0.4">
      <c r="J393" s="26"/>
      <c r="N393" s="26"/>
    </row>
    <row r="394" spans="10:14" x14ac:dyDescent="0.4">
      <c r="J394" s="26"/>
      <c r="N394" s="26"/>
    </row>
    <row r="395" spans="10:14" x14ac:dyDescent="0.4">
      <c r="J395" s="26"/>
      <c r="N395" s="26"/>
    </row>
    <row r="396" spans="10:14" x14ac:dyDescent="0.4">
      <c r="J396" s="26"/>
      <c r="N396" s="26"/>
    </row>
    <row r="397" spans="10:14" x14ac:dyDescent="0.4">
      <c r="J397" s="26"/>
      <c r="N397" s="26"/>
    </row>
    <row r="398" spans="10:14" x14ac:dyDescent="0.4">
      <c r="J398" s="26"/>
      <c r="N398" s="26"/>
    </row>
    <row r="399" spans="10:14" x14ac:dyDescent="0.4">
      <c r="J399" s="26"/>
      <c r="N399" s="26"/>
    </row>
    <row r="400" spans="10:14" x14ac:dyDescent="0.4">
      <c r="J400" s="26"/>
      <c r="N400" s="26"/>
    </row>
    <row r="401" spans="10:14" x14ac:dyDescent="0.4">
      <c r="J401" s="26"/>
      <c r="N401" s="26"/>
    </row>
    <row r="402" spans="10:14" x14ac:dyDescent="0.4">
      <c r="J402" s="26"/>
      <c r="N402" s="26"/>
    </row>
    <row r="403" spans="10:14" x14ac:dyDescent="0.4">
      <c r="J403" s="26"/>
      <c r="N403" s="26"/>
    </row>
    <row r="404" spans="10:14" x14ac:dyDescent="0.4">
      <c r="J404" s="26"/>
      <c r="N404" s="26"/>
    </row>
    <row r="405" spans="10:14" x14ac:dyDescent="0.4">
      <c r="J405" s="26"/>
      <c r="N405" s="26"/>
    </row>
    <row r="406" spans="10:14" x14ac:dyDescent="0.4">
      <c r="J406" s="26"/>
      <c r="N406" s="26"/>
    </row>
    <row r="407" spans="10:14" x14ac:dyDescent="0.4">
      <c r="J407" s="26"/>
      <c r="N407" s="26"/>
    </row>
    <row r="408" spans="10:14" x14ac:dyDescent="0.4">
      <c r="J408" s="26"/>
      <c r="N408" s="26"/>
    </row>
    <row r="409" spans="10:14" x14ac:dyDescent="0.4">
      <c r="J409" s="26"/>
      <c r="N409" s="26"/>
    </row>
    <row r="410" spans="10:14" x14ac:dyDescent="0.4">
      <c r="J410" s="26"/>
      <c r="N410" s="26"/>
    </row>
    <row r="411" spans="10:14" x14ac:dyDescent="0.4">
      <c r="J411" s="26"/>
      <c r="N411" s="26"/>
    </row>
    <row r="412" spans="10:14" x14ac:dyDescent="0.4">
      <c r="J412" s="26"/>
      <c r="N412" s="26"/>
    </row>
    <row r="413" spans="10:14" x14ac:dyDescent="0.4">
      <c r="J413" s="26"/>
      <c r="N413" s="26"/>
    </row>
    <row r="414" spans="10:14" x14ac:dyDescent="0.4">
      <c r="J414" s="26"/>
      <c r="N414" s="26"/>
    </row>
    <row r="415" spans="10:14" x14ac:dyDescent="0.4">
      <c r="J415" s="26"/>
      <c r="N415" s="26"/>
    </row>
    <row r="416" spans="10:14" x14ac:dyDescent="0.4">
      <c r="J416" s="26"/>
      <c r="N416" s="26"/>
    </row>
    <row r="417" spans="10:14" x14ac:dyDescent="0.4">
      <c r="J417" s="26"/>
      <c r="N417" s="26"/>
    </row>
    <row r="418" spans="10:14" x14ac:dyDescent="0.4">
      <c r="J418" s="26"/>
      <c r="N418" s="26"/>
    </row>
    <row r="419" spans="10:14" x14ac:dyDescent="0.4">
      <c r="J419" s="26"/>
      <c r="N419" s="26"/>
    </row>
    <row r="420" spans="10:14" x14ac:dyDescent="0.4">
      <c r="J420" s="26"/>
      <c r="N420" s="26"/>
    </row>
    <row r="421" spans="10:14" x14ac:dyDescent="0.4">
      <c r="J421" s="26"/>
      <c r="N421" s="26"/>
    </row>
    <row r="422" spans="10:14" x14ac:dyDescent="0.4">
      <c r="J422" s="26"/>
      <c r="N422" s="26"/>
    </row>
    <row r="423" spans="10:14" x14ac:dyDescent="0.4">
      <c r="J423" s="26"/>
      <c r="N423" s="26"/>
    </row>
    <row r="424" spans="10:14" x14ac:dyDescent="0.4">
      <c r="J424" s="26"/>
      <c r="N424" s="26"/>
    </row>
    <row r="425" spans="10:14" x14ac:dyDescent="0.4">
      <c r="J425" s="26"/>
      <c r="N425" s="26"/>
    </row>
    <row r="426" spans="10:14" x14ac:dyDescent="0.4">
      <c r="J426" s="26"/>
      <c r="N426" s="26"/>
    </row>
    <row r="427" spans="10:14" x14ac:dyDescent="0.4">
      <c r="J427" s="26"/>
      <c r="N427" s="26"/>
    </row>
    <row r="428" spans="10:14" x14ac:dyDescent="0.4">
      <c r="J428" s="26"/>
      <c r="N428" s="26"/>
    </row>
    <row r="429" spans="10:14" x14ac:dyDescent="0.4">
      <c r="J429" s="26"/>
      <c r="N429" s="26"/>
    </row>
    <row r="430" spans="10:14" x14ac:dyDescent="0.4">
      <c r="J430" s="26"/>
      <c r="N430" s="26"/>
    </row>
    <row r="431" spans="10:14" x14ac:dyDescent="0.4">
      <c r="J431" s="26"/>
      <c r="N431" s="26"/>
    </row>
    <row r="432" spans="10:14" x14ac:dyDescent="0.4">
      <c r="J432" s="26"/>
      <c r="N432" s="26"/>
    </row>
    <row r="433" spans="10:14" x14ac:dyDescent="0.4">
      <c r="J433" s="26"/>
      <c r="N433" s="26"/>
    </row>
    <row r="434" spans="10:14" x14ac:dyDescent="0.4">
      <c r="J434" s="26"/>
      <c r="N434" s="26"/>
    </row>
    <row r="435" spans="10:14" x14ac:dyDescent="0.4">
      <c r="J435" s="26"/>
      <c r="N435" s="26"/>
    </row>
    <row r="436" spans="10:14" x14ac:dyDescent="0.4">
      <c r="J436" s="26"/>
      <c r="N436" s="26"/>
    </row>
    <row r="437" spans="10:14" x14ac:dyDescent="0.4">
      <c r="J437" s="26"/>
      <c r="N437" s="26"/>
    </row>
    <row r="438" spans="10:14" x14ac:dyDescent="0.4">
      <c r="J438" s="26"/>
      <c r="N438" s="26"/>
    </row>
    <row r="439" spans="10:14" x14ac:dyDescent="0.4">
      <c r="J439" s="26"/>
      <c r="N439" s="26"/>
    </row>
    <row r="440" spans="10:14" x14ac:dyDescent="0.4">
      <c r="J440" s="26"/>
      <c r="N440" s="26"/>
    </row>
    <row r="441" spans="10:14" x14ac:dyDescent="0.4">
      <c r="J441" s="26"/>
      <c r="N441" s="26"/>
    </row>
    <row r="442" spans="10:14" x14ac:dyDescent="0.4">
      <c r="J442" s="26"/>
      <c r="N442" s="26"/>
    </row>
    <row r="443" spans="10:14" x14ac:dyDescent="0.4">
      <c r="J443" s="26"/>
      <c r="N443" s="26"/>
    </row>
    <row r="444" spans="10:14" x14ac:dyDescent="0.4">
      <c r="J444" s="26"/>
      <c r="N444" s="26"/>
    </row>
    <row r="445" spans="10:14" x14ac:dyDescent="0.4">
      <c r="J445" s="26"/>
      <c r="N445" s="26"/>
    </row>
    <row r="446" spans="10:14" x14ac:dyDescent="0.4">
      <c r="J446" s="26"/>
      <c r="N446" s="26"/>
    </row>
    <row r="447" spans="10:14" x14ac:dyDescent="0.4">
      <c r="J447" s="26"/>
      <c r="N447" s="26"/>
    </row>
    <row r="448" spans="10:14" x14ac:dyDescent="0.4">
      <c r="J448" s="26"/>
      <c r="N448" s="26"/>
    </row>
    <row r="449" spans="10:14" x14ac:dyDescent="0.4">
      <c r="J449" s="26"/>
      <c r="N449" s="26"/>
    </row>
    <row r="450" spans="10:14" x14ac:dyDescent="0.4">
      <c r="J450" s="26"/>
      <c r="N450" s="26"/>
    </row>
    <row r="451" spans="10:14" x14ac:dyDescent="0.4">
      <c r="J451" s="26"/>
      <c r="N451" s="26"/>
    </row>
    <row r="452" spans="10:14" x14ac:dyDescent="0.4">
      <c r="J452" s="26"/>
      <c r="N452" s="26"/>
    </row>
    <row r="453" spans="10:14" x14ac:dyDescent="0.4">
      <c r="J453" s="26"/>
      <c r="N453" s="26"/>
    </row>
    <row r="454" spans="10:14" x14ac:dyDescent="0.4">
      <c r="J454" s="26"/>
      <c r="N454" s="26"/>
    </row>
    <row r="455" spans="10:14" x14ac:dyDescent="0.4">
      <c r="J455" s="26"/>
      <c r="N455" s="26"/>
    </row>
    <row r="456" spans="10:14" x14ac:dyDescent="0.4">
      <c r="J456" s="26"/>
      <c r="N456" s="26"/>
    </row>
    <row r="457" spans="10:14" x14ac:dyDescent="0.4">
      <c r="J457" s="26"/>
      <c r="N457" s="26"/>
    </row>
    <row r="458" spans="10:14" x14ac:dyDescent="0.4">
      <c r="J458" s="26"/>
      <c r="N458" s="26"/>
    </row>
    <row r="459" spans="10:14" x14ac:dyDescent="0.4">
      <c r="J459" s="26"/>
      <c r="N459" s="26"/>
    </row>
    <row r="460" spans="10:14" x14ac:dyDescent="0.4">
      <c r="J460" s="26"/>
      <c r="N460" s="26"/>
    </row>
    <row r="461" spans="10:14" x14ac:dyDescent="0.4">
      <c r="J461" s="26"/>
      <c r="N461" s="26"/>
    </row>
    <row r="462" spans="10:14" x14ac:dyDescent="0.4">
      <c r="J462" s="26"/>
      <c r="N462" s="26"/>
    </row>
    <row r="463" spans="10:14" x14ac:dyDescent="0.4">
      <c r="J463" s="26"/>
      <c r="N463" s="26"/>
    </row>
    <row r="464" spans="10:14" x14ac:dyDescent="0.4">
      <c r="J464" s="26"/>
      <c r="N464" s="26"/>
    </row>
    <row r="465" spans="10:14" x14ac:dyDescent="0.4">
      <c r="J465" s="26"/>
      <c r="N465" s="26"/>
    </row>
    <row r="466" spans="10:14" x14ac:dyDescent="0.4">
      <c r="J466" s="26"/>
      <c r="N466" s="26"/>
    </row>
    <row r="467" spans="10:14" x14ac:dyDescent="0.4">
      <c r="J467" s="26"/>
      <c r="N467" s="26"/>
    </row>
    <row r="468" spans="10:14" x14ac:dyDescent="0.4">
      <c r="J468" s="26"/>
      <c r="N468" s="26"/>
    </row>
    <row r="469" spans="10:14" x14ac:dyDescent="0.4">
      <c r="J469" s="26"/>
      <c r="N469" s="26"/>
    </row>
    <row r="470" spans="10:14" x14ac:dyDescent="0.4">
      <c r="J470" s="26"/>
      <c r="N470" s="26"/>
    </row>
    <row r="471" spans="10:14" x14ac:dyDescent="0.4">
      <c r="J471" s="26"/>
      <c r="N471" s="26"/>
    </row>
    <row r="472" spans="10:14" x14ac:dyDescent="0.4">
      <c r="J472" s="26"/>
      <c r="N472" s="26"/>
    </row>
    <row r="473" spans="10:14" x14ac:dyDescent="0.4">
      <c r="J473" s="26"/>
      <c r="N473" s="26"/>
    </row>
    <row r="474" spans="10:14" x14ac:dyDescent="0.4">
      <c r="J474" s="26"/>
      <c r="N474" s="26"/>
    </row>
    <row r="475" spans="10:14" x14ac:dyDescent="0.4">
      <c r="J475" s="26"/>
      <c r="N475" s="26"/>
    </row>
    <row r="476" spans="10:14" x14ac:dyDescent="0.4">
      <c r="J476" s="26"/>
      <c r="N476" s="26"/>
    </row>
    <row r="477" spans="10:14" x14ac:dyDescent="0.4">
      <c r="J477" s="26"/>
      <c r="N477" s="26"/>
    </row>
    <row r="478" spans="10:14" x14ac:dyDescent="0.4">
      <c r="J478" s="26"/>
      <c r="N478" s="26"/>
    </row>
    <row r="479" spans="10:14" x14ac:dyDescent="0.4">
      <c r="J479" s="26"/>
      <c r="N479" s="26"/>
    </row>
    <row r="480" spans="10:14" x14ac:dyDescent="0.4">
      <c r="J480" s="26"/>
      <c r="N480" s="26"/>
    </row>
    <row r="481" spans="10:14" x14ac:dyDescent="0.4">
      <c r="J481" s="26"/>
      <c r="N481" s="26"/>
    </row>
    <row r="482" spans="10:14" x14ac:dyDescent="0.4">
      <c r="J482" s="26"/>
      <c r="N482" s="26"/>
    </row>
    <row r="483" spans="10:14" x14ac:dyDescent="0.4">
      <c r="J483" s="26"/>
      <c r="N483" s="26"/>
    </row>
    <row r="484" spans="10:14" x14ac:dyDescent="0.4">
      <c r="J484" s="26"/>
      <c r="N484" s="26"/>
    </row>
    <row r="485" spans="10:14" x14ac:dyDescent="0.4">
      <c r="J485" s="26"/>
      <c r="N485" s="26"/>
    </row>
    <row r="486" spans="10:14" x14ac:dyDescent="0.4">
      <c r="J486" s="26"/>
      <c r="N486" s="26"/>
    </row>
    <row r="487" spans="10:14" x14ac:dyDescent="0.4">
      <c r="J487" s="26"/>
      <c r="N487" s="26"/>
    </row>
    <row r="488" spans="10:14" x14ac:dyDescent="0.4">
      <c r="J488" s="26"/>
      <c r="N488" s="26"/>
    </row>
    <row r="489" spans="10:14" x14ac:dyDescent="0.4">
      <c r="J489" s="26"/>
      <c r="N489" s="26"/>
    </row>
    <row r="490" spans="10:14" x14ac:dyDescent="0.4">
      <c r="J490" s="26"/>
      <c r="N490" s="26"/>
    </row>
    <row r="491" spans="10:14" x14ac:dyDescent="0.4">
      <c r="J491" s="26"/>
      <c r="N491" s="26"/>
    </row>
    <row r="492" spans="10:14" x14ac:dyDescent="0.4">
      <c r="J492" s="26"/>
      <c r="N492" s="26"/>
    </row>
    <row r="493" spans="10:14" x14ac:dyDescent="0.4">
      <c r="J493" s="26"/>
      <c r="N493" s="26"/>
    </row>
    <row r="494" spans="10:14" x14ac:dyDescent="0.4">
      <c r="J494" s="26"/>
      <c r="N494" s="26"/>
    </row>
    <row r="495" spans="10:14" x14ac:dyDescent="0.4">
      <c r="J495" s="26"/>
      <c r="N495" s="26"/>
    </row>
    <row r="496" spans="10:14" x14ac:dyDescent="0.4">
      <c r="J496" s="26"/>
      <c r="N496" s="26"/>
    </row>
    <row r="497" spans="10:14" x14ac:dyDescent="0.4">
      <c r="J497" s="26"/>
      <c r="N497" s="26"/>
    </row>
    <row r="498" spans="10:14" x14ac:dyDescent="0.4">
      <c r="J498" s="26"/>
      <c r="N498" s="26"/>
    </row>
    <row r="499" spans="10:14" x14ac:dyDescent="0.4">
      <c r="J499" s="26"/>
      <c r="N499" s="26"/>
    </row>
    <row r="500" spans="10:14" x14ac:dyDescent="0.4">
      <c r="J500" s="26"/>
      <c r="N500" s="26"/>
    </row>
    <row r="501" spans="10:14" x14ac:dyDescent="0.4">
      <c r="J501" s="26"/>
      <c r="N501" s="26"/>
    </row>
    <row r="502" spans="10:14" x14ac:dyDescent="0.4">
      <c r="J502" s="26"/>
      <c r="N502" s="26"/>
    </row>
    <row r="503" spans="10:14" x14ac:dyDescent="0.4">
      <c r="J503" s="26"/>
      <c r="N503" s="26"/>
    </row>
    <row r="504" spans="10:14" x14ac:dyDescent="0.4">
      <c r="J504" s="26"/>
      <c r="N504" s="26"/>
    </row>
    <row r="505" spans="10:14" x14ac:dyDescent="0.4">
      <c r="J505" s="26"/>
      <c r="N505" s="26"/>
    </row>
    <row r="506" spans="10:14" x14ac:dyDescent="0.4">
      <c r="J506" s="26"/>
      <c r="N506" s="26"/>
    </row>
    <row r="507" spans="10:14" x14ac:dyDescent="0.4">
      <c r="J507" s="26"/>
      <c r="N507" s="26"/>
    </row>
    <row r="508" spans="10:14" x14ac:dyDescent="0.4">
      <c r="J508" s="26"/>
      <c r="N508" s="26"/>
    </row>
    <row r="509" spans="10:14" x14ac:dyDescent="0.4">
      <c r="J509" s="26"/>
      <c r="N509" s="26"/>
    </row>
    <row r="510" spans="10:14" x14ac:dyDescent="0.4">
      <c r="J510" s="26"/>
      <c r="N510" s="26"/>
    </row>
    <row r="511" spans="10:14" x14ac:dyDescent="0.4">
      <c r="J511" s="26"/>
      <c r="N511" s="26"/>
    </row>
    <row r="512" spans="10:14" x14ac:dyDescent="0.4">
      <c r="J512" s="26"/>
      <c r="N512" s="26"/>
    </row>
    <row r="513" spans="10:14" x14ac:dyDescent="0.4">
      <c r="J513" s="26"/>
      <c r="N513" s="26"/>
    </row>
    <row r="514" spans="10:14" x14ac:dyDescent="0.4">
      <c r="J514" s="26"/>
      <c r="N514" s="26"/>
    </row>
    <row r="515" spans="10:14" x14ac:dyDescent="0.4">
      <c r="J515" s="26"/>
      <c r="N515" s="26"/>
    </row>
    <row r="516" spans="10:14" x14ac:dyDescent="0.4">
      <c r="J516" s="26"/>
      <c r="N516" s="26"/>
    </row>
    <row r="517" spans="10:14" x14ac:dyDescent="0.4">
      <c r="J517" s="26"/>
      <c r="N517" s="26"/>
    </row>
    <row r="518" spans="10:14" x14ac:dyDescent="0.4">
      <c r="J518" s="26"/>
      <c r="N518" s="26"/>
    </row>
    <row r="519" spans="10:14" x14ac:dyDescent="0.4">
      <c r="J519" s="26"/>
      <c r="N519" s="26"/>
    </row>
    <row r="520" spans="10:14" x14ac:dyDescent="0.4">
      <c r="J520" s="26"/>
      <c r="N520" s="26"/>
    </row>
    <row r="521" spans="10:14" x14ac:dyDescent="0.4">
      <c r="J521" s="26"/>
      <c r="N521" s="26"/>
    </row>
    <row r="522" spans="10:14" x14ac:dyDescent="0.4">
      <c r="J522" s="26"/>
      <c r="N522" s="26"/>
    </row>
    <row r="523" spans="10:14" x14ac:dyDescent="0.4">
      <c r="J523" s="26"/>
      <c r="N523" s="26"/>
    </row>
    <row r="524" spans="10:14" x14ac:dyDescent="0.4">
      <c r="J524" s="26"/>
      <c r="N524" s="26"/>
    </row>
    <row r="525" spans="10:14" x14ac:dyDescent="0.4">
      <c r="J525" s="26"/>
      <c r="N525" s="26"/>
    </row>
    <row r="526" spans="10:14" x14ac:dyDescent="0.4">
      <c r="J526" s="26"/>
      <c r="N526" s="26"/>
    </row>
    <row r="527" spans="10:14" x14ac:dyDescent="0.4">
      <c r="J527" s="26"/>
      <c r="N527" s="26"/>
    </row>
    <row r="528" spans="10:14" x14ac:dyDescent="0.4">
      <c r="J528" s="26"/>
      <c r="N528" s="26"/>
    </row>
    <row r="529" spans="10:14" x14ac:dyDescent="0.4">
      <c r="J529" s="26"/>
      <c r="N529" s="26"/>
    </row>
    <row r="530" spans="10:14" x14ac:dyDescent="0.4">
      <c r="J530" s="26"/>
      <c r="N530" s="26"/>
    </row>
    <row r="531" spans="10:14" x14ac:dyDescent="0.4">
      <c r="J531" s="26"/>
      <c r="N531" s="26"/>
    </row>
    <row r="532" spans="10:14" x14ac:dyDescent="0.4">
      <c r="J532" s="26"/>
      <c r="N532" s="26"/>
    </row>
    <row r="533" spans="10:14" x14ac:dyDescent="0.4">
      <c r="J533" s="26"/>
      <c r="N533" s="26"/>
    </row>
    <row r="534" spans="10:14" x14ac:dyDescent="0.4">
      <c r="J534" s="26"/>
      <c r="N534" s="26"/>
    </row>
    <row r="535" spans="10:14" x14ac:dyDescent="0.4">
      <c r="J535" s="26"/>
      <c r="N535" s="26"/>
    </row>
    <row r="536" spans="10:14" x14ac:dyDescent="0.4">
      <c r="J536" s="26"/>
      <c r="N536" s="26"/>
    </row>
    <row r="537" spans="10:14" x14ac:dyDescent="0.4">
      <c r="J537" s="26"/>
      <c r="N537" s="26"/>
    </row>
    <row r="538" spans="10:14" x14ac:dyDescent="0.4">
      <c r="J538" s="26"/>
      <c r="N538" s="26"/>
    </row>
    <row r="539" spans="10:14" x14ac:dyDescent="0.4">
      <c r="J539" s="26"/>
      <c r="N539" s="26"/>
    </row>
    <row r="540" spans="10:14" x14ac:dyDescent="0.4">
      <c r="J540" s="26"/>
      <c r="N540" s="26"/>
    </row>
    <row r="541" spans="10:14" x14ac:dyDescent="0.4">
      <c r="J541" s="26"/>
      <c r="N541" s="26"/>
    </row>
    <row r="542" spans="10:14" x14ac:dyDescent="0.4">
      <c r="J542" s="26"/>
      <c r="N542" s="26"/>
    </row>
    <row r="543" spans="10:14" x14ac:dyDescent="0.4">
      <c r="J543" s="26"/>
      <c r="N543" s="26"/>
    </row>
    <row r="544" spans="10:14" x14ac:dyDescent="0.4">
      <c r="J544" s="26"/>
      <c r="N544" s="26"/>
    </row>
    <row r="545" spans="10:14" x14ac:dyDescent="0.4">
      <c r="J545" s="26"/>
      <c r="N545" s="26"/>
    </row>
    <row r="546" spans="10:14" x14ac:dyDescent="0.4">
      <c r="J546" s="26"/>
      <c r="N546" s="26"/>
    </row>
    <row r="547" spans="10:14" x14ac:dyDescent="0.4">
      <c r="J547" s="26"/>
      <c r="N547" s="26"/>
    </row>
    <row r="548" spans="10:14" x14ac:dyDescent="0.4">
      <c r="J548" s="26"/>
      <c r="N548" s="26"/>
    </row>
    <row r="549" spans="10:14" x14ac:dyDescent="0.4">
      <c r="J549" s="26"/>
      <c r="N549" s="26"/>
    </row>
    <row r="550" spans="10:14" x14ac:dyDescent="0.4">
      <c r="J550" s="26"/>
      <c r="N550" s="26"/>
    </row>
    <row r="551" spans="10:14" x14ac:dyDescent="0.4">
      <c r="J551" s="26"/>
      <c r="N551" s="26"/>
    </row>
    <row r="552" spans="10:14" x14ac:dyDescent="0.4">
      <c r="J552" s="26"/>
      <c r="N552" s="26"/>
    </row>
    <row r="553" spans="10:14" x14ac:dyDescent="0.4">
      <c r="J553" s="26"/>
      <c r="N553" s="26"/>
    </row>
    <row r="554" spans="10:14" x14ac:dyDescent="0.4">
      <c r="J554" s="26"/>
      <c r="N554" s="26"/>
    </row>
    <row r="555" spans="10:14" x14ac:dyDescent="0.4">
      <c r="J555" s="26"/>
      <c r="N555" s="26"/>
    </row>
    <row r="556" spans="10:14" x14ac:dyDescent="0.4">
      <c r="J556" s="26"/>
      <c r="N556" s="26"/>
    </row>
    <row r="557" spans="10:14" x14ac:dyDescent="0.4">
      <c r="J557" s="26"/>
      <c r="N557" s="26"/>
    </row>
    <row r="558" spans="10:14" x14ac:dyDescent="0.4">
      <c r="J558" s="26"/>
      <c r="N558" s="26"/>
    </row>
    <row r="559" spans="10:14" x14ac:dyDescent="0.4">
      <c r="J559" s="26"/>
      <c r="N559" s="26"/>
    </row>
    <row r="560" spans="10:14" x14ac:dyDescent="0.4">
      <c r="J560" s="26"/>
      <c r="N560" s="26"/>
    </row>
    <row r="561" spans="10:14" x14ac:dyDescent="0.4">
      <c r="J561" s="26"/>
      <c r="N561" s="26"/>
    </row>
    <row r="562" spans="10:14" x14ac:dyDescent="0.4">
      <c r="J562" s="26"/>
      <c r="N562" s="26"/>
    </row>
    <row r="563" spans="10:14" x14ac:dyDescent="0.4">
      <c r="J563" s="26"/>
      <c r="N563" s="26"/>
    </row>
    <row r="564" spans="10:14" x14ac:dyDescent="0.4">
      <c r="J564" s="26"/>
      <c r="N564" s="26"/>
    </row>
    <row r="565" spans="10:14" x14ac:dyDescent="0.4">
      <c r="J565" s="26"/>
      <c r="N565" s="26"/>
    </row>
    <row r="566" spans="10:14" x14ac:dyDescent="0.4">
      <c r="J566" s="26"/>
      <c r="N566" s="26"/>
    </row>
    <row r="567" spans="10:14" x14ac:dyDescent="0.4">
      <c r="J567" s="26"/>
      <c r="N567" s="26"/>
    </row>
    <row r="568" spans="10:14" x14ac:dyDescent="0.4">
      <c r="J568" s="26"/>
      <c r="N568" s="26"/>
    </row>
    <row r="569" spans="10:14" x14ac:dyDescent="0.4">
      <c r="J569" s="26"/>
      <c r="N569" s="26"/>
    </row>
    <row r="570" spans="10:14" x14ac:dyDescent="0.4">
      <c r="J570" s="26"/>
      <c r="N570" s="26"/>
    </row>
    <row r="571" spans="10:14" x14ac:dyDescent="0.4">
      <c r="J571" s="26"/>
      <c r="N571" s="26"/>
    </row>
    <row r="572" spans="10:14" x14ac:dyDescent="0.4">
      <c r="J572" s="26"/>
      <c r="N572" s="26"/>
    </row>
    <row r="573" spans="10:14" x14ac:dyDescent="0.4">
      <c r="J573" s="26"/>
      <c r="N573" s="26"/>
    </row>
    <row r="574" spans="10:14" x14ac:dyDescent="0.4">
      <c r="J574" s="26"/>
      <c r="N574" s="26"/>
    </row>
    <row r="575" spans="10:14" x14ac:dyDescent="0.4">
      <c r="J575" s="26"/>
      <c r="N575" s="26"/>
    </row>
    <row r="576" spans="10:14" x14ac:dyDescent="0.4">
      <c r="J576" s="26"/>
      <c r="N576" s="26"/>
    </row>
    <row r="577" spans="10:14" x14ac:dyDescent="0.4">
      <c r="J577" s="26"/>
      <c r="N577" s="26"/>
    </row>
    <row r="578" spans="10:14" x14ac:dyDescent="0.4">
      <c r="J578" s="26"/>
      <c r="N578" s="26"/>
    </row>
    <row r="579" spans="10:14" x14ac:dyDescent="0.4">
      <c r="J579" s="26"/>
      <c r="N579" s="26"/>
    </row>
    <row r="580" spans="10:14" x14ac:dyDescent="0.4">
      <c r="J580" s="26"/>
      <c r="N580" s="26"/>
    </row>
    <row r="581" spans="10:14" x14ac:dyDescent="0.4">
      <c r="J581" s="26"/>
      <c r="N581" s="26"/>
    </row>
    <row r="582" spans="10:14" x14ac:dyDescent="0.4">
      <c r="J582" s="26"/>
      <c r="N582" s="26"/>
    </row>
    <row r="583" spans="10:14" x14ac:dyDescent="0.4">
      <c r="J583" s="26"/>
      <c r="N583" s="26"/>
    </row>
    <row r="584" spans="10:14" x14ac:dyDescent="0.4">
      <c r="J584" s="26"/>
      <c r="N584" s="26"/>
    </row>
    <row r="585" spans="10:14" x14ac:dyDescent="0.4">
      <c r="J585" s="26"/>
      <c r="N585" s="26"/>
    </row>
    <row r="586" spans="10:14" x14ac:dyDescent="0.4">
      <c r="J586" s="26"/>
      <c r="N586" s="26"/>
    </row>
    <row r="587" spans="10:14" x14ac:dyDescent="0.4">
      <c r="J587" s="26"/>
      <c r="N587" s="26"/>
    </row>
    <row r="588" spans="10:14" x14ac:dyDescent="0.4">
      <c r="J588" s="26"/>
      <c r="N588" s="26"/>
    </row>
    <row r="589" spans="10:14" x14ac:dyDescent="0.4">
      <c r="J589" s="26"/>
      <c r="N589" s="26"/>
    </row>
    <row r="590" spans="10:14" x14ac:dyDescent="0.4">
      <c r="J590" s="26"/>
      <c r="N590" s="26"/>
    </row>
    <row r="591" spans="10:14" x14ac:dyDescent="0.4">
      <c r="J591" s="26"/>
      <c r="N591" s="26"/>
    </row>
    <row r="592" spans="10:14" x14ac:dyDescent="0.4">
      <c r="J592" s="26"/>
      <c r="N592" s="26"/>
    </row>
    <row r="593" spans="10:14" x14ac:dyDescent="0.4">
      <c r="J593" s="26"/>
      <c r="N593" s="26"/>
    </row>
    <row r="594" spans="10:14" x14ac:dyDescent="0.4">
      <c r="J594" s="26"/>
      <c r="N594" s="26"/>
    </row>
    <row r="595" spans="10:14" x14ac:dyDescent="0.4">
      <c r="J595" s="26"/>
      <c r="N595" s="26"/>
    </row>
    <row r="596" spans="10:14" x14ac:dyDescent="0.4">
      <c r="J596" s="26"/>
      <c r="N596" s="26"/>
    </row>
    <row r="597" spans="10:14" x14ac:dyDescent="0.4">
      <c r="J597" s="26"/>
      <c r="N597" s="26"/>
    </row>
    <row r="598" spans="10:14" x14ac:dyDescent="0.4">
      <c r="J598" s="26"/>
      <c r="N598" s="26"/>
    </row>
    <row r="599" spans="10:14" x14ac:dyDescent="0.4">
      <c r="J599" s="26"/>
      <c r="N599" s="26"/>
    </row>
    <row r="600" spans="10:14" x14ac:dyDescent="0.4">
      <c r="J600" s="26"/>
      <c r="N600" s="26"/>
    </row>
    <row r="601" spans="10:14" x14ac:dyDescent="0.4">
      <c r="J601" s="26"/>
      <c r="N601" s="26"/>
    </row>
    <row r="602" spans="10:14" x14ac:dyDescent="0.4">
      <c r="J602" s="26"/>
      <c r="N602" s="26"/>
    </row>
    <row r="603" spans="10:14" x14ac:dyDescent="0.4">
      <c r="J603" s="26"/>
      <c r="N603" s="26"/>
    </row>
    <row r="604" spans="10:14" x14ac:dyDescent="0.4">
      <c r="J604" s="26"/>
      <c r="N604" s="26"/>
    </row>
    <row r="605" spans="10:14" x14ac:dyDescent="0.4">
      <c r="J605" s="26"/>
      <c r="N605" s="26"/>
    </row>
    <row r="606" spans="10:14" x14ac:dyDescent="0.4">
      <c r="J606" s="26"/>
      <c r="N606" s="26"/>
    </row>
    <row r="607" spans="10:14" x14ac:dyDescent="0.4">
      <c r="J607" s="26"/>
      <c r="N607" s="26"/>
    </row>
    <row r="608" spans="10:14" x14ac:dyDescent="0.4">
      <c r="J608" s="26"/>
      <c r="N608" s="26"/>
    </row>
    <row r="609" spans="10:14" x14ac:dyDescent="0.4">
      <c r="J609" s="26"/>
      <c r="N609" s="26"/>
    </row>
    <row r="610" spans="10:14" x14ac:dyDescent="0.4">
      <c r="J610" s="26"/>
      <c r="N610" s="26"/>
    </row>
    <row r="611" spans="10:14" x14ac:dyDescent="0.4">
      <c r="J611" s="26"/>
      <c r="N611" s="26"/>
    </row>
    <row r="612" spans="10:14" x14ac:dyDescent="0.4">
      <c r="J612" s="26"/>
      <c r="N612" s="26"/>
    </row>
    <row r="613" spans="10:14" x14ac:dyDescent="0.4">
      <c r="J613" s="26"/>
      <c r="N613" s="26"/>
    </row>
    <row r="614" spans="10:14" x14ac:dyDescent="0.4">
      <c r="J614" s="26"/>
      <c r="N614" s="26"/>
    </row>
    <row r="615" spans="10:14" x14ac:dyDescent="0.4">
      <c r="J615" s="26"/>
      <c r="N615" s="26"/>
    </row>
    <row r="616" spans="10:14" x14ac:dyDescent="0.4">
      <c r="J616" s="26"/>
      <c r="N616" s="26"/>
    </row>
    <row r="617" spans="10:14" x14ac:dyDescent="0.4">
      <c r="J617" s="26"/>
      <c r="N617" s="26"/>
    </row>
    <row r="618" spans="10:14" x14ac:dyDescent="0.4">
      <c r="J618" s="26"/>
      <c r="N618" s="26"/>
    </row>
    <row r="619" spans="10:14" x14ac:dyDescent="0.4">
      <c r="J619" s="26"/>
      <c r="N619" s="26"/>
    </row>
    <row r="620" spans="10:14" x14ac:dyDescent="0.4">
      <c r="J620" s="26"/>
      <c r="N620" s="26"/>
    </row>
    <row r="621" spans="10:14" x14ac:dyDescent="0.4">
      <c r="J621" s="26"/>
      <c r="N621" s="26"/>
    </row>
    <row r="622" spans="10:14" x14ac:dyDescent="0.4">
      <c r="J622" s="26"/>
      <c r="N622" s="26"/>
    </row>
    <row r="623" spans="10:14" x14ac:dyDescent="0.4">
      <c r="J623" s="26"/>
      <c r="N623" s="26"/>
    </row>
    <row r="624" spans="10:14" x14ac:dyDescent="0.4">
      <c r="J624" s="26"/>
      <c r="N624" s="26"/>
    </row>
    <row r="625" spans="10:14" x14ac:dyDescent="0.4">
      <c r="J625" s="26"/>
      <c r="N625" s="26"/>
    </row>
    <row r="626" spans="10:14" x14ac:dyDescent="0.4">
      <c r="J626" s="26"/>
      <c r="N626" s="26"/>
    </row>
    <row r="627" spans="10:14" x14ac:dyDescent="0.4">
      <c r="J627" s="26"/>
      <c r="N627" s="26"/>
    </row>
    <row r="628" spans="10:14" x14ac:dyDescent="0.4">
      <c r="J628" s="26"/>
      <c r="N628" s="26"/>
    </row>
    <row r="629" spans="10:14" x14ac:dyDescent="0.4">
      <c r="J629" s="26"/>
      <c r="N629" s="26"/>
    </row>
    <row r="630" spans="10:14" x14ac:dyDescent="0.4">
      <c r="J630" s="26"/>
      <c r="N630" s="26"/>
    </row>
    <row r="631" spans="10:14" x14ac:dyDescent="0.4">
      <c r="J631" s="26"/>
      <c r="N631" s="26"/>
    </row>
    <row r="632" spans="10:14" x14ac:dyDescent="0.4">
      <c r="J632" s="26"/>
      <c r="N632" s="26"/>
    </row>
    <row r="633" spans="10:14" x14ac:dyDescent="0.4">
      <c r="J633" s="26"/>
      <c r="N633" s="26"/>
    </row>
    <row r="634" spans="10:14" x14ac:dyDescent="0.4">
      <c r="J634" s="26"/>
      <c r="N634" s="26"/>
    </row>
    <row r="635" spans="10:14" x14ac:dyDescent="0.4">
      <c r="J635" s="26"/>
      <c r="N635" s="26"/>
    </row>
    <row r="636" spans="10:14" x14ac:dyDescent="0.4">
      <c r="J636" s="26"/>
      <c r="N636" s="26"/>
    </row>
    <row r="637" spans="10:14" x14ac:dyDescent="0.4">
      <c r="J637" s="26"/>
      <c r="N637" s="26"/>
    </row>
    <row r="638" spans="10:14" x14ac:dyDescent="0.4">
      <c r="J638" s="26"/>
      <c r="N638" s="26"/>
    </row>
    <row r="639" spans="10:14" x14ac:dyDescent="0.4">
      <c r="J639" s="26"/>
      <c r="N639" s="26"/>
    </row>
    <row r="640" spans="10:14" x14ac:dyDescent="0.4">
      <c r="J640" s="26"/>
      <c r="N640" s="26"/>
    </row>
    <row r="641" spans="10:14" x14ac:dyDescent="0.4">
      <c r="J641" s="26"/>
      <c r="N641" s="26"/>
    </row>
    <row r="642" spans="10:14" x14ac:dyDescent="0.4">
      <c r="J642" s="26"/>
      <c r="N642" s="26"/>
    </row>
    <row r="643" spans="10:14" x14ac:dyDescent="0.4">
      <c r="J643" s="26"/>
      <c r="N643" s="26"/>
    </row>
    <row r="644" spans="10:14" x14ac:dyDescent="0.4">
      <c r="J644" s="26"/>
      <c r="N644" s="26"/>
    </row>
    <row r="645" spans="10:14" x14ac:dyDescent="0.4">
      <c r="J645" s="26"/>
      <c r="N645" s="26"/>
    </row>
    <row r="646" spans="10:14" x14ac:dyDescent="0.4">
      <c r="J646" s="26"/>
      <c r="N646" s="26"/>
    </row>
    <row r="647" spans="10:14" x14ac:dyDescent="0.4">
      <c r="J647" s="26"/>
      <c r="N647" s="26"/>
    </row>
    <row r="648" spans="10:14" x14ac:dyDescent="0.4">
      <c r="J648" s="26"/>
      <c r="N648" s="26"/>
    </row>
    <row r="649" spans="10:14" x14ac:dyDescent="0.4">
      <c r="J649" s="26"/>
      <c r="N649" s="26"/>
    </row>
    <row r="650" spans="10:14" x14ac:dyDescent="0.4">
      <c r="J650" s="26"/>
      <c r="N650" s="26"/>
    </row>
    <row r="651" spans="10:14" x14ac:dyDescent="0.4">
      <c r="J651" s="26"/>
      <c r="N651" s="26"/>
    </row>
    <row r="652" spans="10:14" x14ac:dyDescent="0.4">
      <c r="J652" s="26"/>
      <c r="N652" s="26"/>
    </row>
    <row r="653" spans="10:14" x14ac:dyDescent="0.4">
      <c r="J653" s="26"/>
      <c r="N653" s="26"/>
    </row>
    <row r="654" spans="10:14" x14ac:dyDescent="0.4">
      <c r="J654" s="26"/>
      <c r="N654" s="26"/>
    </row>
    <row r="655" spans="10:14" x14ac:dyDescent="0.4">
      <c r="J655" s="26"/>
      <c r="N655" s="26"/>
    </row>
    <row r="656" spans="10:14" x14ac:dyDescent="0.4">
      <c r="J656" s="26"/>
      <c r="N656" s="26"/>
    </row>
    <row r="657" spans="10:14" x14ac:dyDescent="0.4">
      <c r="J657" s="26"/>
      <c r="N657" s="26"/>
    </row>
    <row r="658" spans="10:14" x14ac:dyDescent="0.4">
      <c r="J658" s="26"/>
      <c r="N658" s="26"/>
    </row>
    <row r="659" spans="10:14" x14ac:dyDescent="0.4">
      <c r="J659" s="26"/>
      <c r="N659" s="26"/>
    </row>
    <row r="660" spans="10:14" x14ac:dyDescent="0.4">
      <c r="J660" s="26"/>
      <c r="N660" s="26"/>
    </row>
    <row r="661" spans="10:14" x14ac:dyDescent="0.4">
      <c r="J661" s="26"/>
      <c r="N661" s="26"/>
    </row>
    <row r="662" spans="10:14" x14ac:dyDescent="0.4">
      <c r="J662" s="26"/>
      <c r="N662" s="26"/>
    </row>
    <row r="663" spans="10:14" x14ac:dyDescent="0.4">
      <c r="J663" s="26"/>
      <c r="N663" s="26"/>
    </row>
    <row r="664" spans="10:14" x14ac:dyDescent="0.4">
      <c r="J664" s="26"/>
      <c r="N664" s="26"/>
    </row>
    <row r="665" spans="10:14" x14ac:dyDescent="0.4">
      <c r="J665" s="26"/>
      <c r="N665" s="26"/>
    </row>
    <row r="666" spans="10:14" x14ac:dyDescent="0.4">
      <c r="J666" s="26"/>
      <c r="N666" s="26"/>
    </row>
    <row r="667" spans="10:14" x14ac:dyDescent="0.4">
      <c r="J667" s="26"/>
      <c r="N667" s="26"/>
    </row>
    <row r="668" spans="10:14" x14ac:dyDescent="0.4">
      <c r="J668" s="26"/>
      <c r="N668" s="26"/>
    </row>
    <row r="669" spans="10:14" x14ac:dyDescent="0.4">
      <c r="J669" s="26"/>
      <c r="N669" s="26"/>
    </row>
    <row r="670" spans="10:14" x14ac:dyDescent="0.4">
      <c r="J670" s="26"/>
      <c r="N670" s="26"/>
    </row>
    <row r="671" spans="10:14" x14ac:dyDescent="0.4">
      <c r="J671" s="26"/>
      <c r="N671" s="26"/>
    </row>
    <row r="672" spans="10:14" x14ac:dyDescent="0.4">
      <c r="J672" s="26"/>
      <c r="N672" s="26"/>
    </row>
    <row r="673" spans="10:14" x14ac:dyDescent="0.4">
      <c r="J673" s="26"/>
      <c r="N673" s="26"/>
    </row>
    <row r="674" spans="10:14" x14ac:dyDescent="0.4">
      <c r="J674" s="26"/>
      <c r="N674" s="26"/>
    </row>
    <row r="675" spans="10:14" x14ac:dyDescent="0.4">
      <c r="J675" s="26"/>
      <c r="N675" s="26"/>
    </row>
    <row r="676" spans="10:14" x14ac:dyDescent="0.4">
      <c r="J676" s="26"/>
      <c r="N676" s="26"/>
    </row>
    <row r="677" spans="10:14" x14ac:dyDescent="0.4">
      <c r="J677" s="26"/>
      <c r="N677" s="26"/>
    </row>
    <row r="678" spans="10:14" x14ac:dyDescent="0.4">
      <c r="J678" s="26"/>
      <c r="N678" s="26"/>
    </row>
    <row r="679" spans="10:14" x14ac:dyDescent="0.4">
      <c r="J679" s="26"/>
      <c r="N679" s="26"/>
    </row>
    <row r="680" spans="10:14" x14ac:dyDescent="0.4">
      <c r="J680" s="26"/>
      <c r="N680" s="26"/>
    </row>
    <row r="681" spans="10:14" x14ac:dyDescent="0.4">
      <c r="J681" s="26"/>
      <c r="N681" s="26"/>
    </row>
    <row r="682" spans="10:14" x14ac:dyDescent="0.4">
      <c r="J682" s="26"/>
      <c r="N682" s="26"/>
    </row>
    <row r="683" spans="10:14" x14ac:dyDescent="0.4">
      <c r="J683" s="26"/>
      <c r="N683" s="26"/>
    </row>
    <row r="684" spans="10:14" x14ac:dyDescent="0.4">
      <c r="J684" s="26"/>
      <c r="N684" s="26"/>
    </row>
    <row r="685" spans="10:14" x14ac:dyDescent="0.4">
      <c r="J685" s="26"/>
      <c r="N685" s="26"/>
    </row>
    <row r="686" spans="10:14" x14ac:dyDescent="0.4">
      <c r="J686" s="26"/>
      <c r="N686" s="26"/>
    </row>
    <row r="687" spans="10:14" x14ac:dyDescent="0.4">
      <c r="J687" s="26"/>
      <c r="N687" s="26"/>
    </row>
    <row r="688" spans="10:14" x14ac:dyDescent="0.4">
      <c r="J688" s="26"/>
      <c r="N688" s="26"/>
    </row>
    <row r="689" spans="10:14" x14ac:dyDescent="0.4">
      <c r="J689" s="26"/>
      <c r="N689" s="26"/>
    </row>
    <row r="690" spans="10:14" x14ac:dyDescent="0.4">
      <c r="J690" s="26"/>
      <c r="N690" s="26"/>
    </row>
    <row r="691" spans="10:14" x14ac:dyDescent="0.4">
      <c r="J691" s="26"/>
      <c r="N691" s="26"/>
    </row>
    <row r="692" spans="10:14" x14ac:dyDescent="0.4">
      <c r="J692" s="26"/>
      <c r="N692" s="26"/>
    </row>
    <row r="693" spans="10:14" x14ac:dyDescent="0.4">
      <c r="J693" s="26"/>
      <c r="N693" s="26"/>
    </row>
    <row r="694" spans="10:14" x14ac:dyDescent="0.4">
      <c r="J694" s="26"/>
      <c r="N694" s="26"/>
    </row>
    <row r="695" spans="10:14" x14ac:dyDescent="0.4">
      <c r="J695" s="26"/>
      <c r="N695" s="26"/>
    </row>
    <row r="696" spans="10:14" x14ac:dyDescent="0.4">
      <c r="J696" s="26"/>
      <c r="N696" s="26"/>
    </row>
    <row r="697" spans="10:14" x14ac:dyDescent="0.4">
      <c r="J697" s="26"/>
      <c r="N697" s="26"/>
    </row>
    <row r="698" spans="10:14" x14ac:dyDescent="0.4">
      <c r="J698" s="26"/>
      <c r="N698" s="26"/>
    </row>
    <row r="699" spans="10:14" x14ac:dyDescent="0.4">
      <c r="J699" s="26"/>
      <c r="N699" s="26"/>
    </row>
    <row r="700" spans="10:14" x14ac:dyDescent="0.4">
      <c r="J700" s="26"/>
      <c r="N700" s="26"/>
    </row>
    <row r="701" spans="10:14" x14ac:dyDescent="0.4">
      <c r="J701" s="26"/>
      <c r="N701" s="26"/>
    </row>
    <row r="702" spans="10:14" x14ac:dyDescent="0.4">
      <c r="J702" s="26"/>
      <c r="N702" s="26"/>
    </row>
    <row r="703" spans="10:14" x14ac:dyDescent="0.4">
      <c r="J703" s="26"/>
      <c r="N703" s="26"/>
    </row>
    <row r="704" spans="10:14" x14ac:dyDescent="0.4">
      <c r="J704" s="26"/>
      <c r="N704" s="26"/>
    </row>
    <row r="705" spans="10:14" x14ac:dyDescent="0.4">
      <c r="J705" s="26"/>
      <c r="N705" s="26"/>
    </row>
    <row r="706" spans="10:14" x14ac:dyDescent="0.4">
      <c r="J706" s="26"/>
      <c r="N706" s="26"/>
    </row>
    <row r="707" spans="10:14" x14ac:dyDescent="0.4">
      <c r="J707" s="26"/>
      <c r="N707" s="26"/>
    </row>
    <row r="708" spans="10:14" x14ac:dyDescent="0.4">
      <c r="J708" s="26"/>
      <c r="N708" s="26"/>
    </row>
    <row r="709" spans="10:14" x14ac:dyDescent="0.4">
      <c r="J709" s="26"/>
      <c r="N709" s="26"/>
    </row>
    <row r="710" spans="10:14" x14ac:dyDescent="0.4">
      <c r="J710" s="26"/>
      <c r="N710" s="26"/>
    </row>
    <row r="711" spans="10:14" x14ac:dyDescent="0.4">
      <c r="J711" s="26"/>
      <c r="N711" s="26"/>
    </row>
    <row r="712" spans="10:14" x14ac:dyDescent="0.4">
      <c r="J712" s="26"/>
      <c r="N712" s="26"/>
    </row>
    <row r="713" spans="10:14" x14ac:dyDescent="0.4">
      <c r="J713" s="26"/>
      <c r="N713" s="26"/>
    </row>
    <row r="714" spans="10:14" x14ac:dyDescent="0.4">
      <c r="J714" s="26"/>
      <c r="N714" s="26"/>
    </row>
    <row r="715" spans="10:14" x14ac:dyDescent="0.4">
      <c r="J715" s="26"/>
      <c r="N715" s="26"/>
    </row>
    <row r="716" spans="10:14" x14ac:dyDescent="0.4">
      <c r="J716" s="26"/>
      <c r="N716" s="26"/>
    </row>
    <row r="717" spans="10:14" x14ac:dyDescent="0.4">
      <c r="J717" s="26"/>
      <c r="N717" s="26"/>
    </row>
    <row r="718" spans="10:14" x14ac:dyDescent="0.4">
      <c r="J718" s="26"/>
      <c r="N718" s="26"/>
    </row>
    <row r="719" spans="10:14" x14ac:dyDescent="0.4">
      <c r="J719" s="26"/>
      <c r="N719" s="26"/>
    </row>
    <row r="720" spans="10:14" x14ac:dyDescent="0.4">
      <c r="J720" s="26"/>
      <c r="N720" s="26"/>
    </row>
    <row r="721" spans="10:14" x14ac:dyDescent="0.4">
      <c r="J721" s="26"/>
      <c r="N721" s="26"/>
    </row>
    <row r="722" spans="10:14" x14ac:dyDescent="0.4">
      <c r="J722" s="26"/>
      <c r="N722" s="26"/>
    </row>
    <row r="723" spans="10:14" x14ac:dyDescent="0.4">
      <c r="J723" s="26"/>
      <c r="N723" s="26"/>
    </row>
    <row r="724" spans="10:14" x14ac:dyDescent="0.4">
      <c r="J724" s="26"/>
      <c r="N724" s="26"/>
    </row>
    <row r="725" spans="10:14" x14ac:dyDescent="0.4">
      <c r="J725" s="26"/>
      <c r="N725" s="26"/>
    </row>
    <row r="726" spans="10:14" x14ac:dyDescent="0.4">
      <c r="J726" s="26"/>
      <c r="N726" s="26"/>
    </row>
    <row r="727" spans="10:14" x14ac:dyDescent="0.4">
      <c r="J727" s="26"/>
      <c r="N727" s="26"/>
    </row>
    <row r="728" spans="10:14" x14ac:dyDescent="0.4">
      <c r="J728" s="26"/>
      <c r="N728" s="26"/>
    </row>
    <row r="729" spans="10:14" x14ac:dyDescent="0.4">
      <c r="J729" s="26"/>
      <c r="N729" s="26"/>
    </row>
    <row r="730" spans="10:14" x14ac:dyDescent="0.4">
      <c r="J730" s="26"/>
      <c r="N730" s="26"/>
    </row>
    <row r="731" spans="10:14" x14ac:dyDescent="0.4">
      <c r="J731" s="26"/>
      <c r="N731" s="26"/>
    </row>
    <row r="732" spans="10:14" x14ac:dyDescent="0.4">
      <c r="J732" s="26"/>
      <c r="N732" s="26"/>
    </row>
    <row r="733" spans="10:14" x14ac:dyDescent="0.4">
      <c r="J733" s="26"/>
      <c r="N733" s="26"/>
    </row>
    <row r="734" spans="10:14" x14ac:dyDescent="0.4">
      <c r="J734" s="26"/>
      <c r="N734" s="26"/>
    </row>
    <row r="735" spans="10:14" x14ac:dyDescent="0.4">
      <c r="J735" s="26"/>
      <c r="N735" s="26"/>
    </row>
    <row r="736" spans="10:14" x14ac:dyDescent="0.4">
      <c r="J736" s="26"/>
      <c r="N736" s="26"/>
    </row>
    <row r="737" spans="10:14" x14ac:dyDescent="0.4">
      <c r="J737" s="26"/>
      <c r="N737" s="26"/>
    </row>
    <row r="738" spans="10:14" x14ac:dyDescent="0.4">
      <c r="J738" s="26"/>
      <c r="N738" s="26"/>
    </row>
    <row r="739" spans="10:14" x14ac:dyDescent="0.4">
      <c r="J739" s="26"/>
      <c r="N739" s="26"/>
    </row>
    <row r="740" spans="10:14" x14ac:dyDescent="0.4">
      <c r="J740" s="26"/>
      <c r="N740" s="26"/>
    </row>
    <row r="741" spans="10:14" x14ac:dyDescent="0.4">
      <c r="J741" s="26"/>
      <c r="N741" s="26"/>
    </row>
    <row r="742" spans="10:14" x14ac:dyDescent="0.4">
      <c r="J742" s="26"/>
      <c r="N742" s="26"/>
    </row>
    <row r="743" spans="10:14" x14ac:dyDescent="0.4">
      <c r="J743" s="26"/>
      <c r="N743" s="26"/>
    </row>
    <row r="744" spans="10:14" x14ac:dyDescent="0.4">
      <c r="J744" s="26"/>
      <c r="N744" s="26"/>
    </row>
    <row r="745" spans="10:14" x14ac:dyDescent="0.4">
      <c r="J745" s="26"/>
      <c r="N745" s="26"/>
    </row>
    <row r="746" spans="10:14" x14ac:dyDescent="0.4">
      <c r="J746" s="26"/>
      <c r="N746" s="26"/>
    </row>
    <row r="747" spans="10:14" x14ac:dyDescent="0.4">
      <c r="J747" s="26"/>
      <c r="N747" s="26"/>
    </row>
    <row r="748" spans="10:14" x14ac:dyDescent="0.4">
      <c r="J748" s="26"/>
      <c r="N748" s="26"/>
    </row>
    <row r="749" spans="10:14" x14ac:dyDescent="0.4">
      <c r="J749" s="26"/>
      <c r="N749" s="26"/>
    </row>
    <row r="750" spans="10:14" x14ac:dyDescent="0.4">
      <c r="J750" s="26"/>
      <c r="N750" s="26"/>
    </row>
    <row r="751" spans="10:14" x14ac:dyDescent="0.4">
      <c r="J751" s="26"/>
      <c r="N751" s="26"/>
    </row>
    <row r="752" spans="10:14" x14ac:dyDescent="0.4">
      <c r="J752" s="26"/>
      <c r="N752" s="26"/>
    </row>
    <row r="753" spans="10:14" x14ac:dyDescent="0.4">
      <c r="J753" s="26"/>
      <c r="N753" s="26"/>
    </row>
    <row r="754" spans="10:14" x14ac:dyDescent="0.4">
      <c r="J754" s="26"/>
      <c r="N754" s="26"/>
    </row>
    <row r="755" spans="10:14" x14ac:dyDescent="0.4">
      <c r="J755" s="26"/>
      <c r="N755" s="26"/>
    </row>
    <row r="756" spans="10:14" x14ac:dyDescent="0.4">
      <c r="J756" s="26"/>
      <c r="N756" s="26"/>
    </row>
    <row r="757" spans="10:14" x14ac:dyDescent="0.4">
      <c r="J757" s="26"/>
      <c r="N757" s="26"/>
    </row>
    <row r="758" spans="10:14" x14ac:dyDescent="0.4">
      <c r="J758" s="26"/>
      <c r="N758" s="26"/>
    </row>
    <row r="759" spans="10:14" x14ac:dyDescent="0.4">
      <c r="J759" s="26"/>
      <c r="N759" s="26"/>
    </row>
    <row r="760" spans="10:14" x14ac:dyDescent="0.4">
      <c r="J760" s="26"/>
      <c r="N760" s="26"/>
    </row>
    <row r="761" spans="10:14" x14ac:dyDescent="0.4">
      <c r="J761" s="26"/>
      <c r="N761" s="26"/>
    </row>
    <row r="762" spans="10:14" x14ac:dyDescent="0.4">
      <c r="J762" s="26"/>
      <c r="N762" s="26"/>
    </row>
    <row r="763" spans="10:14" x14ac:dyDescent="0.4">
      <c r="J763" s="26"/>
      <c r="N763" s="26"/>
    </row>
    <row r="764" spans="10:14" x14ac:dyDescent="0.4">
      <c r="J764" s="26"/>
      <c r="N764" s="26"/>
    </row>
    <row r="765" spans="10:14" x14ac:dyDescent="0.4">
      <c r="J765" s="26"/>
      <c r="N765" s="26"/>
    </row>
    <row r="766" spans="10:14" x14ac:dyDescent="0.4">
      <c r="J766" s="26"/>
      <c r="N766" s="26"/>
    </row>
    <row r="767" spans="10:14" x14ac:dyDescent="0.4">
      <c r="J767" s="26"/>
      <c r="N767" s="26"/>
    </row>
    <row r="768" spans="10:14" x14ac:dyDescent="0.4">
      <c r="J768" s="26"/>
      <c r="N768" s="26"/>
    </row>
    <row r="769" spans="10:14" x14ac:dyDescent="0.4">
      <c r="J769" s="26"/>
      <c r="N769" s="26"/>
    </row>
    <row r="770" spans="10:14" x14ac:dyDescent="0.4">
      <c r="J770" s="26"/>
      <c r="N770" s="26"/>
    </row>
    <row r="771" spans="10:14" x14ac:dyDescent="0.4">
      <c r="J771" s="26"/>
      <c r="N771" s="26"/>
    </row>
    <row r="772" spans="10:14" x14ac:dyDescent="0.4">
      <c r="J772" s="26"/>
      <c r="N772" s="26"/>
    </row>
    <row r="773" spans="10:14" x14ac:dyDescent="0.4">
      <c r="J773" s="26"/>
      <c r="N773" s="26"/>
    </row>
    <row r="774" spans="10:14" x14ac:dyDescent="0.4">
      <c r="J774" s="26"/>
      <c r="N774" s="26"/>
    </row>
    <row r="775" spans="10:14" x14ac:dyDescent="0.4">
      <c r="J775" s="26"/>
      <c r="N775" s="26"/>
    </row>
    <row r="776" spans="10:14" x14ac:dyDescent="0.4">
      <c r="J776" s="26"/>
      <c r="N776" s="26"/>
    </row>
    <row r="777" spans="10:14" x14ac:dyDescent="0.4">
      <c r="J777" s="26"/>
      <c r="N777" s="26"/>
    </row>
    <row r="778" spans="10:14" x14ac:dyDescent="0.4">
      <c r="J778" s="26"/>
      <c r="N778" s="26"/>
    </row>
    <row r="779" spans="10:14" x14ac:dyDescent="0.4">
      <c r="J779" s="26"/>
      <c r="N779" s="26"/>
    </row>
    <row r="780" spans="10:14" x14ac:dyDescent="0.4">
      <c r="J780" s="26"/>
      <c r="N780" s="26"/>
    </row>
    <row r="781" spans="10:14" x14ac:dyDescent="0.4">
      <c r="J781" s="26"/>
      <c r="N781" s="26"/>
    </row>
    <row r="782" spans="10:14" x14ac:dyDescent="0.4">
      <c r="J782" s="26"/>
      <c r="N782" s="26"/>
    </row>
    <row r="783" spans="10:14" x14ac:dyDescent="0.4">
      <c r="J783" s="26"/>
      <c r="N783" s="26"/>
    </row>
    <row r="784" spans="10:14" x14ac:dyDescent="0.4">
      <c r="J784" s="26"/>
      <c r="N784" s="26"/>
    </row>
    <row r="785" spans="10:14" x14ac:dyDescent="0.4">
      <c r="J785" s="26"/>
      <c r="N785" s="26"/>
    </row>
    <row r="786" spans="10:14" x14ac:dyDescent="0.4">
      <c r="J786" s="26"/>
      <c r="N786" s="26"/>
    </row>
    <row r="787" spans="10:14" x14ac:dyDescent="0.4">
      <c r="J787" s="26"/>
      <c r="N787" s="26"/>
    </row>
    <row r="788" spans="10:14" x14ac:dyDescent="0.4">
      <c r="J788" s="26"/>
      <c r="N788" s="26"/>
    </row>
    <row r="789" spans="10:14" x14ac:dyDescent="0.4">
      <c r="J789" s="26"/>
      <c r="N789" s="26"/>
    </row>
    <row r="790" spans="10:14" x14ac:dyDescent="0.4">
      <c r="J790" s="26"/>
      <c r="N790" s="26"/>
    </row>
    <row r="791" spans="10:14" x14ac:dyDescent="0.4">
      <c r="J791" s="26"/>
      <c r="N791" s="26"/>
    </row>
    <row r="792" spans="10:14" x14ac:dyDescent="0.4">
      <c r="J792" s="26"/>
      <c r="N792" s="26"/>
    </row>
    <row r="793" spans="10:14" x14ac:dyDescent="0.4">
      <c r="J793" s="26"/>
      <c r="N793" s="26"/>
    </row>
    <row r="794" spans="10:14" x14ac:dyDescent="0.4">
      <c r="J794" s="26"/>
      <c r="N794" s="26"/>
    </row>
    <row r="795" spans="10:14" x14ac:dyDescent="0.4">
      <c r="J795" s="26"/>
      <c r="N795" s="26"/>
    </row>
    <row r="796" spans="10:14" x14ac:dyDescent="0.4">
      <c r="J796" s="26"/>
      <c r="N796" s="26"/>
    </row>
    <row r="797" spans="10:14" x14ac:dyDescent="0.4">
      <c r="J797" s="26"/>
      <c r="N797" s="26"/>
    </row>
    <row r="798" spans="10:14" x14ac:dyDescent="0.4">
      <c r="J798" s="26"/>
      <c r="N798" s="26"/>
    </row>
    <row r="799" spans="10:14" x14ac:dyDescent="0.4">
      <c r="J799" s="26"/>
      <c r="N799" s="26"/>
    </row>
    <row r="800" spans="10:14" x14ac:dyDescent="0.4">
      <c r="J800" s="26"/>
      <c r="N800" s="26"/>
    </row>
    <row r="801" spans="10:14" x14ac:dyDescent="0.4">
      <c r="J801" s="26"/>
      <c r="N801" s="26"/>
    </row>
    <row r="802" spans="10:14" x14ac:dyDescent="0.4">
      <c r="J802" s="26"/>
      <c r="N802" s="26"/>
    </row>
    <row r="803" spans="10:14" x14ac:dyDescent="0.4">
      <c r="J803" s="26"/>
      <c r="N803" s="26"/>
    </row>
    <row r="804" spans="10:14" x14ac:dyDescent="0.4">
      <c r="J804" s="26"/>
      <c r="N804" s="26"/>
    </row>
    <row r="805" spans="10:14" x14ac:dyDescent="0.4">
      <c r="J805" s="26"/>
      <c r="N805" s="26"/>
    </row>
    <row r="806" spans="10:14" x14ac:dyDescent="0.4">
      <c r="J806" s="26"/>
      <c r="N806" s="26"/>
    </row>
    <row r="807" spans="10:14" x14ac:dyDescent="0.4">
      <c r="J807" s="26"/>
      <c r="N807" s="26"/>
    </row>
    <row r="808" spans="10:14" x14ac:dyDescent="0.4">
      <c r="J808" s="26"/>
      <c r="N808" s="26"/>
    </row>
    <row r="809" spans="10:14" x14ac:dyDescent="0.4">
      <c r="J809" s="26"/>
      <c r="N809" s="26"/>
    </row>
    <row r="810" spans="10:14" x14ac:dyDescent="0.4">
      <c r="J810" s="26"/>
      <c r="N810" s="26"/>
    </row>
    <row r="811" spans="10:14" x14ac:dyDescent="0.4">
      <c r="J811" s="26"/>
      <c r="N811" s="26"/>
    </row>
    <row r="812" spans="10:14" x14ac:dyDescent="0.4">
      <c r="J812" s="26"/>
      <c r="N812" s="26"/>
    </row>
    <row r="813" spans="10:14" x14ac:dyDescent="0.4">
      <c r="J813" s="26"/>
      <c r="N813" s="26"/>
    </row>
    <row r="814" spans="10:14" x14ac:dyDescent="0.4">
      <c r="J814" s="26"/>
      <c r="N814" s="26"/>
    </row>
    <row r="815" spans="10:14" x14ac:dyDescent="0.4">
      <c r="J815" s="26"/>
      <c r="N815" s="26"/>
    </row>
    <row r="816" spans="10:14" x14ac:dyDescent="0.4">
      <c r="J816" s="26"/>
      <c r="N816" s="26"/>
    </row>
    <row r="817" spans="10:14" x14ac:dyDescent="0.4">
      <c r="J817" s="26"/>
      <c r="N817" s="26"/>
    </row>
    <row r="818" spans="10:14" x14ac:dyDescent="0.4">
      <c r="J818" s="26"/>
      <c r="N818" s="26"/>
    </row>
    <row r="819" spans="10:14" x14ac:dyDescent="0.4">
      <c r="J819" s="26"/>
      <c r="N819" s="26"/>
    </row>
    <row r="820" spans="10:14" x14ac:dyDescent="0.4">
      <c r="J820" s="26"/>
      <c r="N820" s="26"/>
    </row>
    <row r="821" spans="10:14" x14ac:dyDescent="0.4">
      <c r="J821" s="26"/>
      <c r="N821" s="26"/>
    </row>
    <row r="822" spans="10:14" x14ac:dyDescent="0.4">
      <c r="J822" s="26"/>
      <c r="N822" s="26"/>
    </row>
    <row r="823" spans="10:14" x14ac:dyDescent="0.4">
      <c r="J823" s="26"/>
      <c r="N823" s="26"/>
    </row>
    <row r="824" spans="10:14" x14ac:dyDescent="0.4">
      <c r="J824" s="26"/>
      <c r="N824" s="26"/>
    </row>
    <row r="825" spans="10:14" x14ac:dyDescent="0.4">
      <c r="J825" s="26"/>
      <c r="N825" s="26"/>
    </row>
    <row r="826" spans="10:14" x14ac:dyDescent="0.4">
      <c r="J826" s="26"/>
      <c r="N826" s="26"/>
    </row>
    <row r="827" spans="10:14" x14ac:dyDescent="0.4">
      <c r="J827" s="26"/>
      <c r="N827" s="26"/>
    </row>
    <row r="828" spans="10:14" x14ac:dyDescent="0.4">
      <c r="J828" s="26"/>
      <c r="N828" s="26"/>
    </row>
    <row r="829" spans="10:14" x14ac:dyDescent="0.4">
      <c r="J829" s="26"/>
      <c r="N829" s="26"/>
    </row>
    <row r="830" spans="10:14" x14ac:dyDescent="0.4">
      <c r="J830" s="26"/>
      <c r="N830" s="26"/>
    </row>
    <row r="831" spans="10:14" x14ac:dyDescent="0.4">
      <c r="J831" s="26"/>
      <c r="N831" s="26"/>
    </row>
    <row r="832" spans="10:14" x14ac:dyDescent="0.4">
      <c r="J832" s="26"/>
      <c r="N832" s="26"/>
    </row>
    <row r="833" spans="10:14" x14ac:dyDescent="0.4">
      <c r="J833" s="26"/>
      <c r="N833" s="26"/>
    </row>
    <row r="834" spans="10:14" x14ac:dyDescent="0.4">
      <c r="J834" s="26"/>
      <c r="N834" s="26"/>
    </row>
    <row r="835" spans="10:14" x14ac:dyDescent="0.4">
      <c r="J835" s="26"/>
      <c r="N835" s="26"/>
    </row>
    <row r="836" spans="10:14" x14ac:dyDescent="0.4">
      <c r="J836" s="26"/>
      <c r="N836" s="26"/>
    </row>
    <row r="837" spans="10:14" x14ac:dyDescent="0.4">
      <c r="J837" s="26"/>
      <c r="N837" s="26"/>
    </row>
    <row r="838" spans="10:14" x14ac:dyDescent="0.4">
      <c r="J838" s="26"/>
      <c r="N838" s="26"/>
    </row>
    <row r="839" spans="10:14" x14ac:dyDescent="0.4">
      <c r="J839" s="26"/>
      <c r="N839" s="26"/>
    </row>
    <row r="840" spans="10:14" x14ac:dyDescent="0.4">
      <c r="J840" s="26"/>
      <c r="N840" s="26"/>
    </row>
    <row r="841" spans="10:14" x14ac:dyDescent="0.4">
      <c r="J841" s="26"/>
      <c r="N841" s="26"/>
    </row>
    <row r="842" spans="10:14" x14ac:dyDescent="0.4">
      <c r="J842" s="26"/>
      <c r="N842" s="26"/>
    </row>
    <row r="843" spans="10:14" x14ac:dyDescent="0.4">
      <c r="J843" s="26"/>
      <c r="N843" s="26"/>
    </row>
    <row r="844" spans="10:14" x14ac:dyDescent="0.4">
      <c r="J844" s="26"/>
      <c r="N844" s="26"/>
    </row>
    <row r="845" spans="10:14" x14ac:dyDescent="0.4">
      <c r="J845" s="26"/>
      <c r="N845" s="26"/>
    </row>
    <row r="846" spans="10:14" x14ac:dyDescent="0.4">
      <c r="J846" s="26"/>
      <c r="N846" s="26"/>
    </row>
    <row r="847" spans="10:14" x14ac:dyDescent="0.4">
      <c r="J847" s="26"/>
      <c r="N847" s="26"/>
    </row>
    <row r="848" spans="10:14" x14ac:dyDescent="0.4">
      <c r="J848" s="26"/>
      <c r="N848" s="26"/>
    </row>
    <row r="849" spans="10:14" x14ac:dyDescent="0.4">
      <c r="J849" s="26"/>
      <c r="N849" s="26"/>
    </row>
    <row r="850" spans="10:14" x14ac:dyDescent="0.4">
      <c r="J850" s="26"/>
      <c r="N850" s="26"/>
    </row>
    <row r="851" spans="10:14" x14ac:dyDescent="0.4">
      <c r="J851" s="26"/>
      <c r="N851" s="26"/>
    </row>
    <row r="852" spans="10:14" x14ac:dyDescent="0.4">
      <c r="J852" s="26"/>
      <c r="N852" s="26"/>
    </row>
    <row r="853" spans="10:14" x14ac:dyDescent="0.4">
      <c r="J853" s="26"/>
      <c r="N853" s="26"/>
    </row>
    <row r="854" spans="10:14" x14ac:dyDescent="0.4">
      <c r="J854" s="26"/>
      <c r="N854" s="26"/>
    </row>
    <row r="855" spans="10:14" x14ac:dyDescent="0.4">
      <c r="J855" s="26"/>
      <c r="N855" s="26"/>
    </row>
    <row r="856" spans="10:14" x14ac:dyDescent="0.4">
      <c r="J856" s="26"/>
      <c r="N856" s="26"/>
    </row>
    <row r="857" spans="10:14" x14ac:dyDescent="0.4">
      <c r="J857" s="26"/>
      <c r="N857" s="26"/>
    </row>
    <row r="858" spans="10:14" x14ac:dyDescent="0.4">
      <c r="J858" s="26"/>
      <c r="N858" s="26"/>
    </row>
    <row r="859" spans="10:14" x14ac:dyDescent="0.4">
      <c r="J859" s="26"/>
      <c r="N859" s="26"/>
    </row>
    <row r="860" spans="10:14" x14ac:dyDescent="0.4">
      <c r="J860" s="26"/>
      <c r="N860" s="26"/>
    </row>
    <row r="861" spans="10:14" x14ac:dyDescent="0.4">
      <c r="J861" s="26"/>
      <c r="N861" s="26"/>
    </row>
    <row r="862" spans="10:14" x14ac:dyDescent="0.4">
      <c r="J862" s="26"/>
      <c r="N862" s="26"/>
    </row>
    <row r="863" spans="10:14" x14ac:dyDescent="0.4">
      <c r="J863" s="26"/>
      <c r="N863" s="26"/>
    </row>
    <row r="864" spans="10:14" x14ac:dyDescent="0.4">
      <c r="J864" s="26"/>
      <c r="N864" s="26"/>
    </row>
    <row r="865" spans="10:14" x14ac:dyDescent="0.4">
      <c r="J865" s="26"/>
      <c r="N865" s="26"/>
    </row>
    <row r="866" spans="10:14" x14ac:dyDescent="0.4">
      <c r="J866" s="26"/>
      <c r="N866" s="26"/>
    </row>
    <row r="867" spans="10:14" x14ac:dyDescent="0.4">
      <c r="J867" s="26"/>
      <c r="N867" s="26"/>
    </row>
    <row r="868" spans="10:14" x14ac:dyDescent="0.4">
      <c r="J868" s="26"/>
      <c r="N868" s="26"/>
    </row>
    <row r="869" spans="10:14" x14ac:dyDescent="0.4">
      <c r="J869" s="26"/>
      <c r="N869" s="26"/>
    </row>
    <row r="870" spans="10:14" x14ac:dyDescent="0.4">
      <c r="J870" s="26"/>
      <c r="N870" s="26"/>
    </row>
    <row r="871" spans="10:14" x14ac:dyDescent="0.4">
      <c r="J871" s="26"/>
      <c r="N871" s="26"/>
    </row>
    <row r="872" spans="10:14" x14ac:dyDescent="0.4">
      <c r="J872" s="26"/>
      <c r="N872" s="26"/>
    </row>
    <row r="873" spans="10:14" x14ac:dyDescent="0.4">
      <c r="J873" s="26"/>
      <c r="N873" s="26"/>
    </row>
    <row r="874" spans="10:14" x14ac:dyDescent="0.4">
      <c r="J874" s="26"/>
      <c r="N874" s="26"/>
    </row>
    <row r="875" spans="10:14" x14ac:dyDescent="0.4">
      <c r="J875" s="26"/>
      <c r="N875" s="26"/>
    </row>
    <row r="876" spans="10:14" x14ac:dyDescent="0.4">
      <c r="J876" s="26"/>
      <c r="N876" s="26"/>
    </row>
    <row r="877" spans="10:14" x14ac:dyDescent="0.4">
      <c r="J877" s="26"/>
      <c r="N877" s="26"/>
    </row>
    <row r="878" spans="10:14" x14ac:dyDescent="0.4">
      <c r="J878" s="26"/>
      <c r="N878" s="26"/>
    </row>
    <row r="879" spans="10:14" x14ac:dyDescent="0.4">
      <c r="J879" s="26"/>
      <c r="N879" s="26"/>
    </row>
    <row r="880" spans="10:14" x14ac:dyDescent="0.4">
      <c r="J880" s="26"/>
      <c r="N880" s="26"/>
    </row>
    <row r="881" spans="10:14" x14ac:dyDescent="0.4">
      <c r="J881" s="26"/>
      <c r="N881" s="26"/>
    </row>
    <row r="882" spans="10:14" x14ac:dyDescent="0.4">
      <c r="J882" s="26"/>
      <c r="N882" s="26"/>
    </row>
    <row r="883" spans="10:14" x14ac:dyDescent="0.4">
      <c r="J883" s="26"/>
      <c r="N883" s="26"/>
    </row>
    <row r="884" spans="10:14" x14ac:dyDescent="0.4">
      <c r="J884" s="26"/>
      <c r="N884" s="26"/>
    </row>
    <row r="885" spans="10:14" x14ac:dyDescent="0.4">
      <c r="J885" s="26"/>
      <c r="N885" s="26"/>
    </row>
    <row r="886" spans="10:14" x14ac:dyDescent="0.4">
      <c r="J886" s="26"/>
      <c r="N886" s="26"/>
    </row>
    <row r="887" spans="10:14" x14ac:dyDescent="0.4">
      <c r="J887" s="26"/>
      <c r="N887" s="26"/>
    </row>
    <row r="888" spans="10:14" x14ac:dyDescent="0.4">
      <c r="J888" s="26"/>
      <c r="N888" s="26"/>
    </row>
    <row r="889" spans="10:14" x14ac:dyDescent="0.4">
      <c r="J889" s="26"/>
      <c r="N889" s="26"/>
    </row>
    <row r="890" spans="10:14" x14ac:dyDescent="0.4">
      <c r="J890" s="26"/>
      <c r="N890" s="26"/>
    </row>
    <row r="891" spans="10:14" x14ac:dyDescent="0.4">
      <c r="J891" s="26"/>
      <c r="N891" s="26"/>
    </row>
    <row r="892" spans="10:14" x14ac:dyDescent="0.4">
      <c r="J892" s="26"/>
      <c r="N892" s="26"/>
    </row>
    <row r="893" spans="10:14" x14ac:dyDescent="0.4">
      <c r="J893" s="26"/>
      <c r="N893" s="26"/>
    </row>
    <row r="894" spans="10:14" x14ac:dyDescent="0.4">
      <c r="J894" s="26"/>
      <c r="N894" s="26"/>
    </row>
    <row r="895" spans="10:14" x14ac:dyDescent="0.4">
      <c r="J895" s="26"/>
      <c r="N895" s="26"/>
    </row>
    <row r="896" spans="10:14" x14ac:dyDescent="0.4">
      <c r="J896" s="26"/>
      <c r="N896" s="26"/>
    </row>
    <row r="897" spans="10:14" x14ac:dyDescent="0.4">
      <c r="J897" s="26"/>
      <c r="N897" s="26"/>
    </row>
    <row r="898" spans="10:14" x14ac:dyDescent="0.4">
      <c r="J898" s="26"/>
      <c r="N898" s="26"/>
    </row>
    <row r="899" spans="10:14" x14ac:dyDescent="0.4">
      <c r="J899" s="26"/>
      <c r="N899" s="26"/>
    </row>
    <row r="900" spans="10:14" x14ac:dyDescent="0.4">
      <c r="J900" s="26"/>
      <c r="N900" s="26"/>
    </row>
    <row r="901" spans="10:14" x14ac:dyDescent="0.4">
      <c r="J901" s="26"/>
      <c r="N901" s="26"/>
    </row>
    <row r="902" spans="10:14" x14ac:dyDescent="0.4">
      <c r="J902" s="26"/>
      <c r="N902" s="26"/>
    </row>
    <row r="903" spans="10:14" x14ac:dyDescent="0.4">
      <c r="J903" s="26"/>
      <c r="N903" s="26"/>
    </row>
    <row r="904" spans="10:14" x14ac:dyDescent="0.4">
      <c r="J904" s="26"/>
      <c r="N904" s="26"/>
    </row>
    <row r="905" spans="10:14" x14ac:dyDescent="0.4">
      <c r="J905" s="26"/>
      <c r="N905" s="26"/>
    </row>
    <row r="906" spans="10:14" x14ac:dyDescent="0.4">
      <c r="J906" s="26"/>
      <c r="N906" s="26"/>
    </row>
    <row r="907" spans="10:14" x14ac:dyDescent="0.4">
      <c r="J907" s="26"/>
      <c r="N907" s="26"/>
    </row>
    <row r="908" spans="10:14" x14ac:dyDescent="0.4">
      <c r="J908" s="26"/>
      <c r="N908" s="26"/>
    </row>
    <row r="909" spans="10:14" x14ac:dyDescent="0.4">
      <c r="J909" s="26"/>
      <c r="N909" s="26"/>
    </row>
    <row r="910" spans="10:14" x14ac:dyDescent="0.4">
      <c r="J910" s="26"/>
      <c r="N910" s="26"/>
    </row>
    <row r="911" spans="10:14" x14ac:dyDescent="0.4">
      <c r="J911" s="26"/>
      <c r="N911" s="26"/>
    </row>
    <row r="912" spans="10:14" x14ac:dyDescent="0.4">
      <c r="J912" s="26"/>
      <c r="N912" s="26"/>
    </row>
    <row r="913" spans="10:14" x14ac:dyDescent="0.4">
      <c r="J913" s="26"/>
      <c r="N913" s="26"/>
    </row>
    <row r="914" spans="10:14" x14ac:dyDescent="0.4">
      <c r="J914" s="26"/>
      <c r="N914" s="26"/>
    </row>
    <row r="915" spans="10:14" x14ac:dyDescent="0.4">
      <c r="J915" s="26"/>
      <c r="N915" s="26"/>
    </row>
    <row r="916" spans="10:14" x14ac:dyDescent="0.4">
      <c r="J916" s="26"/>
      <c r="N916" s="26"/>
    </row>
    <row r="917" spans="10:14" x14ac:dyDescent="0.4">
      <c r="J917" s="26"/>
      <c r="N917" s="26"/>
    </row>
    <row r="918" spans="10:14" x14ac:dyDescent="0.4">
      <c r="J918" s="26"/>
      <c r="N918" s="26"/>
    </row>
    <row r="919" spans="10:14" x14ac:dyDescent="0.4">
      <c r="J919" s="26"/>
      <c r="N919" s="26"/>
    </row>
    <row r="920" spans="10:14" x14ac:dyDescent="0.4">
      <c r="J920" s="26"/>
      <c r="N920" s="26"/>
    </row>
    <row r="921" spans="10:14" x14ac:dyDescent="0.4">
      <c r="J921" s="26"/>
      <c r="N921" s="26"/>
    </row>
    <row r="922" spans="10:14" x14ac:dyDescent="0.4">
      <c r="J922" s="26"/>
      <c r="N922" s="26"/>
    </row>
    <row r="923" spans="10:14" x14ac:dyDescent="0.4">
      <c r="J923" s="26"/>
      <c r="N923" s="26"/>
    </row>
    <row r="924" spans="10:14" x14ac:dyDescent="0.4">
      <c r="J924" s="26"/>
      <c r="N924" s="26"/>
    </row>
    <row r="925" spans="10:14" x14ac:dyDescent="0.4">
      <c r="J925" s="26"/>
      <c r="N925" s="26"/>
    </row>
    <row r="926" spans="10:14" x14ac:dyDescent="0.4">
      <c r="J926" s="26"/>
      <c r="N926" s="26"/>
    </row>
    <row r="927" spans="10:14" x14ac:dyDescent="0.4">
      <c r="J927" s="26"/>
      <c r="N927" s="26"/>
    </row>
    <row r="928" spans="10:14" x14ac:dyDescent="0.4">
      <c r="J928" s="26"/>
      <c r="N928" s="26"/>
    </row>
    <row r="929" spans="10:14" x14ac:dyDescent="0.4">
      <c r="J929" s="26"/>
      <c r="N929" s="26"/>
    </row>
    <row r="930" spans="10:14" x14ac:dyDescent="0.4">
      <c r="J930" s="26"/>
      <c r="N930" s="26"/>
    </row>
    <row r="931" spans="10:14" x14ac:dyDescent="0.4">
      <c r="J931" s="26"/>
      <c r="N931" s="26"/>
    </row>
    <row r="932" spans="10:14" x14ac:dyDescent="0.4">
      <c r="J932" s="26"/>
      <c r="N932" s="26"/>
    </row>
    <row r="933" spans="10:14" x14ac:dyDescent="0.4">
      <c r="J933" s="26"/>
      <c r="N933" s="26"/>
    </row>
    <row r="934" spans="10:14" x14ac:dyDescent="0.4">
      <c r="J934" s="26"/>
      <c r="N934" s="26"/>
    </row>
    <row r="935" spans="10:14" x14ac:dyDescent="0.4">
      <c r="J935" s="26"/>
      <c r="N935" s="26"/>
    </row>
    <row r="936" spans="10:14" x14ac:dyDescent="0.4">
      <c r="J936" s="26"/>
      <c r="N936" s="26"/>
    </row>
    <row r="937" spans="10:14" x14ac:dyDescent="0.4">
      <c r="J937" s="26"/>
      <c r="N937" s="26"/>
    </row>
    <row r="938" spans="10:14" x14ac:dyDescent="0.4">
      <c r="J938" s="26"/>
      <c r="N938" s="26"/>
    </row>
    <row r="939" spans="10:14" x14ac:dyDescent="0.4">
      <c r="J939" s="26"/>
      <c r="N939" s="26"/>
    </row>
    <row r="940" spans="10:14" x14ac:dyDescent="0.4">
      <c r="J940" s="26"/>
      <c r="N940" s="26"/>
    </row>
    <row r="941" spans="10:14" x14ac:dyDescent="0.4">
      <c r="J941" s="26"/>
      <c r="N941" s="26"/>
    </row>
    <row r="942" spans="10:14" x14ac:dyDescent="0.4">
      <c r="J942" s="26"/>
      <c r="N942" s="26"/>
    </row>
    <row r="943" spans="10:14" x14ac:dyDescent="0.4">
      <c r="J943" s="26"/>
      <c r="N943" s="26"/>
    </row>
    <row r="944" spans="10:14" x14ac:dyDescent="0.4">
      <c r="J944" s="26"/>
      <c r="N944" s="26"/>
    </row>
    <row r="945" spans="10:14" x14ac:dyDescent="0.4">
      <c r="J945" s="26"/>
      <c r="N945" s="26"/>
    </row>
    <row r="946" spans="10:14" x14ac:dyDescent="0.4">
      <c r="J946" s="26"/>
      <c r="N946" s="26"/>
    </row>
    <row r="947" spans="10:14" x14ac:dyDescent="0.4">
      <c r="J947" s="26"/>
      <c r="N947" s="26"/>
    </row>
    <row r="948" spans="10:14" x14ac:dyDescent="0.4">
      <c r="J948" s="26"/>
      <c r="N948" s="26"/>
    </row>
    <row r="949" spans="10:14" x14ac:dyDescent="0.4">
      <c r="J949" s="26"/>
      <c r="N949" s="26"/>
    </row>
    <row r="950" spans="10:14" x14ac:dyDescent="0.4">
      <c r="J950" s="26"/>
      <c r="N950" s="26"/>
    </row>
    <row r="951" spans="10:14" x14ac:dyDescent="0.4">
      <c r="J951" s="26"/>
      <c r="N951" s="26"/>
    </row>
    <row r="952" spans="10:14" x14ac:dyDescent="0.4">
      <c r="J952" s="26"/>
      <c r="N952" s="26"/>
    </row>
    <row r="953" spans="10:14" x14ac:dyDescent="0.4">
      <c r="J953" s="26"/>
      <c r="N953" s="26"/>
    </row>
    <row r="954" spans="10:14" x14ac:dyDescent="0.4">
      <c r="J954" s="26"/>
      <c r="N954" s="26"/>
    </row>
    <row r="955" spans="10:14" x14ac:dyDescent="0.4">
      <c r="J955" s="26"/>
      <c r="N955" s="26"/>
    </row>
    <row r="956" spans="10:14" x14ac:dyDescent="0.4">
      <c r="J956" s="26"/>
      <c r="N956" s="26"/>
    </row>
    <row r="957" spans="10:14" x14ac:dyDescent="0.4">
      <c r="J957" s="26"/>
      <c r="N957" s="26"/>
    </row>
    <row r="958" spans="10:14" x14ac:dyDescent="0.4">
      <c r="J958" s="26"/>
      <c r="N958" s="26"/>
    </row>
    <row r="959" spans="10:14" x14ac:dyDescent="0.4">
      <c r="J959" s="26"/>
      <c r="N959" s="26"/>
    </row>
    <row r="960" spans="10:14" x14ac:dyDescent="0.4">
      <c r="J960" s="26"/>
      <c r="N960" s="26"/>
    </row>
    <row r="961" spans="10:14" x14ac:dyDescent="0.4">
      <c r="J961" s="26"/>
      <c r="N961" s="26"/>
    </row>
    <row r="962" spans="10:14" x14ac:dyDescent="0.4">
      <c r="J962" s="26"/>
      <c r="N962" s="26"/>
    </row>
    <row r="963" spans="10:14" x14ac:dyDescent="0.4">
      <c r="J963" s="26"/>
      <c r="N963" s="26"/>
    </row>
    <row r="964" spans="10:14" x14ac:dyDescent="0.4">
      <c r="J964" s="26"/>
      <c r="N964" s="26"/>
    </row>
    <row r="965" spans="10:14" x14ac:dyDescent="0.4">
      <c r="J965" s="26"/>
      <c r="N965" s="26"/>
    </row>
    <row r="966" spans="10:14" x14ac:dyDescent="0.4">
      <c r="J966" s="26"/>
      <c r="N966" s="26"/>
    </row>
    <row r="967" spans="10:14" x14ac:dyDescent="0.4">
      <c r="J967" s="26"/>
      <c r="N967" s="26"/>
    </row>
    <row r="968" spans="10:14" x14ac:dyDescent="0.4">
      <c r="J968" s="26"/>
      <c r="N968" s="26"/>
    </row>
    <row r="969" spans="10:14" x14ac:dyDescent="0.4">
      <c r="J969" s="26"/>
      <c r="N969" s="26"/>
    </row>
    <row r="970" spans="10:14" x14ac:dyDescent="0.4">
      <c r="J970" s="26"/>
      <c r="N970" s="26"/>
    </row>
    <row r="971" spans="10:14" x14ac:dyDescent="0.4">
      <c r="J971" s="26"/>
      <c r="N971" s="26"/>
    </row>
    <row r="972" spans="10:14" x14ac:dyDescent="0.4">
      <c r="J972" s="26"/>
      <c r="N972" s="26"/>
    </row>
    <row r="973" spans="10:14" x14ac:dyDescent="0.4">
      <c r="J973" s="26"/>
      <c r="N973" s="26"/>
    </row>
    <row r="974" spans="10:14" x14ac:dyDescent="0.4">
      <c r="J974" s="26"/>
      <c r="N974" s="26"/>
    </row>
    <row r="975" spans="10:14" x14ac:dyDescent="0.4">
      <c r="J975" s="26"/>
      <c r="N975" s="26"/>
    </row>
    <row r="976" spans="10:14" x14ac:dyDescent="0.4">
      <c r="J976" s="26"/>
      <c r="N976" s="26"/>
    </row>
    <row r="977" spans="10:14" x14ac:dyDescent="0.4">
      <c r="J977" s="26"/>
      <c r="N977" s="26"/>
    </row>
    <row r="978" spans="10:14" x14ac:dyDescent="0.4">
      <c r="J978" s="26"/>
      <c r="N978" s="26"/>
    </row>
    <row r="979" spans="10:14" x14ac:dyDescent="0.4">
      <c r="J979" s="26"/>
      <c r="N979" s="26"/>
    </row>
    <row r="980" spans="10:14" x14ac:dyDescent="0.4">
      <c r="J980" s="26"/>
      <c r="N980" s="26"/>
    </row>
    <row r="981" spans="10:14" x14ac:dyDescent="0.4">
      <c r="J981" s="26"/>
      <c r="N981" s="26"/>
    </row>
    <row r="982" spans="10:14" x14ac:dyDescent="0.4">
      <c r="J982" s="26"/>
      <c r="N982" s="26"/>
    </row>
    <row r="983" spans="10:14" x14ac:dyDescent="0.4">
      <c r="J983" s="26"/>
      <c r="N983" s="26"/>
    </row>
    <row r="984" spans="10:14" x14ac:dyDescent="0.4">
      <c r="J984" s="26"/>
      <c r="N984" s="26"/>
    </row>
    <row r="985" spans="10:14" x14ac:dyDescent="0.4">
      <c r="J985" s="26"/>
      <c r="N985" s="26"/>
    </row>
    <row r="986" spans="10:14" x14ac:dyDescent="0.4">
      <c r="J986" s="26"/>
      <c r="N986" s="26"/>
    </row>
    <row r="987" spans="10:14" x14ac:dyDescent="0.4">
      <c r="J987" s="26"/>
      <c r="N987" s="26"/>
    </row>
    <row r="988" spans="10:14" x14ac:dyDescent="0.4">
      <c r="J988" s="26"/>
      <c r="N988" s="26"/>
    </row>
    <row r="989" spans="10:14" x14ac:dyDescent="0.4">
      <c r="J989" s="26"/>
      <c r="N989" s="26"/>
    </row>
    <row r="990" spans="10:14" x14ac:dyDescent="0.4">
      <c r="J990" s="26"/>
      <c r="N990" s="26"/>
    </row>
    <row r="991" spans="10:14" x14ac:dyDescent="0.4">
      <c r="J991" s="26"/>
      <c r="N991" s="26"/>
    </row>
    <row r="992" spans="10:14" x14ac:dyDescent="0.4">
      <c r="J992" s="26"/>
      <c r="N992" s="26"/>
    </row>
    <row r="993" spans="10:14" x14ac:dyDescent="0.4">
      <c r="J993" s="26"/>
      <c r="N993" s="26"/>
    </row>
    <row r="994" spans="10:14" x14ac:dyDescent="0.4">
      <c r="J994" s="26"/>
      <c r="N994" s="26"/>
    </row>
    <row r="995" spans="10:14" x14ac:dyDescent="0.4">
      <c r="J995" s="26"/>
      <c r="N995" s="26"/>
    </row>
    <row r="996" spans="10:14" x14ac:dyDescent="0.4">
      <c r="J996" s="26"/>
      <c r="N996" s="26"/>
    </row>
    <row r="997" spans="10:14" x14ac:dyDescent="0.4">
      <c r="J997" s="26"/>
      <c r="N997" s="26"/>
    </row>
    <row r="998" spans="10:14" x14ac:dyDescent="0.4">
      <c r="J998" s="26"/>
      <c r="N998" s="26"/>
    </row>
    <row r="999" spans="10:14" x14ac:dyDescent="0.4">
      <c r="J999" s="26"/>
      <c r="N999" s="26"/>
    </row>
    <row r="1000" spans="10:14" x14ac:dyDescent="0.4">
      <c r="J1000" s="26"/>
      <c r="N1000" s="26"/>
    </row>
    <row r="1001" spans="10:14" x14ac:dyDescent="0.4">
      <c r="J1001" s="26"/>
      <c r="N1001" s="26"/>
    </row>
    <row r="1002" spans="10:14" x14ac:dyDescent="0.4">
      <c r="J1002" s="26"/>
      <c r="N1002" s="26"/>
    </row>
    <row r="1003" spans="10:14" x14ac:dyDescent="0.4">
      <c r="J1003" s="26"/>
      <c r="N1003" s="26"/>
    </row>
    <row r="1004" spans="10:14" x14ac:dyDescent="0.4">
      <c r="J1004" s="26"/>
      <c r="N1004" s="26"/>
    </row>
    <row r="1005" spans="10:14" x14ac:dyDescent="0.4">
      <c r="J1005" s="26"/>
      <c r="N1005" s="26"/>
    </row>
    <row r="1006" spans="10:14" x14ac:dyDescent="0.4">
      <c r="J1006" s="26"/>
      <c r="N1006" s="26"/>
    </row>
    <row r="1007" spans="10:14" x14ac:dyDescent="0.4">
      <c r="J1007" s="26"/>
      <c r="N1007" s="26"/>
    </row>
    <row r="1008" spans="10:14" x14ac:dyDescent="0.4">
      <c r="J1008" s="26"/>
      <c r="N1008" s="26"/>
    </row>
    <row r="1009" spans="10:14" x14ac:dyDescent="0.4">
      <c r="J1009" s="26"/>
      <c r="N1009" s="26"/>
    </row>
    <row r="1010" spans="10:14" x14ac:dyDescent="0.4">
      <c r="J1010" s="26"/>
      <c r="N1010" s="26"/>
    </row>
    <row r="1011" spans="10:14" x14ac:dyDescent="0.4">
      <c r="J1011" s="26"/>
      <c r="N1011" s="26"/>
    </row>
    <row r="1012" spans="10:14" x14ac:dyDescent="0.4">
      <c r="J1012" s="26"/>
      <c r="N1012" s="26"/>
    </row>
    <row r="1013" spans="10:14" x14ac:dyDescent="0.4">
      <c r="J1013" s="26"/>
      <c r="N1013" s="26"/>
    </row>
    <row r="1014" spans="10:14" x14ac:dyDescent="0.4">
      <c r="J1014" s="26"/>
      <c r="N1014" s="26"/>
    </row>
    <row r="1015" spans="10:14" x14ac:dyDescent="0.4">
      <c r="J1015" s="26"/>
      <c r="N1015" s="26"/>
    </row>
    <row r="1016" spans="10:14" x14ac:dyDescent="0.4">
      <c r="J1016" s="26"/>
      <c r="N1016" s="26"/>
    </row>
    <row r="1017" spans="10:14" x14ac:dyDescent="0.4">
      <c r="J1017" s="26"/>
      <c r="N1017" s="26"/>
    </row>
    <row r="1018" spans="10:14" x14ac:dyDescent="0.4">
      <c r="J1018" s="26"/>
      <c r="N1018" s="26"/>
    </row>
    <row r="1019" spans="10:14" x14ac:dyDescent="0.4">
      <c r="J1019" s="26"/>
      <c r="N1019" s="26"/>
    </row>
    <row r="1020" spans="10:14" x14ac:dyDescent="0.4">
      <c r="J1020" s="26"/>
      <c r="N1020" s="26"/>
    </row>
    <row r="1021" spans="10:14" x14ac:dyDescent="0.4">
      <c r="J1021" s="26"/>
      <c r="N1021" s="26"/>
    </row>
    <row r="1022" spans="10:14" x14ac:dyDescent="0.4">
      <c r="J1022" s="26"/>
      <c r="N1022" s="26"/>
    </row>
    <row r="1023" spans="10:14" x14ac:dyDescent="0.4">
      <c r="J1023" s="26"/>
      <c r="N1023" s="26"/>
    </row>
    <row r="1024" spans="10:14" x14ac:dyDescent="0.4">
      <c r="J1024" s="26"/>
      <c r="N1024" s="26"/>
    </row>
    <row r="1025" spans="10:14" x14ac:dyDescent="0.4">
      <c r="J1025" s="26"/>
      <c r="N1025" s="26"/>
    </row>
    <row r="1026" spans="10:14" x14ac:dyDescent="0.4">
      <c r="J1026" s="26"/>
      <c r="N1026" s="26"/>
    </row>
    <row r="1027" spans="10:14" x14ac:dyDescent="0.4">
      <c r="J1027" s="26"/>
      <c r="N1027" s="26"/>
    </row>
    <row r="1028" spans="10:14" x14ac:dyDescent="0.4">
      <c r="J1028" s="26"/>
      <c r="N1028" s="26"/>
    </row>
    <row r="1029" spans="10:14" x14ac:dyDescent="0.4">
      <c r="J1029" s="26"/>
      <c r="N1029" s="26"/>
    </row>
    <row r="1030" spans="10:14" x14ac:dyDescent="0.4">
      <c r="J1030" s="26"/>
      <c r="N1030" s="26"/>
    </row>
    <row r="1031" spans="10:14" x14ac:dyDescent="0.4">
      <c r="J1031" s="26"/>
      <c r="N1031" s="26"/>
    </row>
    <row r="1032" spans="10:14" x14ac:dyDescent="0.4">
      <c r="J1032" s="26"/>
      <c r="N1032" s="26"/>
    </row>
    <row r="1033" spans="10:14" x14ac:dyDescent="0.4">
      <c r="J1033" s="26"/>
      <c r="N1033" s="26"/>
    </row>
    <row r="1034" spans="10:14" x14ac:dyDescent="0.4">
      <c r="J1034" s="26"/>
      <c r="N1034" s="26"/>
    </row>
    <row r="1035" spans="10:14" x14ac:dyDescent="0.4">
      <c r="J1035" s="26"/>
      <c r="N1035" s="26"/>
    </row>
    <row r="1036" spans="10:14" x14ac:dyDescent="0.4">
      <c r="J1036" s="26"/>
      <c r="N1036" s="26"/>
    </row>
    <row r="1037" spans="10:14" x14ac:dyDescent="0.4">
      <c r="J1037" s="26"/>
      <c r="N1037" s="26"/>
    </row>
    <row r="1038" spans="10:14" x14ac:dyDescent="0.4">
      <c r="J1038" s="26"/>
      <c r="N1038" s="26"/>
    </row>
    <row r="1039" spans="10:14" x14ac:dyDescent="0.4">
      <c r="J1039" s="26"/>
      <c r="N1039" s="26"/>
    </row>
    <row r="1040" spans="10:14" x14ac:dyDescent="0.4">
      <c r="J1040" s="26"/>
      <c r="N1040" s="26"/>
    </row>
    <row r="1041" spans="10:14" x14ac:dyDescent="0.4">
      <c r="J1041" s="26"/>
      <c r="N1041" s="26"/>
    </row>
    <row r="1042" spans="10:14" x14ac:dyDescent="0.4">
      <c r="J1042" s="26"/>
      <c r="N1042" s="26"/>
    </row>
    <row r="1043" spans="10:14" x14ac:dyDescent="0.4">
      <c r="J1043" s="26"/>
      <c r="N1043" s="26"/>
    </row>
    <row r="1044" spans="10:14" x14ac:dyDescent="0.4">
      <c r="J1044" s="26"/>
      <c r="N1044" s="26"/>
    </row>
    <row r="1045" spans="10:14" x14ac:dyDescent="0.4">
      <c r="J1045" s="26"/>
      <c r="N1045" s="26"/>
    </row>
    <row r="1046" spans="10:14" x14ac:dyDescent="0.4">
      <c r="J1046" s="26"/>
      <c r="N1046" s="26"/>
    </row>
    <row r="1047" spans="10:14" x14ac:dyDescent="0.4">
      <c r="J1047" s="26"/>
      <c r="N1047" s="26"/>
    </row>
    <row r="1048" spans="10:14" x14ac:dyDescent="0.4">
      <c r="J1048" s="26"/>
      <c r="N1048" s="26"/>
    </row>
    <row r="1049" spans="10:14" x14ac:dyDescent="0.4">
      <c r="J1049" s="26"/>
      <c r="N1049" s="26"/>
    </row>
    <row r="1050" spans="10:14" x14ac:dyDescent="0.4">
      <c r="J1050" s="26"/>
      <c r="N1050" s="26"/>
    </row>
    <row r="1051" spans="10:14" x14ac:dyDescent="0.4">
      <c r="J1051" s="26"/>
      <c r="N1051" s="26"/>
    </row>
    <row r="1052" spans="10:14" x14ac:dyDescent="0.4">
      <c r="J1052" s="26"/>
      <c r="N1052" s="26"/>
    </row>
    <row r="1053" spans="10:14" x14ac:dyDescent="0.4">
      <c r="J1053" s="26"/>
      <c r="N1053" s="26"/>
    </row>
    <row r="1054" spans="10:14" x14ac:dyDescent="0.4">
      <c r="J1054" s="26"/>
      <c r="N1054" s="26"/>
    </row>
    <row r="1055" spans="10:14" x14ac:dyDescent="0.4">
      <c r="J1055" s="26"/>
      <c r="N1055" s="26"/>
    </row>
    <row r="1056" spans="10:14" x14ac:dyDescent="0.4">
      <c r="J1056" s="26"/>
      <c r="N1056" s="26"/>
    </row>
    <row r="1057" spans="10:14" x14ac:dyDescent="0.4">
      <c r="J1057" s="26"/>
      <c r="N1057" s="26"/>
    </row>
    <row r="1058" spans="10:14" x14ac:dyDescent="0.4">
      <c r="J1058" s="26"/>
      <c r="N1058" s="26"/>
    </row>
    <row r="1059" spans="10:14" x14ac:dyDescent="0.4">
      <c r="J1059" s="26"/>
      <c r="N1059" s="26"/>
    </row>
    <row r="1060" spans="10:14" x14ac:dyDescent="0.4">
      <c r="J1060" s="26"/>
      <c r="N1060" s="26"/>
    </row>
    <row r="1061" spans="10:14" x14ac:dyDescent="0.4">
      <c r="J1061" s="26"/>
      <c r="N1061" s="26"/>
    </row>
    <row r="1062" spans="10:14" x14ac:dyDescent="0.4">
      <c r="J1062" s="26"/>
      <c r="N1062" s="26"/>
    </row>
    <row r="1063" spans="10:14" x14ac:dyDescent="0.4">
      <c r="J1063" s="26"/>
      <c r="N1063" s="26"/>
    </row>
    <row r="1064" spans="10:14" x14ac:dyDescent="0.4">
      <c r="J1064" s="26"/>
      <c r="N1064" s="26"/>
    </row>
    <row r="1065" spans="10:14" x14ac:dyDescent="0.4">
      <c r="J1065" s="26"/>
      <c r="N1065" s="26"/>
    </row>
    <row r="1066" spans="10:14" x14ac:dyDescent="0.4">
      <c r="J1066" s="26"/>
      <c r="N1066" s="26"/>
    </row>
    <row r="1067" spans="10:14" x14ac:dyDescent="0.4">
      <c r="J1067" s="26"/>
      <c r="N1067" s="26"/>
    </row>
    <row r="1068" spans="10:14" x14ac:dyDescent="0.4">
      <c r="J1068" s="26"/>
      <c r="N1068" s="26"/>
    </row>
    <row r="1069" spans="10:14" x14ac:dyDescent="0.4">
      <c r="J1069" s="26"/>
      <c r="N1069" s="26"/>
    </row>
    <row r="1070" spans="10:14" x14ac:dyDescent="0.4">
      <c r="J1070" s="26"/>
      <c r="N1070" s="26"/>
    </row>
    <row r="1071" spans="10:14" x14ac:dyDescent="0.4">
      <c r="J1071" s="26"/>
      <c r="N1071" s="26"/>
    </row>
    <row r="1072" spans="10:14" x14ac:dyDescent="0.4">
      <c r="J1072" s="26"/>
      <c r="N1072" s="26"/>
    </row>
    <row r="1073" spans="10:14" x14ac:dyDescent="0.4">
      <c r="J1073" s="26"/>
      <c r="N1073" s="26"/>
    </row>
    <row r="1074" spans="10:14" x14ac:dyDescent="0.4">
      <c r="J1074" s="26"/>
      <c r="N1074" s="26"/>
    </row>
    <row r="1075" spans="10:14" x14ac:dyDescent="0.4">
      <c r="J1075" s="26"/>
      <c r="N1075" s="26"/>
    </row>
    <row r="1076" spans="10:14" x14ac:dyDescent="0.4">
      <c r="J1076" s="26"/>
      <c r="N1076" s="26"/>
    </row>
    <row r="1077" spans="10:14" x14ac:dyDescent="0.4">
      <c r="J1077" s="26"/>
      <c r="N1077" s="26"/>
    </row>
    <row r="1078" spans="10:14" x14ac:dyDescent="0.4">
      <c r="J1078" s="26"/>
      <c r="N1078" s="26"/>
    </row>
    <row r="1079" spans="10:14" x14ac:dyDescent="0.4">
      <c r="J1079" s="26"/>
      <c r="N1079" s="26"/>
    </row>
    <row r="1080" spans="10:14" x14ac:dyDescent="0.4">
      <c r="J1080" s="26"/>
      <c r="N1080" s="26"/>
    </row>
    <row r="1081" spans="10:14" x14ac:dyDescent="0.4">
      <c r="J1081" s="26"/>
      <c r="N1081" s="26"/>
    </row>
    <row r="1082" spans="10:14" x14ac:dyDescent="0.4">
      <c r="J1082" s="26"/>
      <c r="N1082" s="26"/>
    </row>
    <row r="1083" spans="10:14" x14ac:dyDescent="0.4">
      <c r="J1083" s="26"/>
      <c r="N1083" s="26"/>
    </row>
    <row r="1084" spans="10:14" x14ac:dyDescent="0.4">
      <c r="J1084" s="26"/>
      <c r="N1084" s="26"/>
    </row>
    <row r="1085" spans="10:14" x14ac:dyDescent="0.4">
      <c r="J1085" s="26"/>
      <c r="N1085" s="26"/>
    </row>
    <row r="1086" spans="10:14" x14ac:dyDescent="0.4">
      <c r="J1086" s="26"/>
      <c r="N1086" s="26"/>
    </row>
    <row r="1087" spans="10:14" x14ac:dyDescent="0.4">
      <c r="J1087" s="26"/>
      <c r="N1087" s="26"/>
    </row>
    <row r="1088" spans="10:14" x14ac:dyDescent="0.4">
      <c r="J1088" s="26"/>
      <c r="N1088" s="26"/>
    </row>
    <row r="1089" spans="10:14" x14ac:dyDescent="0.4">
      <c r="J1089" s="26"/>
      <c r="N1089" s="26"/>
    </row>
    <row r="1090" spans="10:14" x14ac:dyDescent="0.4">
      <c r="J1090" s="26"/>
      <c r="N1090" s="26"/>
    </row>
    <row r="1091" spans="10:14" x14ac:dyDescent="0.4">
      <c r="J1091" s="26"/>
      <c r="N1091" s="26"/>
    </row>
    <row r="1092" spans="10:14" x14ac:dyDescent="0.4">
      <c r="J1092" s="26"/>
      <c r="N1092" s="26"/>
    </row>
    <row r="1093" spans="10:14" x14ac:dyDescent="0.4">
      <c r="J1093" s="26"/>
      <c r="N1093" s="26"/>
    </row>
    <row r="1094" spans="10:14" x14ac:dyDescent="0.4">
      <c r="J1094" s="26"/>
      <c r="N1094" s="26"/>
    </row>
    <row r="1095" spans="10:14" x14ac:dyDescent="0.4">
      <c r="J1095" s="26"/>
      <c r="N1095" s="26"/>
    </row>
    <row r="1096" spans="10:14" x14ac:dyDescent="0.4">
      <c r="J1096" s="26"/>
      <c r="N1096" s="26"/>
    </row>
    <row r="1097" spans="10:14" x14ac:dyDescent="0.4">
      <c r="J1097" s="26"/>
      <c r="N1097" s="26"/>
    </row>
    <row r="1098" spans="10:14" x14ac:dyDescent="0.4">
      <c r="J1098" s="26"/>
      <c r="N1098" s="26"/>
    </row>
    <row r="1099" spans="10:14" x14ac:dyDescent="0.4">
      <c r="J1099" s="26"/>
      <c r="N1099" s="26"/>
    </row>
    <row r="1100" spans="10:14" x14ac:dyDescent="0.4">
      <c r="J1100" s="26"/>
      <c r="N1100" s="26"/>
    </row>
    <row r="1101" spans="10:14" x14ac:dyDescent="0.4">
      <c r="J1101" s="26"/>
      <c r="N1101" s="26"/>
    </row>
    <row r="1102" spans="10:14" x14ac:dyDescent="0.4">
      <c r="J1102" s="26"/>
      <c r="N1102" s="26"/>
    </row>
    <row r="1103" spans="10:14" x14ac:dyDescent="0.4">
      <c r="J1103" s="26"/>
      <c r="N1103" s="26"/>
    </row>
    <row r="1104" spans="10:14" x14ac:dyDescent="0.4">
      <c r="J1104" s="26"/>
      <c r="N1104" s="26"/>
    </row>
    <row r="1105" spans="10:14" x14ac:dyDescent="0.4">
      <c r="J1105" s="26"/>
      <c r="N1105" s="26"/>
    </row>
    <row r="1106" spans="10:14" x14ac:dyDescent="0.4">
      <c r="J1106" s="26"/>
      <c r="N1106" s="26"/>
    </row>
    <row r="1107" spans="10:14" x14ac:dyDescent="0.4">
      <c r="J1107" s="26"/>
      <c r="N1107" s="26"/>
    </row>
    <row r="1108" spans="10:14" x14ac:dyDescent="0.4">
      <c r="J1108" s="26"/>
      <c r="N1108" s="26"/>
    </row>
    <row r="1109" spans="10:14" x14ac:dyDescent="0.4">
      <c r="J1109" s="26"/>
      <c r="N1109" s="26"/>
    </row>
    <row r="1110" spans="10:14" x14ac:dyDescent="0.4">
      <c r="J1110" s="26"/>
      <c r="N1110" s="26"/>
    </row>
    <row r="1111" spans="10:14" x14ac:dyDescent="0.4">
      <c r="J1111" s="26"/>
      <c r="N1111" s="26"/>
    </row>
    <row r="1112" spans="10:14" x14ac:dyDescent="0.4">
      <c r="J1112" s="26"/>
      <c r="N1112" s="26"/>
    </row>
    <row r="1113" spans="10:14" x14ac:dyDescent="0.4">
      <c r="J1113" s="26"/>
      <c r="N1113" s="26"/>
    </row>
    <row r="1114" spans="10:14" x14ac:dyDescent="0.4">
      <c r="J1114" s="26"/>
      <c r="N1114" s="26"/>
    </row>
    <row r="1115" spans="10:14" x14ac:dyDescent="0.4">
      <c r="J1115" s="26"/>
      <c r="N1115" s="26"/>
    </row>
    <row r="1116" spans="10:14" x14ac:dyDescent="0.4">
      <c r="J1116" s="26"/>
      <c r="N1116" s="26"/>
    </row>
    <row r="1117" spans="10:14" x14ac:dyDescent="0.4">
      <c r="J1117" s="26"/>
      <c r="N1117" s="26"/>
    </row>
    <row r="1118" spans="10:14" x14ac:dyDescent="0.4">
      <c r="J1118" s="26"/>
      <c r="N1118" s="26"/>
    </row>
    <row r="1119" spans="10:14" x14ac:dyDescent="0.4">
      <c r="J1119" s="26"/>
      <c r="N1119" s="26"/>
    </row>
    <row r="1120" spans="10:14" x14ac:dyDescent="0.4">
      <c r="J1120" s="26"/>
      <c r="N1120" s="26"/>
    </row>
    <row r="1121" spans="10:14" x14ac:dyDescent="0.4">
      <c r="J1121" s="26"/>
      <c r="N1121" s="26"/>
    </row>
    <row r="1122" spans="10:14" x14ac:dyDescent="0.4">
      <c r="J1122" s="26"/>
      <c r="N1122" s="26"/>
    </row>
    <row r="1123" spans="10:14" x14ac:dyDescent="0.4">
      <c r="J1123" s="26"/>
      <c r="N1123" s="26"/>
    </row>
    <row r="1124" spans="10:14" x14ac:dyDescent="0.4">
      <c r="J1124" s="26"/>
      <c r="N1124" s="26"/>
    </row>
    <row r="1125" spans="10:14" x14ac:dyDescent="0.4">
      <c r="J1125" s="26"/>
      <c r="N1125" s="26"/>
    </row>
    <row r="1126" spans="10:14" x14ac:dyDescent="0.4">
      <c r="J1126" s="26"/>
      <c r="N1126" s="26"/>
    </row>
    <row r="1127" spans="10:14" x14ac:dyDescent="0.4">
      <c r="J1127" s="26"/>
      <c r="N1127" s="26"/>
    </row>
    <row r="1128" spans="10:14" x14ac:dyDescent="0.4">
      <c r="J1128" s="26"/>
      <c r="N1128" s="26"/>
    </row>
    <row r="1129" spans="10:14" x14ac:dyDescent="0.4">
      <c r="J1129" s="26"/>
      <c r="N1129" s="26"/>
    </row>
    <row r="1130" spans="10:14" x14ac:dyDescent="0.4">
      <c r="J1130" s="26"/>
      <c r="N1130" s="26"/>
    </row>
    <row r="1131" spans="10:14" x14ac:dyDescent="0.4">
      <c r="J1131" s="26"/>
      <c r="N1131" s="26"/>
    </row>
    <row r="1132" spans="10:14" x14ac:dyDescent="0.4">
      <c r="J1132" s="26"/>
      <c r="N1132" s="26"/>
    </row>
    <row r="1133" spans="10:14" x14ac:dyDescent="0.4">
      <c r="J1133" s="26"/>
      <c r="N1133" s="26"/>
    </row>
    <row r="1134" spans="10:14" x14ac:dyDescent="0.4">
      <c r="J1134" s="26"/>
      <c r="N1134" s="26"/>
    </row>
    <row r="1135" spans="10:14" x14ac:dyDescent="0.4">
      <c r="J1135" s="26"/>
      <c r="N1135" s="26"/>
    </row>
    <row r="1136" spans="10:14" x14ac:dyDescent="0.4">
      <c r="J1136" s="26"/>
      <c r="N1136" s="26"/>
    </row>
    <row r="1137" spans="10:14" x14ac:dyDescent="0.4">
      <c r="J1137" s="26"/>
      <c r="N1137" s="26"/>
    </row>
    <row r="1138" spans="10:14" x14ac:dyDescent="0.4">
      <c r="J1138" s="26"/>
      <c r="N1138" s="26"/>
    </row>
    <row r="1139" spans="10:14" x14ac:dyDescent="0.4">
      <c r="J1139" s="26"/>
      <c r="N1139" s="26"/>
    </row>
    <row r="1140" spans="10:14" x14ac:dyDescent="0.4">
      <c r="J1140" s="26"/>
      <c r="N1140" s="26"/>
    </row>
    <row r="1141" spans="10:14" x14ac:dyDescent="0.4">
      <c r="J1141" s="26"/>
      <c r="N1141" s="26"/>
    </row>
    <row r="1142" spans="10:14" x14ac:dyDescent="0.4">
      <c r="J1142" s="26"/>
      <c r="N1142" s="26"/>
    </row>
    <row r="1143" spans="10:14" x14ac:dyDescent="0.4">
      <c r="J1143" s="26"/>
      <c r="N1143" s="26"/>
    </row>
    <row r="1144" spans="10:14" x14ac:dyDescent="0.4">
      <c r="J1144" s="26"/>
      <c r="N1144" s="26"/>
    </row>
    <row r="1145" spans="10:14" x14ac:dyDescent="0.4">
      <c r="J1145" s="26"/>
      <c r="N1145" s="26"/>
    </row>
    <row r="1146" spans="10:14" x14ac:dyDescent="0.4">
      <c r="J1146" s="26"/>
      <c r="N1146" s="26"/>
    </row>
    <row r="1147" spans="10:14" x14ac:dyDescent="0.4">
      <c r="J1147" s="26"/>
      <c r="N1147" s="26"/>
    </row>
    <row r="1148" spans="10:14" x14ac:dyDescent="0.4">
      <c r="J1148" s="26"/>
      <c r="N1148" s="26"/>
    </row>
    <row r="1149" spans="10:14" x14ac:dyDescent="0.4">
      <c r="J1149" s="26"/>
      <c r="N1149" s="26"/>
    </row>
    <row r="1150" spans="10:14" x14ac:dyDescent="0.4">
      <c r="J1150" s="26"/>
      <c r="N1150" s="26"/>
    </row>
    <row r="1151" spans="10:14" x14ac:dyDescent="0.4">
      <c r="J1151" s="26"/>
      <c r="N1151" s="26"/>
    </row>
    <row r="1152" spans="10:14" x14ac:dyDescent="0.4">
      <c r="J1152" s="26"/>
      <c r="N1152" s="26"/>
    </row>
    <row r="1153" spans="10:14" x14ac:dyDescent="0.4">
      <c r="J1153" s="26"/>
      <c r="N1153" s="26"/>
    </row>
    <row r="1154" spans="10:14" x14ac:dyDescent="0.4">
      <c r="J1154" s="26"/>
      <c r="N1154" s="26"/>
    </row>
    <row r="1155" spans="10:14" x14ac:dyDescent="0.4">
      <c r="J1155" s="26"/>
      <c r="N1155" s="26"/>
    </row>
    <row r="1156" spans="10:14" x14ac:dyDescent="0.4">
      <c r="J1156" s="26"/>
      <c r="N1156" s="26"/>
    </row>
    <row r="1157" spans="10:14" x14ac:dyDescent="0.4">
      <c r="J1157" s="26"/>
      <c r="N1157" s="26"/>
    </row>
    <row r="1158" spans="10:14" x14ac:dyDescent="0.4">
      <c r="J1158" s="26"/>
      <c r="N1158" s="26"/>
    </row>
    <row r="1159" spans="10:14" x14ac:dyDescent="0.4">
      <c r="J1159" s="26"/>
      <c r="N1159" s="26"/>
    </row>
    <row r="1160" spans="10:14" x14ac:dyDescent="0.4">
      <c r="J1160" s="26"/>
      <c r="N1160" s="26"/>
    </row>
    <row r="1161" spans="10:14" x14ac:dyDescent="0.4">
      <c r="J1161" s="26"/>
      <c r="N1161" s="26"/>
    </row>
    <row r="1162" spans="10:14" x14ac:dyDescent="0.4">
      <c r="J1162" s="26"/>
      <c r="N1162" s="26"/>
    </row>
    <row r="1163" spans="10:14" x14ac:dyDescent="0.4">
      <c r="J1163" s="26"/>
      <c r="N1163" s="26"/>
    </row>
    <row r="1164" spans="10:14" x14ac:dyDescent="0.4">
      <c r="J1164" s="26"/>
      <c r="N1164" s="26"/>
    </row>
    <row r="1165" spans="10:14" x14ac:dyDescent="0.4">
      <c r="J1165" s="26"/>
      <c r="N1165" s="26"/>
    </row>
    <row r="1166" spans="10:14" x14ac:dyDescent="0.4">
      <c r="J1166" s="26"/>
      <c r="N1166" s="26"/>
    </row>
    <row r="1167" spans="10:14" x14ac:dyDescent="0.4">
      <c r="J1167" s="26"/>
      <c r="N1167" s="26"/>
    </row>
    <row r="1168" spans="10:14" x14ac:dyDescent="0.4">
      <c r="J1168" s="26"/>
      <c r="N1168" s="26"/>
    </row>
    <row r="1169" spans="10:14" x14ac:dyDescent="0.4">
      <c r="J1169" s="26"/>
      <c r="N1169" s="26"/>
    </row>
    <row r="1170" spans="10:14" x14ac:dyDescent="0.4">
      <c r="J1170" s="26"/>
      <c r="N1170" s="26"/>
    </row>
    <row r="1171" spans="10:14" x14ac:dyDescent="0.4">
      <c r="J1171" s="26"/>
      <c r="N1171" s="26"/>
    </row>
    <row r="1172" spans="10:14" x14ac:dyDescent="0.4">
      <c r="J1172" s="26"/>
      <c r="N1172" s="26"/>
    </row>
    <row r="1173" spans="10:14" x14ac:dyDescent="0.4">
      <c r="J1173" s="26"/>
      <c r="N1173" s="26"/>
    </row>
    <row r="1174" spans="10:14" x14ac:dyDescent="0.4">
      <c r="J1174" s="26"/>
      <c r="N1174" s="26"/>
    </row>
    <row r="1175" spans="10:14" x14ac:dyDescent="0.4">
      <c r="J1175" s="26"/>
      <c r="N1175" s="26"/>
    </row>
    <row r="1176" spans="10:14" x14ac:dyDescent="0.4">
      <c r="J1176" s="26"/>
      <c r="N1176" s="26"/>
    </row>
    <row r="1177" spans="10:14" x14ac:dyDescent="0.4">
      <c r="J1177" s="26"/>
      <c r="N1177" s="26"/>
    </row>
    <row r="1178" spans="10:14" x14ac:dyDescent="0.4">
      <c r="J1178" s="26"/>
      <c r="N1178" s="26"/>
    </row>
    <row r="1179" spans="10:14" x14ac:dyDescent="0.4">
      <c r="J1179" s="26"/>
      <c r="N1179" s="26"/>
    </row>
    <row r="1180" spans="10:14" x14ac:dyDescent="0.4">
      <c r="J1180" s="26"/>
      <c r="N1180" s="26"/>
    </row>
    <row r="1181" spans="10:14" x14ac:dyDescent="0.4">
      <c r="J1181" s="26"/>
      <c r="N1181" s="26"/>
    </row>
    <row r="1182" spans="10:14" x14ac:dyDescent="0.4">
      <c r="J1182" s="26"/>
      <c r="N1182" s="26"/>
    </row>
    <row r="1183" spans="10:14" x14ac:dyDescent="0.4">
      <c r="J1183" s="26"/>
      <c r="N1183" s="26"/>
    </row>
    <row r="1184" spans="10:14" x14ac:dyDescent="0.4">
      <c r="J1184" s="26"/>
      <c r="N1184" s="26"/>
    </row>
    <row r="1185" spans="10:14" x14ac:dyDescent="0.4">
      <c r="J1185" s="26"/>
      <c r="N1185" s="26"/>
    </row>
    <row r="1186" spans="10:14" x14ac:dyDescent="0.4">
      <c r="J1186" s="26"/>
      <c r="N1186" s="26"/>
    </row>
    <row r="1187" spans="10:14" x14ac:dyDescent="0.4">
      <c r="J1187" s="26"/>
      <c r="N1187" s="26"/>
    </row>
    <row r="1188" spans="10:14" x14ac:dyDescent="0.4">
      <c r="J1188" s="26"/>
      <c r="N1188" s="26"/>
    </row>
    <row r="1189" spans="10:14" x14ac:dyDescent="0.4">
      <c r="J1189" s="26"/>
      <c r="N1189" s="26"/>
    </row>
    <row r="1190" spans="10:14" x14ac:dyDescent="0.4">
      <c r="J1190" s="26"/>
      <c r="N1190" s="26"/>
    </row>
    <row r="1191" spans="10:14" x14ac:dyDescent="0.4">
      <c r="J1191" s="26"/>
      <c r="N1191" s="26"/>
    </row>
    <row r="1192" spans="10:14" x14ac:dyDescent="0.4">
      <c r="J1192" s="26"/>
      <c r="N1192" s="26"/>
    </row>
    <row r="1193" spans="10:14" x14ac:dyDescent="0.4">
      <c r="J1193" s="26"/>
      <c r="N1193" s="26"/>
    </row>
    <row r="1194" spans="10:14" x14ac:dyDescent="0.4">
      <c r="J1194" s="26"/>
      <c r="N1194" s="26"/>
    </row>
    <row r="1195" spans="10:14" x14ac:dyDescent="0.4">
      <c r="J1195" s="26"/>
      <c r="N1195" s="26"/>
    </row>
    <row r="1196" spans="10:14" x14ac:dyDescent="0.4">
      <c r="J1196" s="26"/>
      <c r="N1196" s="26"/>
    </row>
    <row r="1197" spans="10:14" x14ac:dyDescent="0.4">
      <c r="J1197" s="26"/>
      <c r="N1197" s="26"/>
    </row>
    <row r="1198" spans="10:14" x14ac:dyDescent="0.4">
      <c r="J1198" s="26"/>
      <c r="N1198" s="26"/>
    </row>
    <row r="1199" spans="10:14" x14ac:dyDescent="0.4">
      <c r="J1199" s="26"/>
      <c r="N1199" s="26"/>
    </row>
    <row r="1200" spans="10:14" x14ac:dyDescent="0.4">
      <c r="J1200" s="26"/>
      <c r="N1200" s="26"/>
    </row>
    <row r="1201" spans="10:14" x14ac:dyDescent="0.4">
      <c r="J1201" s="26"/>
      <c r="N1201" s="26"/>
    </row>
    <row r="1202" spans="10:14" x14ac:dyDescent="0.4">
      <c r="J1202" s="26"/>
      <c r="N1202" s="26"/>
    </row>
    <row r="1203" spans="10:14" x14ac:dyDescent="0.4">
      <c r="J1203" s="26"/>
      <c r="N1203" s="26"/>
    </row>
    <row r="1204" spans="10:14" x14ac:dyDescent="0.4">
      <c r="J1204" s="26"/>
      <c r="N1204" s="26"/>
    </row>
    <row r="1205" spans="10:14" x14ac:dyDescent="0.4">
      <c r="J1205" s="26"/>
      <c r="N1205" s="26"/>
    </row>
    <row r="1206" spans="10:14" x14ac:dyDescent="0.4">
      <c r="J1206" s="26"/>
      <c r="N1206" s="26"/>
    </row>
    <row r="1207" spans="10:14" x14ac:dyDescent="0.4">
      <c r="J1207" s="26"/>
      <c r="N1207" s="26"/>
    </row>
    <row r="1208" spans="10:14" x14ac:dyDescent="0.4">
      <c r="J1208" s="26"/>
      <c r="N1208" s="26"/>
    </row>
    <row r="1209" spans="10:14" x14ac:dyDescent="0.4">
      <c r="J1209" s="26"/>
      <c r="N1209" s="26"/>
    </row>
    <row r="1210" spans="10:14" x14ac:dyDescent="0.4">
      <c r="J1210" s="26"/>
      <c r="N1210" s="26"/>
    </row>
    <row r="1211" spans="10:14" x14ac:dyDescent="0.4">
      <c r="J1211" s="26"/>
      <c r="N1211" s="26"/>
    </row>
    <row r="1212" spans="10:14" x14ac:dyDescent="0.4">
      <c r="J1212" s="26"/>
      <c r="N1212" s="26"/>
    </row>
    <row r="1213" spans="10:14" x14ac:dyDescent="0.4">
      <c r="J1213" s="26"/>
      <c r="N1213" s="26"/>
    </row>
    <row r="1214" spans="10:14" x14ac:dyDescent="0.4">
      <c r="J1214" s="26"/>
      <c r="N1214" s="26"/>
    </row>
    <row r="1215" spans="10:14" x14ac:dyDescent="0.4">
      <c r="J1215" s="26"/>
      <c r="N1215" s="26"/>
    </row>
    <row r="1216" spans="10:14" x14ac:dyDescent="0.4">
      <c r="J1216" s="26"/>
      <c r="N1216" s="26"/>
    </row>
    <row r="1217" spans="10:14" x14ac:dyDescent="0.4">
      <c r="J1217" s="26"/>
      <c r="N1217" s="26"/>
    </row>
    <row r="1218" spans="10:14" x14ac:dyDescent="0.4">
      <c r="J1218" s="26"/>
      <c r="N1218" s="26"/>
    </row>
    <row r="1219" spans="10:14" x14ac:dyDescent="0.4">
      <c r="J1219" s="26"/>
      <c r="N1219" s="26"/>
    </row>
    <row r="1220" spans="10:14" x14ac:dyDescent="0.4">
      <c r="J1220" s="26"/>
      <c r="N1220" s="26"/>
    </row>
    <row r="1221" spans="10:14" x14ac:dyDescent="0.4">
      <c r="J1221" s="26"/>
      <c r="N1221" s="26"/>
    </row>
    <row r="1222" spans="10:14" x14ac:dyDescent="0.4">
      <c r="J1222" s="26"/>
      <c r="N1222" s="26"/>
    </row>
    <row r="1223" spans="10:14" x14ac:dyDescent="0.4">
      <c r="J1223" s="26"/>
      <c r="N1223" s="26"/>
    </row>
    <row r="1224" spans="10:14" x14ac:dyDescent="0.4">
      <c r="J1224" s="26"/>
      <c r="N1224" s="26"/>
    </row>
    <row r="1225" spans="10:14" x14ac:dyDescent="0.4">
      <c r="J1225" s="26"/>
      <c r="N1225" s="26"/>
    </row>
    <row r="1226" spans="10:14" x14ac:dyDescent="0.4">
      <c r="J1226" s="26"/>
      <c r="N1226" s="26"/>
    </row>
    <row r="1227" spans="10:14" x14ac:dyDescent="0.4">
      <c r="J1227" s="26"/>
      <c r="N1227" s="26"/>
    </row>
    <row r="1228" spans="10:14" x14ac:dyDescent="0.4">
      <c r="J1228" s="26"/>
      <c r="N1228" s="26"/>
    </row>
    <row r="1229" spans="10:14" x14ac:dyDescent="0.4">
      <c r="J1229" s="26"/>
      <c r="N1229" s="26"/>
    </row>
    <row r="1230" spans="10:14" x14ac:dyDescent="0.4">
      <c r="J1230" s="26"/>
      <c r="N1230" s="26"/>
    </row>
    <row r="1231" spans="10:14" x14ac:dyDescent="0.4">
      <c r="J1231" s="26"/>
      <c r="N1231" s="26"/>
    </row>
    <row r="1232" spans="10:14" x14ac:dyDescent="0.4">
      <c r="J1232" s="26"/>
      <c r="N1232" s="26"/>
    </row>
    <row r="1233" spans="10:14" x14ac:dyDescent="0.4">
      <c r="J1233" s="26"/>
      <c r="N1233" s="26"/>
    </row>
    <row r="1234" spans="10:14" x14ac:dyDescent="0.4">
      <c r="J1234" s="26"/>
      <c r="N1234" s="26"/>
    </row>
    <row r="1235" spans="10:14" x14ac:dyDescent="0.4">
      <c r="J1235" s="26"/>
      <c r="N1235" s="26"/>
    </row>
    <row r="1236" spans="10:14" x14ac:dyDescent="0.4">
      <c r="J1236" s="26"/>
      <c r="N1236" s="26"/>
    </row>
    <row r="1237" spans="10:14" x14ac:dyDescent="0.4">
      <c r="J1237" s="26"/>
      <c r="N1237" s="26"/>
    </row>
    <row r="1238" spans="10:14" x14ac:dyDescent="0.4">
      <c r="J1238" s="26"/>
      <c r="N1238" s="26"/>
    </row>
    <row r="1239" spans="10:14" x14ac:dyDescent="0.4">
      <c r="J1239" s="26"/>
      <c r="N1239" s="26"/>
    </row>
    <row r="1240" spans="10:14" x14ac:dyDescent="0.4">
      <c r="J1240" s="26"/>
      <c r="N1240" s="26"/>
    </row>
    <row r="1241" spans="10:14" x14ac:dyDescent="0.4">
      <c r="J1241" s="26"/>
      <c r="N1241" s="26"/>
    </row>
    <row r="1242" spans="10:14" x14ac:dyDescent="0.4">
      <c r="J1242" s="26"/>
      <c r="N1242" s="26"/>
    </row>
    <row r="1243" spans="10:14" x14ac:dyDescent="0.4">
      <c r="J1243" s="26"/>
      <c r="N1243" s="26"/>
    </row>
    <row r="1244" spans="10:14" x14ac:dyDescent="0.4">
      <c r="J1244" s="26"/>
      <c r="N1244" s="26"/>
    </row>
    <row r="1245" spans="10:14" x14ac:dyDescent="0.4">
      <c r="J1245" s="26"/>
      <c r="N1245" s="26"/>
    </row>
    <row r="1246" spans="10:14" x14ac:dyDescent="0.4">
      <c r="J1246" s="26"/>
      <c r="N1246" s="26"/>
    </row>
    <row r="1247" spans="10:14" x14ac:dyDescent="0.4">
      <c r="J1247" s="26"/>
      <c r="N1247" s="26"/>
    </row>
    <row r="1248" spans="10:14" x14ac:dyDescent="0.4">
      <c r="J1248" s="26"/>
      <c r="N1248" s="26"/>
    </row>
    <row r="1249" spans="10:14" x14ac:dyDescent="0.4">
      <c r="J1249" s="26"/>
      <c r="N1249" s="26"/>
    </row>
    <row r="1250" spans="10:14" x14ac:dyDescent="0.4">
      <c r="J1250" s="26"/>
      <c r="N1250" s="26"/>
    </row>
    <row r="1251" spans="10:14" x14ac:dyDescent="0.4">
      <c r="J1251" s="26"/>
      <c r="N1251" s="26"/>
    </row>
    <row r="1252" spans="10:14" x14ac:dyDescent="0.4">
      <c r="J1252" s="26"/>
      <c r="N1252" s="26"/>
    </row>
    <row r="1253" spans="10:14" x14ac:dyDescent="0.4">
      <c r="J1253" s="26"/>
      <c r="N1253" s="26"/>
    </row>
    <row r="1254" spans="10:14" x14ac:dyDescent="0.4">
      <c r="J1254" s="26"/>
      <c r="N1254" s="26"/>
    </row>
    <row r="1255" spans="10:14" x14ac:dyDescent="0.4">
      <c r="J1255" s="26"/>
      <c r="N1255" s="26"/>
    </row>
    <row r="1256" spans="10:14" x14ac:dyDescent="0.4">
      <c r="J1256" s="26"/>
      <c r="N1256" s="26"/>
    </row>
    <row r="1257" spans="10:14" x14ac:dyDescent="0.4">
      <c r="J1257" s="26"/>
      <c r="N1257" s="26"/>
    </row>
    <row r="1258" spans="10:14" x14ac:dyDescent="0.4">
      <c r="J1258" s="26"/>
      <c r="N1258" s="26"/>
    </row>
    <row r="1259" spans="10:14" x14ac:dyDescent="0.4">
      <c r="J1259" s="26"/>
      <c r="N1259" s="26"/>
    </row>
    <row r="1260" spans="10:14" x14ac:dyDescent="0.4">
      <c r="J1260" s="26"/>
      <c r="N1260" s="26"/>
    </row>
    <row r="1261" spans="10:14" x14ac:dyDescent="0.4">
      <c r="J1261" s="26"/>
      <c r="N1261" s="26"/>
    </row>
    <row r="1262" spans="10:14" x14ac:dyDescent="0.4">
      <c r="J1262" s="26"/>
      <c r="N1262" s="26"/>
    </row>
    <row r="1263" spans="10:14" x14ac:dyDescent="0.4">
      <c r="J1263" s="26"/>
      <c r="N1263" s="26"/>
    </row>
    <row r="1264" spans="10:14" x14ac:dyDescent="0.4">
      <c r="J1264" s="26"/>
      <c r="N1264" s="26"/>
    </row>
    <row r="1265" spans="10:14" x14ac:dyDescent="0.4">
      <c r="J1265" s="26"/>
      <c r="N1265" s="26"/>
    </row>
    <row r="1266" spans="10:14" x14ac:dyDescent="0.4">
      <c r="J1266" s="26"/>
      <c r="N1266" s="26"/>
    </row>
    <row r="1267" spans="10:14" x14ac:dyDescent="0.4">
      <c r="J1267" s="26"/>
      <c r="N1267" s="26"/>
    </row>
    <row r="1268" spans="10:14" x14ac:dyDescent="0.4">
      <c r="J1268" s="26"/>
      <c r="N1268" s="26"/>
    </row>
    <row r="1269" spans="10:14" x14ac:dyDescent="0.4">
      <c r="J1269" s="26"/>
      <c r="N1269" s="26"/>
    </row>
    <row r="1270" spans="10:14" x14ac:dyDescent="0.4">
      <c r="J1270" s="26"/>
      <c r="N1270" s="26"/>
    </row>
    <row r="1271" spans="10:14" x14ac:dyDescent="0.4">
      <c r="J1271" s="26"/>
      <c r="N1271" s="26"/>
    </row>
    <row r="1272" spans="10:14" x14ac:dyDescent="0.4">
      <c r="J1272" s="26"/>
      <c r="N1272" s="26"/>
    </row>
    <row r="1273" spans="10:14" x14ac:dyDescent="0.4">
      <c r="J1273" s="26"/>
      <c r="N1273" s="26"/>
    </row>
    <row r="1274" spans="10:14" x14ac:dyDescent="0.4">
      <c r="J1274" s="26"/>
      <c r="N1274" s="26"/>
    </row>
    <row r="1275" spans="10:14" x14ac:dyDescent="0.4">
      <c r="J1275" s="26"/>
      <c r="N1275" s="26"/>
    </row>
    <row r="1276" spans="10:14" x14ac:dyDescent="0.4">
      <c r="J1276" s="26"/>
      <c r="N1276" s="26"/>
    </row>
    <row r="1277" spans="10:14" x14ac:dyDescent="0.4">
      <c r="J1277" s="26"/>
      <c r="N1277" s="26"/>
    </row>
    <row r="1278" spans="10:14" x14ac:dyDescent="0.4">
      <c r="J1278" s="26"/>
      <c r="N1278" s="26"/>
    </row>
    <row r="1279" spans="10:14" x14ac:dyDescent="0.4">
      <c r="J1279" s="26"/>
      <c r="N1279" s="26"/>
    </row>
    <row r="1280" spans="10:14" x14ac:dyDescent="0.4">
      <c r="J1280" s="26"/>
      <c r="N1280" s="26"/>
    </row>
    <row r="1281" spans="10:14" x14ac:dyDescent="0.4">
      <c r="J1281" s="26"/>
      <c r="N1281" s="26"/>
    </row>
    <row r="1282" spans="10:14" x14ac:dyDescent="0.4">
      <c r="J1282" s="26"/>
      <c r="N1282" s="26"/>
    </row>
    <row r="1283" spans="10:14" x14ac:dyDescent="0.4">
      <c r="J1283" s="26"/>
      <c r="N1283" s="26"/>
    </row>
    <row r="1284" spans="10:14" x14ac:dyDescent="0.4">
      <c r="J1284" s="26"/>
      <c r="N1284" s="26"/>
    </row>
    <row r="1285" spans="10:14" x14ac:dyDescent="0.4">
      <c r="J1285" s="26"/>
      <c r="N1285" s="26"/>
    </row>
    <row r="1286" spans="10:14" x14ac:dyDescent="0.4">
      <c r="J1286" s="26"/>
      <c r="N1286" s="26"/>
    </row>
    <row r="1287" spans="10:14" x14ac:dyDescent="0.4">
      <c r="J1287" s="26"/>
      <c r="N1287" s="26"/>
    </row>
    <row r="1288" spans="10:14" x14ac:dyDescent="0.4">
      <c r="J1288" s="26"/>
      <c r="N1288" s="26"/>
    </row>
    <row r="1289" spans="10:14" x14ac:dyDescent="0.4">
      <c r="J1289" s="26"/>
      <c r="N1289" s="26"/>
    </row>
    <row r="1290" spans="10:14" x14ac:dyDescent="0.4">
      <c r="J1290" s="26"/>
      <c r="N1290" s="26"/>
    </row>
    <row r="1291" spans="10:14" x14ac:dyDescent="0.4">
      <c r="J1291" s="26"/>
      <c r="N1291" s="26"/>
    </row>
    <row r="1292" spans="10:14" x14ac:dyDescent="0.4">
      <c r="J1292" s="26"/>
      <c r="N1292" s="26"/>
    </row>
    <row r="1293" spans="10:14" x14ac:dyDescent="0.4">
      <c r="J1293" s="26"/>
      <c r="N1293" s="26"/>
    </row>
    <row r="1294" spans="10:14" x14ac:dyDescent="0.4">
      <c r="J1294" s="26"/>
      <c r="N1294" s="26"/>
    </row>
    <row r="1295" spans="10:14" x14ac:dyDescent="0.4">
      <c r="J1295" s="26"/>
      <c r="N1295" s="26"/>
    </row>
    <row r="1296" spans="10:14" x14ac:dyDescent="0.4">
      <c r="J1296" s="26"/>
      <c r="N1296" s="26"/>
    </row>
    <row r="1297" spans="10:14" x14ac:dyDescent="0.4">
      <c r="J1297" s="26"/>
      <c r="N1297" s="26"/>
    </row>
    <row r="1298" spans="10:14" x14ac:dyDescent="0.4">
      <c r="J1298" s="26"/>
      <c r="N1298" s="26"/>
    </row>
    <row r="1299" spans="10:14" x14ac:dyDescent="0.4">
      <c r="J1299" s="26"/>
      <c r="N1299" s="26"/>
    </row>
    <row r="1300" spans="10:14" x14ac:dyDescent="0.4">
      <c r="J1300" s="26"/>
      <c r="N1300" s="26"/>
    </row>
    <row r="1301" spans="10:14" x14ac:dyDescent="0.4">
      <c r="J1301" s="26"/>
      <c r="N1301" s="26"/>
    </row>
    <row r="1302" spans="10:14" x14ac:dyDescent="0.4">
      <c r="J1302" s="26"/>
      <c r="N1302" s="26"/>
    </row>
    <row r="1303" spans="10:14" x14ac:dyDescent="0.4">
      <c r="J1303" s="26"/>
      <c r="N1303" s="26"/>
    </row>
    <row r="1304" spans="10:14" x14ac:dyDescent="0.4">
      <c r="J1304" s="26"/>
      <c r="N1304" s="26"/>
    </row>
    <row r="1305" spans="10:14" x14ac:dyDescent="0.4">
      <c r="J1305" s="26"/>
      <c r="N1305" s="26"/>
    </row>
    <row r="1306" spans="10:14" x14ac:dyDescent="0.4">
      <c r="J1306" s="26"/>
      <c r="N1306" s="26"/>
    </row>
    <row r="1307" spans="10:14" x14ac:dyDescent="0.4">
      <c r="J1307" s="26"/>
      <c r="N1307" s="26"/>
    </row>
    <row r="1308" spans="10:14" x14ac:dyDescent="0.4">
      <c r="J1308" s="26"/>
      <c r="N1308" s="26"/>
    </row>
    <row r="1309" spans="10:14" x14ac:dyDescent="0.4">
      <c r="J1309" s="26"/>
      <c r="N1309" s="26"/>
    </row>
    <row r="1310" spans="10:14" x14ac:dyDescent="0.4">
      <c r="J1310" s="26"/>
      <c r="N1310" s="26"/>
    </row>
    <row r="1311" spans="10:14" x14ac:dyDescent="0.4">
      <c r="J1311" s="26"/>
      <c r="N1311" s="26"/>
    </row>
    <row r="1312" spans="10:14" x14ac:dyDescent="0.4">
      <c r="J1312" s="26"/>
      <c r="N1312" s="26"/>
    </row>
    <row r="1313" spans="10:14" x14ac:dyDescent="0.4">
      <c r="J1313" s="26"/>
      <c r="N1313" s="26"/>
    </row>
    <row r="1314" spans="10:14" x14ac:dyDescent="0.4">
      <c r="J1314" s="26"/>
      <c r="N1314" s="26"/>
    </row>
    <row r="1315" spans="10:14" x14ac:dyDescent="0.4">
      <c r="J1315" s="26"/>
      <c r="N1315" s="26"/>
    </row>
    <row r="1316" spans="10:14" x14ac:dyDescent="0.4">
      <c r="J1316" s="26"/>
      <c r="N1316" s="26"/>
    </row>
    <row r="1317" spans="10:14" x14ac:dyDescent="0.4">
      <c r="J1317" s="26"/>
      <c r="N1317" s="26"/>
    </row>
    <row r="1318" spans="10:14" x14ac:dyDescent="0.4">
      <c r="J1318" s="26"/>
      <c r="N1318" s="26"/>
    </row>
    <row r="1319" spans="10:14" x14ac:dyDescent="0.4">
      <c r="J1319" s="26"/>
      <c r="N1319" s="26"/>
    </row>
    <row r="1320" spans="10:14" x14ac:dyDescent="0.4">
      <c r="J1320" s="26"/>
      <c r="N1320" s="26"/>
    </row>
    <row r="1321" spans="10:14" x14ac:dyDescent="0.4">
      <c r="J1321" s="26"/>
      <c r="N1321" s="26"/>
    </row>
    <row r="1322" spans="10:14" x14ac:dyDescent="0.4">
      <c r="J1322" s="26"/>
      <c r="N1322" s="26"/>
    </row>
    <row r="1323" spans="10:14" x14ac:dyDescent="0.4">
      <c r="J1323" s="26"/>
      <c r="N1323" s="26"/>
    </row>
    <row r="1324" spans="10:14" x14ac:dyDescent="0.4">
      <c r="J1324" s="26"/>
      <c r="N1324" s="26"/>
    </row>
    <row r="1325" spans="10:14" x14ac:dyDescent="0.4">
      <c r="J1325" s="26"/>
      <c r="N1325" s="26"/>
    </row>
    <row r="1326" spans="10:14" x14ac:dyDescent="0.4">
      <c r="J1326" s="26"/>
      <c r="N1326" s="26"/>
    </row>
    <row r="1327" spans="10:14" x14ac:dyDescent="0.4">
      <c r="J1327" s="26"/>
      <c r="N1327" s="26"/>
    </row>
    <row r="1328" spans="10:14" x14ac:dyDescent="0.4">
      <c r="J1328" s="26"/>
      <c r="N1328" s="26"/>
    </row>
    <row r="1329" spans="10:14" x14ac:dyDescent="0.4">
      <c r="J1329" s="26"/>
      <c r="N1329" s="26"/>
    </row>
    <row r="1330" spans="10:14" x14ac:dyDescent="0.4">
      <c r="J1330" s="26"/>
      <c r="N1330" s="26"/>
    </row>
    <row r="1331" spans="10:14" x14ac:dyDescent="0.4">
      <c r="J1331" s="26"/>
      <c r="N1331" s="26"/>
    </row>
    <row r="1332" spans="10:14" x14ac:dyDescent="0.4">
      <c r="J1332" s="26"/>
      <c r="N1332" s="26"/>
    </row>
    <row r="1333" spans="10:14" x14ac:dyDescent="0.4">
      <c r="J1333" s="26"/>
      <c r="N1333" s="26"/>
    </row>
    <row r="1334" spans="10:14" x14ac:dyDescent="0.4">
      <c r="J1334" s="26"/>
      <c r="N1334" s="26"/>
    </row>
    <row r="1335" spans="10:14" x14ac:dyDescent="0.4">
      <c r="J1335" s="26"/>
      <c r="N1335" s="26"/>
    </row>
    <row r="1336" spans="10:14" x14ac:dyDescent="0.4">
      <c r="J1336" s="26"/>
      <c r="N1336" s="26"/>
    </row>
    <row r="1337" spans="10:14" x14ac:dyDescent="0.4">
      <c r="J1337" s="26"/>
      <c r="N1337" s="26"/>
    </row>
    <row r="1338" spans="10:14" x14ac:dyDescent="0.4">
      <c r="J1338" s="26"/>
      <c r="N1338" s="26"/>
    </row>
    <row r="1339" spans="10:14" x14ac:dyDescent="0.4">
      <c r="J1339" s="26"/>
      <c r="N1339" s="26"/>
    </row>
    <row r="1340" spans="10:14" x14ac:dyDescent="0.4">
      <c r="J1340" s="26"/>
      <c r="N1340" s="26"/>
    </row>
    <row r="1341" spans="10:14" x14ac:dyDescent="0.4">
      <c r="J1341" s="26"/>
      <c r="N1341" s="26"/>
    </row>
    <row r="1342" spans="10:14" x14ac:dyDescent="0.4">
      <c r="J1342" s="26"/>
      <c r="N1342" s="26"/>
    </row>
    <row r="1343" spans="10:14" x14ac:dyDescent="0.4">
      <c r="J1343" s="26"/>
      <c r="N1343" s="26"/>
    </row>
    <row r="1344" spans="10:14" x14ac:dyDescent="0.4">
      <c r="J1344" s="26"/>
      <c r="N1344" s="26"/>
    </row>
    <row r="1345" spans="10:14" x14ac:dyDescent="0.4">
      <c r="J1345" s="26"/>
      <c r="N1345" s="26"/>
    </row>
    <row r="1346" spans="10:14" x14ac:dyDescent="0.4">
      <c r="J1346" s="26"/>
      <c r="N1346" s="26"/>
    </row>
    <row r="1347" spans="10:14" x14ac:dyDescent="0.4">
      <c r="J1347" s="26"/>
      <c r="N1347" s="26"/>
    </row>
    <row r="1348" spans="10:14" x14ac:dyDescent="0.4">
      <c r="J1348" s="26"/>
      <c r="N1348" s="26"/>
    </row>
    <row r="1349" spans="10:14" x14ac:dyDescent="0.4">
      <c r="J1349" s="26"/>
      <c r="N1349" s="26"/>
    </row>
    <row r="1350" spans="10:14" x14ac:dyDescent="0.4">
      <c r="J1350" s="26"/>
      <c r="N1350" s="26"/>
    </row>
    <row r="1351" spans="10:14" x14ac:dyDescent="0.4">
      <c r="J1351" s="26"/>
      <c r="N1351" s="26"/>
    </row>
    <row r="1352" spans="10:14" x14ac:dyDescent="0.4">
      <c r="J1352" s="26"/>
      <c r="N1352" s="26"/>
    </row>
    <row r="1353" spans="10:14" x14ac:dyDescent="0.4">
      <c r="J1353" s="26"/>
      <c r="N1353" s="26"/>
    </row>
    <row r="1354" spans="10:14" x14ac:dyDescent="0.4">
      <c r="J1354" s="26"/>
      <c r="N1354" s="26"/>
    </row>
    <row r="1355" spans="10:14" x14ac:dyDescent="0.4">
      <c r="J1355" s="26"/>
      <c r="N1355" s="26"/>
    </row>
    <row r="1356" spans="10:14" x14ac:dyDescent="0.4">
      <c r="J1356" s="26"/>
      <c r="N1356" s="26"/>
    </row>
    <row r="1357" spans="10:14" x14ac:dyDescent="0.4">
      <c r="J1357" s="26"/>
      <c r="N1357" s="26"/>
    </row>
    <row r="1358" spans="10:14" x14ac:dyDescent="0.4">
      <c r="J1358" s="26"/>
      <c r="N1358" s="26"/>
    </row>
    <row r="1359" spans="10:14" x14ac:dyDescent="0.4">
      <c r="J1359" s="26"/>
      <c r="N1359" s="26"/>
    </row>
    <row r="1360" spans="10:14" x14ac:dyDescent="0.4">
      <c r="J1360" s="26"/>
      <c r="N1360" s="26"/>
    </row>
    <row r="1361" spans="10:14" x14ac:dyDescent="0.4">
      <c r="J1361" s="26"/>
      <c r="N1361" s="26"/>
    </row>
    <row r="1362" spans="10:14" x14ac:dyDescent="0.4">
      <c r="J1362" s="26"/>
      <c r="N1362" s="26"/>
    </row>
    <row r="1363" spans="10:14" x14ac:dyDescent="0.4">
      <c r="J1363" s="26"/>
      <c r="N1363" s="26"/>
    </row>
    <row r="1364" spans="10:14" x14ac:dyDescent="0.4">
      <c r="J1364" s="26"/>
      <c r="N1364" s="26"/>
    </row>
    <row r="1365" spans="10:14" x14ac:dyDescent="0.4">
      <c r="J1365" s="26"/>
      <c r="N1365" s="26"/>
    </row>
    <row r="1366" spans="10:14" x14ac:dyDescent="0.4">
      <c r="J1366" s="26"/>
      <c r="N1366" s="26"/>
    </row>
    <row r="1367" spans="10:14" x14ac:dyDescent="0.4">
      <c r="J1367" s="26"/>
      <c r="N1367" s="26"/>
    </row>
    <row r="1368" spans="10:14" x14ac:dyDescent="0.4">
      <c r="J1368" s="26"/>
      <c r="N1368" s="26"/>
    </row>
    <row r="1369" spans="10:14" x14ac:dyDescent="0.4">
      <c r="J1369" s="26"/>
      <c r="N1369" s="26"/>
    </row>
    <row r="1370" spans="10:14" x14ac:dyDescent="0.4">
      <c r="J1370" s="26"/>
      <c r="N1370" s="26"/>
    </row>
    <row r="1371" spans="10:14" x14ac:dyDescent="0.4">
      <c r="J1371" s="26"/>
      <c r="N1371" s="26"/>
    </row>
    <row r="1372" spans="10:14" x14ac:dyDescent="0.4">
      <c r="J1372" s="26"/>
      <c r="N1372" s="26"/>
    </row>
    <row r="1373" spans="10:14" x14ac:dyDescent="0.4">
      <c r="J1373" s="26"/>
      <c r="N1373" s="26"/>
    </row>
    <row r="1374" spans="10:14" x14ac:dyDescent="0.4">
      <c r="J1374" s="26"/>
      <c r="N1374" s="26"/>
    </row>
    <row r="1375" spans="10:14" x14ac:dyDescent="0.4">
      <c r="J1375" s="26"/>
      <c r="N1375" s="26"/>
    </row>
    <row r="1376" spans="10:14" x14ac:dyDescent="0.4">
      <c r="J1376" s="26"/>
      <c r="N1376" s="26"/>
    </row>
    <row r="1377" spans="10:14" x14ac:dyDescent="0.4">
      <c r="J1377" s="26"/>
      <c r="N1377" s="26"/>
    </row>
    <row r="1378" spans="10:14" x14ac:dyDescent="0.4">
      <c r="J1378" s="26"/>
      <c r="N1378" s="26"/>
    </row>
    <row r="1379" spans="10:14" x14ac:dyDescent="0.4">
      <c r="J1379" s="26"/>
      <c r="N1379" s="26"/>
    </row>
    <row r="1380" spans="10:14" x14ac:dyDescent="0.4">
      <c r="J1380" s="26"/>
      <c r="N1380" s="26"/>
    </row>
    <row r="1381" spans="10:14" x14ac:dyDescent="0.4">
      <c r="J1381" s="26"/>
      <c r="N1381" s="26"/>
    </row>
    <row r="1382" spans="10:14" x14ac:dyDescent="0.4">
      <c r="J1382" s="26"/>
      <c r="N1382" s="26"/>
    </row>
    <row r="1383" spans="10:14" x14ac:dyDescent="0.4">
      <c r="J1383" s="26"/>
      <c r="N1383" s="26"/>
    </row>
    <row r="1384" spans="10:14" x14ac:dyDescent="0.4">
      <c r="J1384" s="26"/>
      <c r="N1384" s="26"/>
    </row>
    <row r="1385" spans="10:14" x14ac:dyDescent="0.4">
      <c r="J1385" s="26"/>
      <c r="N1385" s="26"/>
    </row>
    <row r="1386" spans="10:14" x14ac:dyDescent="0.4">
      <c r="J1386" s="26"/>
      <c r="N1386" s="26"/>
    </row>
    <row r="1387" spans="10:14" x14ac:dyDescent="0.4">
      <c r="J1387" s="26"/>
      <c r="N1387" s="26"/>
    </row>
    <row r="1388" spans="10:14" x14ac:dyDescent="0.4">
      <c r="J1388" s="26"/>
      <c r="N1388" s="26"/>
    </row>
    <row r="1389" spans="10:14" x14ac:dyDescent="0.4">
      <c r="J1389" s="26"/>
      <c r="N1389" s="26"/>
    </row>
    <row r="1390" spans="10:14" x14ac:dyDescent="0.4">
      <c r="J1390" s="26"/>
      <c r="N1390" s="26"/>
    </row>
    <row r="1391" spans="10:14" x14ac:dyDescent="0.4">
      <c r="J1391" s="26"/>
      <c r="N1391" s="26"/>
    </row>
    <row r="1392" spans="10:14" x14ac:dyDescent="0.4">
      <c r="J1392" s="26"/>
      <c r="N1392" s="26"/>
    </row>
    <row r="1393" spans="10:14" x14ac:dyDescent="0.4">
      <c r="J1393" s="26"/>
      <c r="N1393" s="26"/>
    </row>
    <row r="1394" spans="10:14" x14ac:dyDescent="0.4">
      <c r="J1394" s="26"/>
      <c r="N1394" s="26"/>
    </row>
    <row r="1395" spans="10:14" x14ac:dyDescent="0.4">
      <c r="J1395" s="26"/>
      <c r="N1395" s="26"/>
    </row>
    <row r="1396" spans="10:14" x14ac:dyDescent="0.4">
      <c r="J1396" s="26"/>
      <c r="N1396" s="26"/>
    </row>
    <row r="1397" spans="10:14" x14ac:dyDescent="0.4">
      <c r="J1397" s="26"/>
      <c r="N1397" s="26"/>
    </row>
    <row r="1398" spans="10:14" x14ac:dyDescent="0.4">
      <c r="J1398" s="26"/>
      <c r="N1398" s="26"/>
    </row>
    <row r="1399" spans="10:14" x14ac:dyDescent="0.4">
      <c r="J1399" s="26"/>
      <c r="N1399" s="26"/>
    </row>
    <row r="1400" spans="10:14" x14ac:dyDescent="0.4">
      <c r="J1400" s="26"/>
      <c r="N1400" s="26"/>
    </row>
    <row r="1401" spans="10:14" x14ac:dyDescent="0.4">
      <c r="J1401" s="26"/>
      <c r="N1401" s="26"/>
    </row>
    <row r="1402" spans="10:14" x14ac:dyDescent="0.4">
      <c r="J1402" s="26"/>
      <c r="N1402" s="26"/>
    </row>
    <row r="1403" spans="10:14" x14ac:dyDescent="0.4">
      <c r="J1403" s="26"/>
      <c r="N1403" s="26"/>
    </row>
    <row r="1404" spans="10:14" x14ac:dyDescent="0.4">
      <c r="J1404" s="26"/>
      <c r="N1404" s="26"/>
    </row>
    <row r="1405" spans="10:14" x14ac:dyDescent="0.4">
      <c r="J1405" s="26"/>
      <c r="N1405" s="26"/>
    </row>
    <row r="1406" spans="10:14" x14ac:dyDescent="0.4">
      <c r="J1406" s="26"/>
      <c r="N1406" s="26"/>
    </row>
    <row r="1407" spans="10:14" x14ac:dyDescent="0.4">
      <c r="J1407" s="26"/>
      <c r="N1407" s="26"/>
    </row>
    <row r="1408" spans="10:14" x14ac:dyDescent="0.4">
      <c r="J1408" s="26"/>
      <c r="N1408" s="26"/>
    </row>
    <row r="1409" spans="10:14" x14ac:dyDescent="0.4">
      <c r="J1409" s="26"/>
      <c r="N1409" s="26"/>
    </row>
    <row r="1410" spans="10:14" x14ac:dyDescent="0.4">
      <c r="J1410" s="26"/>
      <c r="N1410" s="26"/>
    </row>
    <row r="1411" spans="10:14" x14ac:dyDescent="0.4">
      <c r="J1411" s="26"/>
      <c r="N1411" s="26"/>
    </row>
    <row r="1412" spans="10:14" x14ac:dyDescent="0.4">
      <c r="J1412" s="26"/>
      <c r="N1412" s="26"/>
    </row>
    <row r="1413" spans="10:14" x14ac:dyDescent="0.4">
      <c r="J1413" s="26"/>
      <c r="N1413" s="26"/>
    </row>
    <row r="1414" spans="10:14" x14ac:dyDescent="0.4">
      <c r="J1414" s="26"/>
      <c r="N1414" s="26"/>
    </row>
    <row r="1415" spans="10:14" x14ac:dyDescent="0.4">
      <c r="J1415" s="26"/>
      <c r="N1415" s="26"/>
    </row>
    <row r="1416" spans="10:14" x14ac:dyDescent="0.4">
      <c r="J1416" s="26"/>
      <c r="N1416" s="26"/>
    </row>
    <row r="1417" spans="10:14" x14ac:dyDescent="0.4">
      <c r="J1417" s="26"/>
      <c r="N1417" s="26"/>
    </row>
    <row r="1418" spans="10:14" x14ac:dyDescent="0.4">
      <c r="J1418" s="26"/>
      <c r="N1418" s="26"/>
    </row>
    <row r="1419" spans="10:14" x14ac:dyDescent="0.4">
      <c r="J1419" s="26"/>
      <c r="N1419" s="26"/>
    </row>
    <row r="1420" spans="10:14" x14ac:dyDescent="0.4">
      <c r="J1420" s="26"/>
      <c r="N1420" s="26"/>
    </row>
    <row r="1421" spans="10:14" x14ac:dyDescent="0.4">
      <c r="J1421" s="26"/>
      <c r="N1421" s="26"/>
    </row>
    <row r="1422" spans="10:14" x14ac:dyDescent="0.4">
      <c r="J1422" s="26"/>
      <c r="N1422" s="26"/>
    </row>
    <row r="1423" spans="10:14" x14ac:dyDescent="0.4">
      <c r="J1423" s="26"/>
      <c r="N1423" s="26"/>
    </row>
    <row r="1424" spans="10:14" x14ac:dyDescent="0.4">
      <c r="J1424" s="26"/>
      <c r="N1424" s="26"/>
    </row>
    <row r="1425" spans="10:14" x14ac:dyDescent="0.4">
      <c r="J1425" s="26"/>
      <c r="N1425" s="26"/>
    </row>
    <row r="1426" spans="10:14" x14ac:dyDescent="0.4">
      <c r="J1426" s="26"/>
      <c r="N1426" s="26"/>
    </row>
    <row r="1427" spans="10:14" x14ac:dyDescent="0.4">
      <c r="J1427" s="26"/>
      <c r="N1427" s="26"/>
    </row>
    <row r="1428" spans="10:14" x14ac:dyDescent="0.4">
      <c r="J1428" s="26"/>
      <c r="N1428" s="26"/>
    </row>
    <row r="1429" spans="10:14" x14ac:dyDescent="0.4">
      <c r="J1429" s="26"/>
      <c r="N1429" s="26"/>
    </row>
    <row r="1430" spans="10:14" x14ac:dyDescent="0.4">
      <c r="J1430" s="26"/>
      <c r="N1430" s="26"/>
    </row>
    <row r="1431" spans="10:14" x14ac:dyDescent="0.4">
      <c r="J1431" s="26"/>
      <c r="N1431" s="26"/>
    </row>
    <row r="1432" spans="10:14" x14ac:dyDescent="0.4">
      <c r="J1432" s="26"/>
      <c r="N1432" s="26"/>
    </row>
    <row r="1433" spans="10:14" x14ac:dyDescent="0.4">
      <c r="J1433" s="26"/>
      <c r="N1433" s="26"/>
    </row>
    <row r="1434" spans="10:14" x14ac:dyDescent="0.4">
      <c r="J1434" s="26"/>
      <c r="N1434" s="26"/>
    </row>
    <row r="1435" spans="10:14" x14ac:dyDescent="0.4">
      <c r="J1435" s="26"/>
      <c r="N1435" s="26"/>
    </row>
    <row r="1436" spans="10:14" x14ac:dyDescent="0.4">
      <c r="J1436" s="26"/>
      <c r="N1436" s="26"/>
    </row>
    <row r="1437" spans="10:14" x14ac:dyDescent="0.4">
      <c r="J1437" s="26"/>
      <c r="N1437" s="26"/>
    </row>
    <row r="1438" spans="10:14" x14ac:dyDescent="0.4">
      <c r="J1438" s="26"/>
      <c r="N1438" s="26"/>
    </row>
    <row r="1439" spans="10:14" x14ac:dyDescent="0.4">
      <c r="J1439" s="26"/>
      <c r="N1439" s="26"/>
    </row>
    <row r="1440" spans="10:14" x14ac:dyDescent="0.4">
      <c r="J1440" s="26"/>
      <c r="N1440" s="26"/>
    </row>
    <row r="1441" spans="10:14" x14ac:dyDescent="0.4">
      <c r="J1441" s="26"/>
      <c r="N1441" s="26"/>
    </row>
    <row r="1442" spans="10:14" x14ac:dyDescent="0.4">
      <c r="J1442" s="26"/>
      <c r="N1442" s="26"/>
    </row>
    <row r="1443" spans="10:14" x14ac:dyDescent="0.4">
      <c r="J1443" s="26"/>
      <c r="N1443" s="26"/>
    </row>
    <row r="1444" spans="10:14" x14ac:dyDescent="0.4">
      <c r="J1444" s="26"/>
      <c r="N1444" s="26"/>
    </row>
    <row r="1445" spans="10:14" x14ac:dyDescent="0.4">
      <c r="J1445" s="26"/>
      <c r="N1445" s="26"/>
    </row>
    <row r="1446" spans="10:14" x14ac:dyDescent="0.4">
      <c r="J1446" s="26"/>
      <c r="N1446" s="26"/>
    </row>
    <row r="1447" spans="10:14" x14ac:dyDescent="0.4">
      <c r="J1447" s="26"/>
      <c r="N1447" s="26"/>
    </row>
    <row r="1448" spans="10:14" x14ac:dyDescent="0.4">
      <c r="J1448" s="26"/>
      <c r="N1448" s="26"/>
    </row>
    <row r="1449" spans="10:14" x14ac:dyDescent="0.4">
      <c r="J1449" s="26"/>
      <c r="N1449" s="26"/>
    </row>
    <row r="1450" spans="10:14" x14ac:dyDescent="0.4">
      <c r="J1450" s="26"/>
      <c r="N1450" s="26"/>
    </row>
    <row r="1451" spans="10:14" x14ac:dyDescent="0.4">
      <c r="J1451" s="26"/>
      <c r="N1451" s="26"/>
    </row>
    <row r="1452" spans="10:14" x14ac:dyDescent="0.4">
      <c r="J1452" s="26"/>
      <c r="N1452" s="26"/>
    </row>
    <row r="1453" spans="10:14" x14ac:dyDescent="0.4">
      <c r="J1453" s="26"/>
      <c r="N1453" s="26"/>
    </row>
    <row r="1454" spans="10:14" x14ac:dyDescent="0.4">
      <c r="J1454" s="26"/>
      <c r="N1454" s="26"/>
    </row>
    <row r="1455" spans="10:14" x14ac:dyDescent="0.4">
      <c r="J1455" s="26"/>
      <c r="N1455" s="26"/>
    </row>
    <row r="1456" spans="10:14" x14ac:dyDescent="0.4">
      <c r="J1456" s="26"/>
      <c r="N1456" s="26"/>
    </row>
    <row r="1457" spans="10:14" x14ac:dyDescent="0.4">
      <c r="J1457" s="26"/>
      <c r="N1457" s="26"/>
    </row>
    <row r="1458" spans="10:14" x14ac:dyDescent="0.4">
      <c r="J1458" s="26"/>
      <c r="N1458" s="26"/>
    </row>
    <row r="1459" spans="10:14" x14ac:dyDescent="0.4">
      <c r="J1459" s="26"/>
      <c r="N1459" s="26"/>
    </row>
    <row r="1460" spans="10:14" x14ac:dyDescent="0.4">
      <c r="J1460" s="26"/>
      <c r="N1460" s="26"/>
    </row>
    <row r="1461" spans="10:14" x14ac:dyDescent="0.4">
      <c r="J1461" s="26"/>
      <c r="N1461" s="26"/>
    </row>
    <row r="1462" spans="10:14" x14ac:dyDescent="0.4">
      <c r="J1462" s="26"/>
      <c r="N1462" s="26"/>
    </row>
    <row r="1463" spans="10:14" x14ac:dyDescent="0.4">
      <c r="J1463" s="26"/>
      <c r="N1463" s="26"/>
    </row>
    <row r="1464" spans="10:14" x14ac:dyDescent="0.4">
      <c r="J1464" s="26"/>
      <c r="N1464" s="26"/>
    </row>
    <row r="1465" spans="10:14" x14ac:dyDescent="0.4">
      <c r="J1465" s="26"/>
      <c r="N1465" s="26"/>
    </row>
    <row r="1466" spans="10:14" x14ac:dyDescent="0.4">
      <c r="J1466" s="26"/>
      <c r="N1466" s="26"/>
    </row>
    <row r="1467" spans="10:14" x14ac:dyDescent="0.4">
      <c r="J1467" s="26"/>
      <c r="N1467" s="26"/>
    </row>
    <row r="1468" spans="10:14" x14ac:dyDescent="0.4">
      <c r="J1468" s="26"/>
      <c r="N1468" s="26"/>
    </row>
    <row r="1469" spans="10:14" x14ac:dyDescent="0.4">
      <c r="J1469" s="26"/>
      <c r="N1469" s="26"/>
    </row>
    <row r="1470" spans="10:14" x14ac:dyDescent="0.4">
      <c r="J1470" s="26"/>
      <c r="N1470" s="26"/>
    </row>
    <row r="1471" spans="10:14" x14ac:dyDescent="0.4">
      <c r="J1471" s="26"/>
      <c r="N1471" s="26"/>
    </row>
    <row r="1472" spans="10:14" x14ac:dyDescent="0.4">
      <c r="J1472" s="26"/>
      <c r="N1472" s="26"/>
    </row>
    <row r="1473" spans="10:14" x14ac:dyDescent="0.4">
      <c r="J1473" s="26"/>
      <c r="N1473" s="26"/>
    </row>
    <row r="1474" spans="10:14" x14ac:dyDescent="0.4">
      <c r="J1474" s="26"/>
      <c r="N1474" s="26"/>
    </row>
    <row r="1475" spans="10:14" x14ac:dyDescent="0.4">
      <c r="J1475" s="26"/>
      <c r="N1475" s="26"/>
    </row>
    <row r="1476" spans="10:14" x14ac:dyDescent="0.4">
      <c r="J1476" s="26"/>
      <c r="N1476" s="26"/>
    </row>
    <row r="1477" spans="10:14" x14ac:dyDescent="0.4">
      <c r="J1477" s="26"/>
      <c r="N1477" s="26"/>
    </row>
    <row r="1478" spans="10:14" x14ac:dyDescent="0.4">
      <c r="J1478" s="26"/>
      <c r="N1478" s="26"/>
    </row>
    <row r="1479" spans="10:14" x14ac:dyDescent="0.4">
      <c r="J1479" s="26"/>
      <c r="N1479" s="26"/>
    </row>
    <row r="1480" spans="10:14" x14ac:dyDescent="0.4">
      <c r="J1480" s="26"/>
      <c r="N1480" s="26"/>
    </row>
    <row r="1481" spans="10:14" x14ac:dyDescent="0.4">
      <c r="J1481" s="26"/>
      <c r="N1481" s="26"/>
    </row>
    <row r="1482" spans="10:14" x14ac:dyDescent="0.4">
      <c r="J1482" s="26"/>
      <c r="N1482" s="26"/>
    </row>
    <row r="1483" spans="10:14" x14ac:dyDescent="0.4">
      <c r="J1483" s="26"/>
      <c r="N1483" s="26"/>
    </row>
    <row r="1484" spans="10:14" x14ac:dyDescent="0.4">
      <c r="J1484" s="26"/>
      <c r="N1484" s="26"/>
    </row>
    <row r="1485" spans="10:14" x14ac:dyDescent="0.4">
      <c r="J1485" s="26"/>
      <c r="N1485" s="26"/>
    </row>
    <row r="1486" spans="10:14" x14ac:dyDescent="0.4">
      <c r="J1486" s="26"/>
      <c r="N1486" s="26"/>
    </row>
    <row r="1487" spans="10:14" x14ac:dyDescent="0.4">
      <c r="J1487" s="26"/>
      <c r="N1487" s="26"/>
    </row>
    <row r="1488" spans="10:14" x14ac:dyDescent="0.4">
      <c r="J1488" s="26"/>
      <c r="N1488" s="26"/>
    </row>
    <row r="1489" spans="10:14" x14ac:dyDescent="0.4">
      <c r="J1489" s="26"/>
      <c r="N1489" s="26"/>
    </row>
    <row r="1490" spans="10:14" x14ac:dyDescent="0.4">
      <c r="J1490" s="26"/>
      <c r="N1490" s="26"/>
    </row>
    <row r="1491" spans="10:14" x14ac:dyDescent="0.4">
      <c r="J1491" s="26"/>
      <c r="N1491" s="26"/>
    </row>
    <row r="1492" spans="10:14" x14ac:dyDescent="0.4">
      <c r="J1492" s="26"/>
      <c r="N1492" s="26"/>
    </row>
    <row r="1493" spans="10:14" x14ac:dyDescent="0.4">
      <c r="J1493" s="26"/>
      <c r="N1493" s="26"/>
    </row>
    <row r="1494" spans="10:14" x14ac:dyDescent="0.4">
      <c r="J1494" s="26"/>
      <c r="N1494" s="26"/>
    </row>
    <row r="1495" spans="10:14" x14ac:dyDescent="0.4">
      <c r="J1495" s="26"/>
      <c r="N1495" s="26"/>
    </row>
    <row r="1496" spans="10:14" x14ac:dyDescent="0.4">
      <c r="J1496" s="26"/>
      <c r="N1496" s="26"/>
    </row>
    <row r="1497" spans="10:14" x14ac:dyDescent="0.4">
      <c r="J1497" s="26"/>
      <c r="N1497" s="26"/>
    </row>
    <row r="1498" spans="10:14" x14ac:dyDescent="0.4">
      <c r="J1498" s="26"/>
      <c r="N1498" s="26"/>
    </row>
    <row r="1499" spans="10:14" x14ac:dyDescent="0.4">
      <c r="J1499" s="26"/>
      <c r="N1499" s="26"/>
    </row>
    <row r="1500" spans="10:14" x14ac:dyDescent="0.4">
      <c r="J1500" s="26"/>
      <c r="N1500" s="26"/>
    </row>
    <row r="1501" spans="10:14" x14ac:dyDescent="0.4">
      <c r="J1501" s="26"/>
      <c r="N1501" s="26"/>
    </row>
    <row r="1502" spans="10:14" x14ac:dyDescent="0.4">
      <c r="J1502" s="26"/>
      <c r="N1502" s="26"/>
    </row>
    <row r="1503" spans="10:14" x14ac:dyDescent="0.4">
      <c r="J1503" s="26"/>
      <c r="N1503" s="26"/>
    </row>
    <row r="1504" spans="10:14" x14ac:dyDescent="0.4">
      <c r="J1504" s="26"/>
      <c r="N1504" s="26"/>
    </row>
    <row r="1505" spans="10:14" x14ac:dyDescent="0.4">
      <c r="J1505" s="26"/>
      <c r="N1505" s="26"/>
    </row>
    <row r="1506" spans="10:14" x14ac:dyDescent="0.4">
      <c r="J1506" s="26"/>
      <c r="N1506" s="26"/>
    </row>
    <row r="1507" spans="10:14" x14ac:dyDescent="0.4">
      <c r="J1507" s="26"/>
      <c r="N1507" s="26"/>
    </row>
    <row r="1508" spans="10:14" x14ac:dyDescent="0.4">
      <c r="J1508" s="26"/>
      <c r="N1508" s="26"/>
    </row>
    <row r="1509" spans="10:14" x14ac:dyDescent="0.4">
      <c r="J1509" s="26"/>
      <c r="N1509" s="26"/>
    </row>
    <row r="1510" spans="10:14" x14ac:dyDescent="0.4">
      <c r="J1510" s="26"/>
      <c r="N1510" s="26"/>
    </row>
    <row r="1511" spans="10:14" x14ac:dyDescent="0.4">
      <c r="J1511" s="26"/>
      <c r="N1511" s="26"/>
    </row>
    <row r="1512" spans="10:14" x14ac:dyDescent="0.4">
      <c r="J1512" s="26"/>
      <c r="N1512" s="26"/>
    </row>
    <row r="1513" spans="10:14" x14ac:dyDescent="0.4">
      <c r="J1513" s="26"/>
      <c r="N1513" s="26"/>
    </row>
    <row r="1514" spans="10:14" x14ac:dyDescent="0.4">
      <c r="J1514" s="26"/>
      <c r="N1514" s="26"/>
    </row>
    <row r="1515" spans="10:14" x14ac:dyDescent="0.4">
      <c r="J1515" s="26"/>
      <c r="N1515" s="26"/>
    </row>
    <row r="1516" spans="10:14" x14ac:dyDescent="0.4">
      <c r="J1516" s="26"/>
      <c r="N1516" s="26"/>
    </row>
    <row r="1517" spans="10:14" x14ac:dyDescent="0.4">
      <c r="J1517" s="26"/>
      <c r="N1517" s="26"/>
    </row>
    <row r="1518" spans="10:14" x14ac:dyDescent="0.4">
      <c r="J1518" s="26"/>
      <c r="N1518" s="26"/>
    </row>
    <row r="1519" spans="10:14" x14ac:dyDescent="0.4">
      <c r="J1519" s="26"/>
      <c r="N1519" s="26"/>
    </row>
    <row r="1520" spans="10:14" x14ac:dyDescent="0.4">
      <c r="J1520" s="26"/>
      <c r="N1520" s="26"/>
    </row>
    <row r="1521" spans="10:14" x14ac:dyDescent="0.4">
      <c r="J1521" s="26"/>
      <c r="N1521" s="26"/>
    </row>
    <row r="1522" spans="10:14" x14ac:dyDescent="0.4">
      <c r="J1522" s="26"/>
      <c r="N1522" s="26"/>
    </row>
    <row r="1523" spans="10:14" x14ac:dyDescent="0.4">
      <c r="J1523" s="26"/>
      <c r="N1523" s="26"/>
    </row>
    <row r="1524" spans="10:14" x14ac:dyDescent="0.4">
      <c r="J1524" s="26"/>
      <c r="N1524" s="26"/>
    </row>
    <row r="1525" spans="10:14" x14ac:dyDescent="0.4">
      <c r="J1525" s="26"/>
      <c r="N1525" s="26"/>
    </row>
    <row r="1526" spans="10:14" x14ac:dyDescent="0.4">
      <c r="J1526" s="26"/>
      <c r="N1526" s="26"/>
    </row>
    <row r="1527" spans="10:14" x14ac:dyDescent="0.4">
      <c r="J1527" s="26"/>
      <c r="N1527" s="26"/>
    </row>
    <row r="1528" spans="10:14" x14ac:dyDescent="0.4">
      <c r="J1528" s="26"/>
      <c r="N1528" s="26"/>
    </row>
    <row r="1529" spans="10:14" x14ac:dyDescent="0.4">
      <c r="J1529" s="26"/>
      <c r="N1529" s="26"/>
    </row>
    <row r="1530" spans="10:14" x14ac:dyDescent="0.4">
      <c r="J1530" s="26"/>
      <c r="N1530" s="26"/>
    </row>
    <row r="1531" spans="10:14" x14ac:dyDescent="0.4">
      <c r="J1531" s="26"/>
      <c r="N1531" s="26"/>
    </row>
    <row r="1532" spans="10:14" x14ac:dyDescent="0.4">
      <c r="J1532" s="26"/>
      <c r="N1532" s="26"/>
    </row>
    <row r="1533" spans="10:14" x14ac:dyDescent="0.4">
      <c r="J1533" s="26"/>
      <c r="N1533" s="26"/>
    </row>
    <row r="1534" spans="10:14" x14ac:dyDescent="0.4">
      <c r="J1534" s="26"/>
      <c r="N1534" s="26"/>
    </row>
    <row r="1535" spans="10:14" x14ac:dyDescent="0.4">
      <c r="J1535" s="26"/>
      <c r="N1535" s="26"/>
    </row>
    <row r="1536" spans="10:14" x14ac:dyDescent="0.4">
      <c r="J1536" s="26"/>
      <c r="N1536" s="26"/>
    </row>
    <row r="1537" spans="10:14" x14ac:dyDescent="0.4">
      <c r="J1537" s="26"/>
      <c r="N1537" s="26"/>
    </row>
    <row r="1538" spans="10:14" x14ac:dyDescent="0.4">
      <c r="J1538" s="26"/>
      <c r="N1538" s="26"/>
    </row>
    <row r="1539" spans="10:14" x14ac:dyDescent="0.4">
      <c r="J1539" s="26"/>
      <c r="N1539" s="26"/>
    </row>
    <row r="1540" spans="10:14" x14ac:dyDescent="0.4">
      <c r="J1540" s="26"/>
      <c r="N1540" s="26"/>
    </row>
    <row r="1541" spans="10:14" x14ac:dyDescent="0.4">
      <c r="J1541" s="26"/>
      <c r="N1541" s="26"/>
    </row>
    <row r="1542" spans="10:14" x14ac:dyDescent="0.4">
      <c r="J1542" s="26"/>
      <c r="N1542" s="26"/>
    </row>
    <row r="1543" spans="10:14" x14ac:dyDescent="0.4">
      <c r="J1543" s="26"/>
      <c r="N1543" s="26"/>
    </row>
    <row r="1544" spans="10:14" x14ac:dyDescent="0.4">
      <c r="J1544" s="26"/>
      <c r="N1544" s="26"/>
    </row>
    <row r="1545" spans="10:14" x14ac:dyDescent="0.4">
      <c r="J1545" s="26"/>
      <c r="N1545" s="26"/>
    </row>
    <row r="1546" spans="10:14" x14ac:dyDescent="0.4">
      <c r="J1546" s="26"/>
      <c r="N1546" s="26"/>
    </row>
    <row r="1547" spans="10:14" x14ac:dyDescent="0.4">
      <c r="J1547" s="26"/>
      <c r="N1547" s="26"/>
    </row>
    <row r="1548" spans="10:14" x14ac:dyDescent="0.4">
      <c r="J1548" s="26"/>
      <c r="N1548" s="26"/>
    </row>
    <row r="1549" spans="10:14" x14ac:dyDescent="0.4">
      <c r="J1549" s="26"/>
      <c r="N1549" s="26"/>
    </row>
    <row r="1550" spans="10:14" x14ac:dyDescent="0.4">
      <c r="J1550" s="26"/>
      <c r="N1550" s="26"/>
    </row>
    <row r="1551" spans="10:14" x14ac:dyDescent="0.4">
      <c r="J1551" s="26"/>
      <c r="N1551" s="26"/>
    </row>
    <row r="1552" spans="10:14" x14ac:dyDescent="0.4">
      <c r="J1552" s="26"/>
      <c r="N1552" s="26"/>
    </row>
    <row r="1553" spans="10:14" x14ac:dyDescent="0.4">
      <c r="J1553" s="26"/>
      <c r="N1553" s="26"/>
    </row>
    <row r="1554" spans="10:14" x14ac:dyDescent="0.4">
      <c r="J1554" s="26"/>
      <c r="N1554" s="26"/>
    </row>
    <row r="1555" spans="10:14" x14ac:dyDescent="0.4">
      <c r="J1555" s="26"/>
      <c r="N1555" s="26"/>
    </row>
    <row r="1556" spans="10:14" x14ac:dyDescent="0.4">
      <c r="J1556" s="26"/>
      <c r="N1556" s="26"/>
    </row>
    <row r="1557" spans="10:14" x14ac:dyDescent="0.4">
      <c r="J1557" s="26"/>
      <c r="N1557" s="26"/>
    </row>
    <row r="1558" spans="10:14" x14ac:dyDescent="0.4">
      <c r="J1558" s="26"/>
      <c r="N1558" s="26"/>
    </row>
    <row r="1559" spans="10:14" x14ac:dyDescent="0.4">
      <c r="J1559" s="26"/>
      <c r="N1559" s="26"/>
    </row>
    <row r="1560" spans="10:14" x14ac:dyDescent="0.4">
      <c r="J1560" s="26"/>
      <c r="N1560" s="26"/>
    </row>
    <row r="1561" spans="10:14" x14ac:dyDescent="0.4">
      <c r="J1561" s="26"/>
      <c r="N1561" s="26"/>
    </row>
    <row r="1562" spans="10:14" x14ac:dyDescent="0.4">
      <c r="J1562" s="26"/>
      <c r="N1562" s="26"/>
    </row>
    <row r="1563" spans="10:14" x14ac:dyDescent="0.4">
      <c r="J1563" s="26"/>
      <c r="N1563" s="26"/>
    </row>
    <row r="1564" spans="10:14" x14ac:dyDescent="0.4">
      <c r="J1564" s="26"/>
      <c r="N1564" s="26"/>
    </row>
    <row r="1565" spans="10:14" x14ac:dyDescent="0.4">
      <c r="J1565" s="26"/>
      <c r="N1565" s="26"/>
    </row>
    <row r="1566" spans="10:14" x14ac:dyDescent="0.4">
      <c r="J1566" s="26"/>
      <c r="N1566" s="26"/>
    </row>
    <row r="1567" spans="10:14" x14ac:dyDescent="0.4">
      <c r="J1567" s="26"/>
      <c r="N1567" s="26"/>
    </row>
    <row r="1568" spans="10:14" x14ac:dyDescent="0.4">
      <c r="J1568" s="26"/>
      <c r="N1568" s="26"/>
    </row>
    <row r="1569" spans="10:14" x14ac:dyDescent="0.4">
      <c r="J1569" s="26"/>
      <c r="N1569" s="26"/>
    </row>
    <row r="1570" spans="10:14" x14ac:dyDescent="0.4">
      <c r="J1570" s="26"/>
      <c r="N1570" s="26"/>
    </row>
    <row r="1571" spans="10:14" x14ac:dyDescent="0.4">
      <c r="J1571" s="26"/>
      <c r="N1571" s="26"/>
    </row>
    <row r="1572" spans="10:14" x14ac:dyDescent="0.4">
      <c r="J1572" s="26"/>
      <c r="N1572" s="26"/>
    </row>
    <row r="1573" spans="10:14" x14ac:dyDescent="0.4">
      <c r="J1573" s="26"/>
      <c r="N1573" s="26"/>
    </row>
    <row r="1574" spans="10:14" x14ac:dyDescent="0.4">
      <c r="J1574" s="26"/>
      <c r="N1574" s="26"/>
    </row>
    <row r="1575" spans="10:14" x14ac:dyDescent="0.4">
      <c r="J1575" s="26"/>
      <c r="N1575" s="26"/>
    </row>
    <row r="1576" spans="10:14" x14ac:dyDescent="0.4">
      <c r="J1576" s="26"/>
      <c r="N1576" s="26"/>
    </row>
    <row r="1577" spans="10:14" x14ac:dyDescent="0.4">
      <c r="J1577" s="26"/>
      <c r="N1577" s="26"/>
    </row>
    <row r="1578" spans="10:14" x14ac:dyDescent="0.4">
      <c r="J1578" s="26"/>
      <c r="N1578" s="26"/>
    </row>
    <row r="1579" spans="10:14" x14ac:dyDescent="0.4">
      <c r="J1579" s="26"/>
      <c r="N1579" s="26"/>
    </row>
    <row r="1580" spans="10:14" x14ac:dyDescent="0.4">
      <c r="J1580" s="26"/>
      <c r="N1580" s="26"/>
    </row>
    <row r="1581" spans="10:14" x14ac:dyDescent="0.4">
      <c r="J1581" s="26"/>
      <c r="N1581" s="26"/>
    </row>
    <row r="1582" spans="10:14" x14ac:dyDescent="0.4">
      <c r="J1582" s="26"/>
      <c r="N1582" s="26"/>
    </row>
    <row r="1583" spans="10:14" x14ac:dyDescent="0.4">
      <c r="J1583" s="26"/>
      <c r="N1583" s="26"/>
    </row>
    <row r="1584" spans="10:14" x14ac:dyDescent="0.4">
      <c r="J1584" s="26"/>
      <c r="N1584" s="26"/>
    </row>
    <row r="1585" spans="10:14" x14ac:dyDescent="0.4">
      <c r="J1585" s="26"/>
      <c r="N1585" s="26"/>
    </row>
    <row r="1586" spans="10:14" x14ac:dyDescent="0.4">
      <c r="J1586" s="26"/>
      <c r="N1586" s="26"/>
    </row>
    <row r="1587" spans="10:14" x14ac:dyDescent="0.4">
      <c r="J1587" s="26"/>
      <c r="N1587" s="26"/>
    </row>
    <row r="1588" spans="10:14" x14ac:dyDescent="0.4">
      <c r="J1588" s="26"/>
      <c r="N1588" s="26"/>
    </row>
    <row r="1589" spans="10:14" x14ac:dyDescent="0.4">
      <c r="J1589" s="26"/>
      <c r="N1589" s="26"/>
    </row>
    <row r="1590" spans="10:14" x14ac:dyDescent="0.4">
      <c r="J1590" s="26"/>
      <c r="N1590" s="26"/>
    </row>
    <row r="1591" spans="10:14" x14ac:dyDescent="0.4">
      <c r="J1591" s="26"/>
      <c r="N1591" s="26"/>
    </row>
    <row r="1592" spans="10:14" x14ac:dyDescent="0.4">
      <c r="J1592" s="26"/>
      <c r="N1592" s="26"/>
    </row>
    <row r="1593" spans="10:14" x14ac:dyDescent="0.4">
      <c r="J1593" s="26"/>
      <c r="N1593" s="26"/>
    </row>
    <row r="1594" spans="10:14" x14ac:dyDescent="0.4">
      <c r="J1594" s="26"/>
      <c r="N1594" s="26"/>
    </row>
    <row r="1595" spans="10:14" x14ac:dyDescent="0.4">
      <c r="J1595" s="26"/>
      <c r="N1595" s="26"/>
    </row>
    <row r="1596" spans="10:14" x14ac:dyDescent="0.4">
      <c r="J1596" s="26"/>
      <c r="N1596" s="26"/>
    </row>
    <row r="1597" spans="10:14" x14ac:dyDescent="0.4">
      <c r="J1597" s="26"/>
      <c r="N1597" s="26"/>
    </row>
    <row r="1598" spans="10:14" x14ac:dyDescent="0.4">
      <c r="J1598" s="26"/>
      <c r="N1598" s="26"/>
    </row>
    <row r="1599" spans="10:14" x14ac:dyDescent="0.4">
      <c r="J1599" s="26"/>
      <c r="N1599" s="26"/>
    </row>
    <row r="1600" spans="10:14" x14ac:dyDescent="0.4">
      <c r="J1600" s="26"/>
      <c r="N1600" s="26"/>
    </row>
    <row r="1601" spans="10:14" x14ac:dyDescent="0.4">
      <c r="J1601" s="26"/>
      <c r="N1601" s="26"/>
    </row>
    <row r="1602" spans="10:14" x14ac:dyDescent="0.4">
      <c r="J1602" s="26"/>
      <c r="N1602" s="26"/>
    </row>
    <row r="1603" spans="10:14" x14ac:dyDescent="0.4">
      <c r="J1603" s="26"/>
      <c r="N1603" s="26"/>
    </row>
    <row r="1604" spans="10:14" x14ac:dyDescent="0.4">
      <c r="J1604" s="26"/>
      <c r="N1604" s="26"/>
    </row>
    <row r="1605" spans="10:14" x14ac:dyDescent="0.4">
      <c r="J1605" s="26"/>
      <c r="N1605" s="26"/>
    </row>
    <row r="1606" spans="10:14" x14ac:dyDescent="0.4">
      <c r="J1606" s="26"/>
      <c r="N1606" s="26"/>
    </row>
    <row r="1607" spans="10:14" x14ac:dyDescent="0.4">
      <c r="J1607" s="26"/>
      <c r="N1607" s="26"/>
    </row>
    <row r="1608" spans="10:14" x14ac:dyDescent="0.4">
      <c r="J1608" s="26"/>
      <c r="N1608" s="26"/>
    </row>
    <row r="1609" spans="10:14" x14ac:dyDescent="0.4">
      <c r="J1609" s="26"/>
      <c r="N1609" s="26"/>
    </row>
    <row r="1610" spans="10:14" x14ac:dyDescent="0.4">
      <c r="J1610" s="26"/>
      <c r="N1610" s="26"/>
    </row>
    <row r="1611" spans="10:14" x14ac:dyDescent="0.4">
      <c r="J1611" s="26"/>
      <c r="N1611" s="26"/>
    </row>
    <row r="1612" spans="10:14" x14ac:dyDescent="0.4">
      <c r="J1612" s="26"/>
      <c r="N1612" s="26"/>
    </row>
    <row r="1613" spans="10:14" x14ac:dyDescent="0.4">
      <c r="J1613" s="26"/>
      <c r="N1613" s="26"/>
    </row>
    <row r="1614" spans="10:14" x14ac:dyDescent="0.4">
      <c r="J1614" s="26"/>
      <c r="N1614" s="26"/>
    </row>
    <row r="1615" spans="10:14" x14ac:dyDescent="0.4">
      <c r="J1615" s="26"/>
      <c r="N1615" s="26"/>
    </row>
    <row r="1616" spans="10:14" x14ac:dyDescent="0.4">
      <c r="J1616" s="26"/>
      <c r="N1616" s="26"/>
    </row>
    <row r="1617" spans="10:14" x14ac:dyDescent="0.4">
      <c r="J1617" s="26"/>
      <c r="N1617" s="26"/>
    </row>
    <row r="1618" spans="10:14" x14ac:dyDescent="0.4">
      <c r="J1618" s="26"/>
      <c r="N1618" s="26"/>
    </row>
    <row r="1619" spans="10:14" x14ac:dyDescent="0.4">
      <c r="J1619" s="26"/>
      <c r="N1619" s="26"/>
    </row>
    <row r="1620" spans="10:14" x14ac:dyDescent="0.4">
      <c r="J1620" s="26"/>
      <c r="N1620" s="26"/>
    </row>
    <row r="1621" spans="10:14" x14ac:dyDescent="0.4">
      <c r="J1621" s="26"/>
      <c r="N1621" s="26"/>
    </row>
    <row r="1622" spans="10:14" x14ac:dyDescent="0.4">
      <c r="J1622" s="26"/>
      <c r="N1622" s="26"/>
    </row>
    <row r="1623" spans="10:14" x14ac:dyDescent="0.4">
      <c r="J1623" s="26"/>
      <c r="N1623" s="26"/>
    </row>
    <row r="1624" spans="10:14" x14ac:dyDescent="0.4">
      <c r="J1624" s="26"/>
      <c r="N1624" s="26"/>
    </row>
    <row r="1625" spans="10:14" x14ac:dyDescent="0.4">
      <c r="J1625" s="26"/>
      <c r="N1625" s="26"/>
    </row>
    <row r="1626" spans="10:14" x14ac:dyDescent="0.4">
      <c r="J1626" s="26"/>
      <c r="N1626" s="26"/>
    </row>
    <row r="1627" spans="10:14" x14ac:dyDescent="0.4">
      <c r="J1627" s="26"/>
      <c r="N1627" s="26"/>
    </row>
    <row r="1628" spans="10:14" x14ac:dyDescent="0.4">
      <c r="J1628" s="26"/>
      <c r="N1628" s="26"/>
    </row>
    <row r="1629" spans="10:14" x14ac:dyDescent="0.4">
      <c r="J1629" s="26"/>
      <c r="N1629" s="26"/>
    </row>
    <row r="1630" spans="10:14" x14ac:dyDescent="0.4">
      <c r="J1630" s="26"/>
      <c r="N1630" s="26"/>
    </row>
    <row r="1631" spans="10:14" x14ac:dyDescent="0.4">
      <c r="J1631" s="26"/>
      <c r="N1631" s="26"/>
    </row>
    <row r="1632" spans="10:14" x14ac:dyDescent="0.4">
      <c r="J1632" s="26"/>
      <c r="N1632" s="26"/>
    </row>
    <row r="1633" spans="10:14" x14ac:dyDescent="0.4">
      <c r="J1633" s="26"/>
      <c r="N1633" s="26"/>
    </row>
    <row r="1634" spans="10:14" x14ac:dyDescent="0.4">
      <c r="J1634" s="26"/>
      <c r="N1634" s="26"/>
    </row>
    <row r="1635" spans="10:14" x14ac:dyDescent="0.4">
      <c r="J1635" s="26"/>
      <c r="N1635" s="26"/>
    </row>
    <row r="1636" spans="10:14" x14ac:dyDescent="0.4">
      <c r="J1636" s="26"/>
      <c r="N1636" s="26"/>
    </row>
    <row r="1637" spans="10:14" x14ac:dyDescent="0.4">
      <c r="J1637" s="26"/>
      <c r="N1637" s="26"/>
    </row>
    <row r="1638" spans="10:14" x14ac:dyDescent="0.4">
      <c r="J1638" s="26"/>
      <c r="N1638" s="26"/>
    </row>
    <row r="1639" spans="10:14" x14ac:dyDescent="0.4">
      <c r="J1639" s="26"/>
      <c r="N1639" s="26"/>
    </row>
    <row r="1640" spans="10:14" x14ac:dyDescent="0.4">
      <c r="J1640" s="26"/>
      <c r="N1640" s="26"/>
    </row>
    <row r="1641" spans="10:14" x14ac:dyDescent="0.4">
      <c r="J1641" s="26"/>
      <c r="N1641" s="26"/>
    </row>
    <row r="1642" spans="10:14" x14ac:dyDescent="0.4">
      <c r="J1642" s="26"/>
      <c r="N1642" s="26"/>
    </row>
    <row r="1643" spans="10:14" x14ac:dyDescent="0.4">
      <c r="J1643" s="26"/>
      <c r="N1643" s="26"/>
    </row>
    <row r="1644" spans="10:14" x14ac:dyDescent="0.4">
      <c r="J1644" s="26"/>
      <c r="N1644" s="26"/>
    </row>
    <row r="1645" spans="10:14" x14ac:dyDescent="0.4">
      <c r="J1645" s="26"/>
      <c r="N1645" s="26"/>
    </row>
    <row r="1646" spans="10:14" x14ac:dyDescent="0.4">
      <c r="J1646" s="26"/>
      <c r="N1646" s="26"/>
    </row>
    <row r="1647" spans="10:14" x14ac:dyDescent="0.4">
      <c r="J1647" s="26"/>
      <c r="N1647" s="26"/>
    </row>
    <row r="1648" spans="10:14" x14ac:dyDescent="0.4">
      <c r="J1648" s="26"/>
      <c r="N1648" s="26"/>
    </row>
    <row r="1649" spans="10:14" x14ac:dyDescent="0.4">
      <c r="J1649" s="26"/>
      <c r="N1649" s="26"/>
    </row>
    <row r="1650" spans="10:14" x14ac:dyDescent="0.4">
      <c r="J1650" s="26"/>
      <c r="N1650" s="26"/>
    </row>
    <row r="1651" spans="10:14" x14ac:dyDescent="0.4">
      <c r="J1651" s="26"/>
      <c r="N1651" s="26"/>
    </row>
    <row r="1652" spans="10:14" x14ac:dyDescent="0.4">
      <c r="J1652" s="26"/>
      <c r="N1652" s="26"/>
    </row>
    <row r="1653" spans="10:14" x14ac:dyDescent="0.4">
      <c r="J1653" s="26"/>
      <c r="N1653" s="26"/>
    </row>
    <row r="1654" spans="10:14" x14ac:dyDescent="0.4">
      <c r="J1654" s="26"/>
      <c r="N1654" s="26"/>
    </row>
    <row r="1655" spans="10:14" x14ac:dyDescent="0.4">
      <c r="J1655" s="26"/>
      <c r="N1655" s="26"/>
    </row>
    <row r="1656" spans="10:14" x14ac:dyDescent="0.4">
      <c r="J1656" s="26"/>
      <c r="N1656" s="26"/>
    </row>
    <row r="1657" spans="10:14" x14ac:dyDescent="0.4">
      <c r="J1657" s="26"/>
      <c r="N1657" s="26"/>
    </row>
    <row r="1658" spans="10:14" x14ac:dyDescent="0.4">
      <c r="J1658" s="26"/>
      <c r="N1658" s="26"/>
    </row>
    <row r="1659" spans="10:14" x14ac:dyDescent="0.4">
      <c r="J1659" s="26"/>
      <c r="N1659" s="26"/>
    </row>
    <row r="1660" spans="10:14" x14ac:dyDescent="0.4">
      <c r="J1660" s="26"/>
      <c r="N1660" s="26"/>
    </row>
    <row r="1661" spans="10:14" x14ac:dyDescent="0.4">
      <c r="J1661" s="26"/>
      <c r="N1661" s="26"/>
    </row>
    <row r="1662" spans="10:14" x14ac:dyDescent="0.4">
      <c r="J1662" s="26"/>
      <c r="N1662" s="26"/>
    </row>
    <row r="1663" spans="10:14" x14ac:dyDescent="0.4">
      <c r="J1663" s="26"/>
      <c r="N1663" s="26"/>
    </row>
    <row r="1664" spans="10:14" x14ac:dyDescent="0.4">
      <c r="J1664" s="26"/>
      <c r="N1664" s="26"/>
    </row>
    <row r="1665" spans="10:14" x14ac:dyDescent="0.4">
      <c r="J1665" s="26"/>
      <c r="N1665" s="26"/>
    </row>
    <row r="1666" spans="10:14" x14ac:dyDescent="0.4">
      <c r="J1666" s="26"/>
      <c r="N1666" s="26"/>
    </row>
    <row r="1667" spans="10:14" x14ac:dyDescent="0.4">
      <c r="J1667" s="26"/>
      <c r="N1667" s="26"/>
    </row>
    <row r="1668" spans="10:14" x14ac:dyDescent="0.4">
      <c r="J1668" s="26"/>
      <c r="N1668" s="26"/>
    </row>
    <row r="1669" spans="10:14" x14ac:dyDescent="0.4">
      <c r="J1669" s="26"/>
      <c r="N1669" s="26"/>
    </row>
    <row r="1670" spans="10:14" x14ac:dyDescent="0.4">
      <c r="J1670" s="26"/>
      <c r="N1670" s="26"/>
    </row>
    <row r="1671" spans="10:14" x14ac:dyDescent="0.4">
      <c r="J1671" s="26"/>
      <c r="N1671" s="26"/>
    </row>
    <row r="1672" spans="10:14" x14ac:dyDescent="0.4">
      <c r="J1672" s="26"/>
      <c r="N1672" s="26"/>
    </row>
    <row r="1673" spans="10:14" x14ac:dyDescent="0.4">
      <c r="J1673" s="26"/>
      <c r="N1673" s="26"/>
    </row>
    <row r="1674" spans="10:14" x14ac:dyDescent="0.4">
      <c r="J1674" s="26"/>
      <c r="N1674" s="26"/>
    </row>
    <row r="1675" spans="10:14" x14ac:dyDescent="0.4">
      <c r="J1675" s="26"/>
      <c r="N1675" s="26"/>
    </row>
    <row r="1676" spans="10:14" x14ac:dyDescent="0.4">
      <c r="J1676" s="26"/>
      <c r="N1676" s="26"/>
    </row>
    <row r="1677" spans="10:14" x14ac:dyDescent="0.4">
      <c r="J1677" s="26"/>
      <c r="N1677" s="26"/>
    </row>
    <row r="1678" spans="10:14" x14ac:dyDescent="0.4">
      <c r="J1678" s="26"/>
      <c r="N1678" s="26"/>
    </row>
    <row r="1679" spans="10:14" x14ac:dyDescent="0.4">
      <c r="J1679" s="26"/>
      <c r="N1679" s="26"/>
    </row>
    <row r="1680" spans="10:14" x14ac:dyDescent="0.4">
      <c r="J1680" s="26"/>
      <c r="N1680" s="26"/>
    </row>
    <row r="1681" spans="10:14" x14ac:dyDescent="0.4">
      <c r="J1681" s="26"/>
      <c r="N1681" s="26"/>
    </row>
    <row r="1682" spans="10:14" x14ac:dyDescent="0.4">
      <c r="J1682" s="26"/>
      <c r="N1682" s="26"/>
    </row>
    <row r="1683" spans="10:14" x14ac:dyDescent="0.4">
      <c r="J1683" s="26"/>
      <c r="N1683" s="26"/>
    </row>
    <row r="1684" spans="10:14" x14ac:dyDescent="0.4">
      <c r="J1684" s="26"/>
      <c r="N1684" s="26"/>
    </row>
    <row r="1685" spans="10:14" x14ac:dyDescent="0.4">
      <c r="J1685" s="26"/>
      <c r="N1685" s="26"/>
    </row>
    <row r="1686" spans="10:14" x14ac:dyDescent="0.4">
      <c r="J1686" s="26"/>
      <c r="N1686" s="26"/>
    </row>
    <row r="1687" spans="10:14" x14ac:dyDescent="0.4">
      <c r="J1687" s="26"/>
      <c r="N1687" s="26"/>
    </row>
    <row r="1688" spans="10:14" x14ac:dyDescent="0.4">
      <c r="J1688" s="26"/>
      <c r="N1688" s="26"/>
    </row>
    <row r="1689" spans="10:14" x14ac:dyDescent="0.4">
      <c r="J1689" s="26"/>
      <c r="N1689" s="26"/>
    </row>
    <row r="1690" spans="10:14" x14ac:dyDescent="0.4">
      <c r="J1690" s="26"/>
      <c r="N1690" s="26"/>
    </row>
    <row r="1691" spans="10:14" x14ac:dyDescent="0.4">
      <c r="J1691" s="26"/>
      <c r="N1691" s="26"/>
    </row>
    <row r="1692" spans="10:14" x14ac:dyDescent="0.4">
      <c r="J1692" s="26"/>
      <c r="N1692" s="26"/>
    </row>
    <row r="1693" spans="10:14" x14ac:dyDescent="0.4">
      <c r="J1693" s="26"/>
      <c r="N1693" s="26"/>
    </row>
    <row r="1694" spans="10:14" x14ac:dyDescent="0.4">
      <c r="J1694" s="26"/>
      <c r="N1694" s="26"/>
    </row>
    <row r="1695" spans="10:14" x14ac:dyDescent="0.4">
      <c r="J1695" s="26"/>
      <c r="N1695" s="26"/>
    </row>
    <row r="1696" spans="10:14" x14ac:dyDescent="0.4">
      <c r="J1696" s="26"/>
      <c r="N1696" s="26"/>
    </row>
    <row r="1697" spans="10:14" x14ac:dyDescent="0.4">
      <c r="J1697" s="26"/>
      <c r="N1697" s="26"/>
    </row>
    <row r="1698" spans="10:14" x14ac:dyDescent="0.4">
      <c r="J1698" s="26"/>
      <c r="N1698" s="26"/>
    </row>
    <row r="1699" spans="10:14" x14ac:dyDescent="0.4">
      <c r="J1699" s="26"/>
      <c r="N1699" s="26"/>
    </row>
    <row r="1700" spans="10:14" x14ac:dyDescent="0.4">
      <c r="J1700" s="26"/>
      <c r="N1700" s="26"/>
    </row>
    <row r="1701" spans="10:14" x14ac:dyDescent="0.4">
      <c r="J1701" s="26"/>
      <c r="N1701" s="26"/>
    </row>
    <row r="1702" spans="10:14" x14ac:dyDescent="0.4">
      <c r="J1702" s="26"/>
      <c r="N1702" s="26"/>
    </row>
    <row r="1703" spans="10:14" x14ac:dyDescent="0.4">
      <c r="J1703" s="26"/>
      <c r="N1703" s="26"/>
    </row>
    <row r="1704" spans="10:14" x14ac:dyDescent="0.4">
      <c r="J1704" s="26"/>
      <c r="N1704" s="26"/>
    </row>
    <row r="1705" spans="10:14" x14ac:dyDescent="0.4">
      <c r="J1705" s="26"/>
      <c r="N1705" s="26"/>
    </row>
    <row r="1706" spans="10:14" x14ac:dyDescent="0.4">
      <c r="J1706" s="26"/>
      <c r="N1706" s="26"/>
    </row>
    <row r="1707" spans="10:14" x14ac:dyDescent="0.4">
      <c r="J1707" s="26"/>
      <c r="N1707" s="26"/>
    </row>
    <row r="1708" spans="10:14" x14ac:dyDescent="0.4">
      <c r="J1708" s="26"/>
      <c r="N1708" s="26"/>
    </row>
    <row r="1709" spans="10:14" x14ac:dyDescent="0.4">
      <c r="J1709" s="26"/>
      <c r="N1709" s="26"/>
    </row>
    <row r="1710" spans="10:14" x14ac:dyDescent="0.4">
      <c r="J1710" s="26"/>
      <c r="N1710" s="26"/>
    </row>
    <row r="1711" spans="10:14" x14ac:dyDescent="0.4">
      <c r="J1711" s="26"/>
      <c r="N1711" s="26"/>
    </row>
    <row r="1712" spans="10:14" x14ac:dyDescent="0.4">
      <c r="J1712" s="26"/>
      <c r="N1712" s="26"/>
    </row>
    <row r="1713" spans="10:14" x14ac:dyDescent="0.4">
      <c r="J1713" s="26"/>
      <c r="N1713" s="26"/>
    </row>
    <row r="1714" spans="10:14" x14ac:dyDescent="0.4">
      <c r="J1714" s="26"/>
      <c r="N1714" s="26"/>
    </row>
    <row r="1715" spans="10:14" x14ac:dyDescent="0.4">
      <c r="J1715" s="26"/>
      <c r="N1715" s="26"/>
    </row>
    <row r="1716" spans="10:14" x14ac:dyDescent="0.4">
      <c r="J1716" s="26"/>
      <c r="N1716" s="26"/>
    </row>
    <row r="1717" spans="10:14" x14ac:dyDescent="0.4">
      <c r="J1717" s="26"/>
      <c r="N1717" s="26"/>
    </row>
    <row r="1718" spans="10:14" x14ac:dyDescent="0.4">
      <c r="J1718" s="26"/>
      <c r="N1718" s="26"/>
    </row>
    <row r="1719" spans="10:14" x14ac:dyDescent="0.4">
      <c r="J1719" s="26"/>
      <c r="N1719" s="26"/>
    </row>
    <row r="1720" spans="10:14" x14ac:dyDescent="0.4">
      <c r="J1720" s="26"/>
      <c r="N1720" s="26"/>
    </row>
    <row r="1721" spans="10:14" x14ac:dyDescent="0.4">
      <c r="J1721" s="26"/>
      <c r="N1721" s="26"/>
    </row>
    <row r="1722" spans="10:14" x14ac:dyDescent="0.4">
      <c r="J1722" s="26"/>
      <c r="N1722" s="26"/>
    </row>
    <row r="1723" spans="10:14" x14ac:dyDescent="0.4">
      <c r="J1723" s="26"/>
      <c r="N1723" s="26"/>
    </row>
    <row r="1724" spans="10:14" x14ac:dyDescent="0.4">
      <c r="J1724" s="26"/>
      <c r="N1724" s="26"/>
    </row>
    <row r="1725" spans="10:14" x14ac:dyDescent="0.4">
      <c r="J1725" s="26"/>
      <c r="N1725" s="26"/>
    </row>
    <row r="1726" spans="10:14" x14ac:dyDescent="0.4">
      <c r="J1726" s="26"/>
      <c r="N1726" s="26"/>
    </row>
    <row r="1727" spans="10:14" x14ac:dyDescent="0.4">
      <c r="J1727" s="26"/>
      <c r="N1727" s="26"/>
    </row>
    <row r="1728" spans="10:14" x14ac:dyDescent="0.4">
      <c r="J1728" s="26"/>
      <c r="N1728" s="26"/>
    </row>
    <row r="1729" spans="10:14" x14ac:dyDescent="0.4">
      <c r="J1729" s="26"/>
      <c r="N1729" s="26"/>
    </row>
    <row r="1730" spans="10:14" x14ac:dyDescent="0.4">
      <c r="J1730" s="26"/>
      <c r="N1730" s="26"/>
    </row>
    <row r="1731" spans="10:14" x14ac:dyDescent="0.4">
      <c r="J1731" s="26"/>
      <c r="N1731" s="26"/>
    </row>
    <row r="1732" spans="10:14" x14ac:dyDescent="0.4">
      <c r="J1732" s="26"/>
      <c r="N1732" s="26"/>
    </row>
    <row r="1733" spans="10:14" x14ac:dyDescent="0.4">
      <c r="J1733" s="26"/>
      <c r="N1733" s="26"/>
    </row>
    <row r="1734" spans="10:14" x14ac:dyDescent="0.4">
      <c r="J1734" s="26"/>
      <c r="N1734" s="26"/>
    </row>
    <row r="1735" spans="10:14" x14ac:dyDescent="0.4">
      <c r="J1735" s="26"/>
      <c r="N1735" s="26"/>
    </row>
    <row r="1736" spans="10:14" x14ac:dyDescent="0.4">
      <c r="J1736" s="26"/>
      <c r="N1736" s="26"/>
    </row>
    <row r="1737" spans="10:14" x14ac:dyDescent="0.4">
      <c r="J1737" s="26"/>
      <c r="N1737" s="26"/>
    </row>
    <row r="1738" spans="10:14" x14ac:dyDescent="0.4">
      <c r="J1738" s="26"/>
      <c r="N1738" s="26"/>
    </row>
    <row r="1739" spans="10:14" x14ac:dyDescent="0.4">
      <c r="J1739" s="26"/>
      <c r="N1739" s="26"/>
    </row>
    <row r="1740" spans="10:14" x14ac:dyDescent="0.4">
      <c r="J1740" s="26"/>
      <c r="N1740" s="26"/>
    </row>
    <row r="1741" spans="10:14" x14ac:dyDescent="0.4">
      <c r="J1741" s="26"/>
      <c r="N1741" s="26"/>
    </row>
    <row r="1742" spans="10:14" x14ac:dyDescent="0.4">
      <c r="J1742" s="26"/>
      <c r="N1742" s="26"/>
    </row>
    <row r="1743" spans="10:14" x14ac:dyDescent="0.4">
      <c r="J1743" s="26"/>
      <c r="N1743" s="26"/>
    </row>
    <row r="1744" spans="10:14" x14ac:dyDescent="0.4">
      <c r="J1744" s="26"/>
      <c r="N1744" s="26"/>
    </row>
    <row r="1745" spans="10:14" x14ac:dyDescent="0.4">
      <c r="J1745" s="26"/>
      <c r="N1745" s="26"/>
    </row>
    <row r="1746" spans="10:14" x14ac:dyDescent="0.4">
      <c r="J1746" s="26"/>
      <c r="N1746" s="26"/>
    </row>
    <row r="1747" spans="10:14" x14ac:dyDescent="0.4">
      <c r="J1747" s="26"/>
      <c r="N1747" s="26"/>
    </row>
    <row r="1748" spans="10:14" x14ac:dyDescent="0.4">
      <c r="J1748" s="26"/>
      <c r="N1748" s="26"/>
    </row>
    <row r="1749" spans="10:14" x14ac:dyDescent="0.4">
      <c r="J1749" s="26"/>
      <c r="N1749" s="26"/>
    </row>
    <row r="1750" spans="10:14" x14ac:dyDescent="0.4">
      <c r="J1750" s="26"/>
      <c r="N1750" s="26"/>
    </row>
    <row r="1751" spans="10:14" x14ac:dyDescent="0.4">
      <c r="J1751" s="26"/>
      <c r="N1751" s="26"/>
    </row>
    <row r="1752" spans="10:14" x14ac:dyDescent="0.4">
      <c r="J1752" s="26"/>
      <c r="N1752" s="26"/>
    </row>
    <row r="1753" spans="10:14" x14ac:dyDescent="0.4">
      <c r="J1753" s="26"/>
      <c r="N1753" s="26"/>
    </row>
    <row r="1754" spans="10:14" x14ac:dyDescent="0.4">
      <c r="J1754" s="26"/>
      <c r="N1754" s="26"/>
    </row>
    <row r="1755" spans="10:14" x14ac:dyDescent="0.4">
      <c r="J1755" s="26"/>
      <c r="N1755" s="26"/>
    </row>
    <row r="1756" spans="10:14" x14ac:dyDescent="0.4">
      <c r="J1756" s="26"/>
      <c r="N1756" s="26"/>
    </row>
    <row r="1757" spans="10:14" x14ac:dyDescent="0.4">
      <c r="J1757" s="26"/>
      <c r="N1757" s="26"/>
    </row>
    <row r="1758" spans="10:14" x14ac:dyDescent="0.4">
      <c r="J1758" s="26"/>
      <c r="N1758" s="26"/>
    </row>
    <row r="1759" spans="10:14" x14ac:dyDescent="0.4">
      <c r="J1759" s="26"/>
      <c r="N1759" s="26"/>
    </row>
    <row r="1760" spans="10:14" x14ac:dyDescent="0.4">
      <c r="J1760" s="26"/>
      <c r="N1760" s="26"/>
    </row>
    <row r="1761" spans="10:14" x14ac:dyDescent="0.4">
      <c r="J1761" s="26"/>
      <c r="N1761" s="26"/>
    </row>
    <row r="1762" spans="10:14" x14ac:dyDescent="0.4">
      <c r="J1762" s="26"/>
      <c r="N1762" s="26"/>
    </row>
    <row r="1763" spans="10:14" x14ac:dyDescent="0.4">
      <c r="J1763" s="26"/>
      <c r="N1763" s="26"/>
    </row>
    <row r="1764" spans="10:14" x14ac:dyDescent="0.4">
      <c r="J1764" s="26"/>
      <c r="N1764" s="26"/>
    </row>
    <row r="1765" spans="10:14" x14ac:dyDescent="0.4">
      <c r="J1765" s="26"/>
      <c r="N1765" s="26"/>
    </row>
    <row r="1766" spans="10:14" x14ac:dyDescent="0.4">
      <c r="J1766" s="26"/>
      <c r="N1766" s="26"/>
    </row>
    <row r="1767" spans="10:14" x14ac:dyDescent="0.4">
      <c r="J1767" s="26"/>
      <c r="N1767" s="26"/>
    </row>
    <row r="1768" spans="10:14" x14ac:dyDescent="0.4">
      <c r="J1768" s="26"/>
      <c r="N1768" s="26"/>
    </row>
    <row r="1769" spans="10:14" x14ac:dyDescent="0.4">
      <c r="J1769" s="26"/>
      <c r="N1769" s="26"/>
    </row>
    <row r="1770" spans="10:14" x14ac:dyDescent="0.4">
      <c r="J1770" s="26"/>
      <c r="N1770" s="26"/>
    </row>
    <row r="1771" spans="10:14" x14ac:dyDescent="0.4">
      <c r="J1771" s="26"/>
      <c r="N1771" s="26"/>
    </row>
    <row r="1772" spans="10:14" x14ac:dyDescent="0.4">
      <c r="J1772" s="26"/>
      <c r="N1772" s="26"/>
    </row>
    <row r="1773" spans="10:14" x14ac:dyDescent="0.4">
      <c r="J1773" s="26"/>
      <c r="N1773" s="26"/>
    </row>
    <row r="1774" spans="10:14" x14ac:dyDescent="0.4">
      <c r="J1774" s="26"/>
      <c r="N1774" s="26"/>
    </row>
    <row r="1775" spans="10:14" x14ac:dyDescent="0.4">
      <c r="J1775" s="26"/>
      <c r="N1775" s="26"/>
    </row>
    <row r="1776" spans="10:14" x14ac:dyDescent="0.4">
      <c r="J1776" s="26"/>
      <c r="N1776" s="26"/>
    </row>
    <row r="1777" spans="10:14" x14ac:dyDescent="0.4">
      <c r="J1777" s="26"/>
      <c r="N1777" s="26"/>
    </row>
    <row r="1778" spans="10:14" x14ac:dyDescent="0.4">
      <c r="J1778" s="26"/>
      <c r="N1778" s="26"/>
    </row>
    <row r="1779" spans="10:14" x14ac:dyDescent="0.4">
      <c r="J1779" s="26"/>
      <c r="N1779" s="26"/>
    </row>
    <row r="1780" spans="10:14" x14ac:dyDescent="0.4">
      <c r="J1780" s="26"/>
      <c r="N1780" s="26"/>
    </row>
    <row r="1781" spans="10:14" x14ac:dyDescent="0.4">
      <c r="J1781" s="26"/>
      <c r="N1781" s="26"/>
    </row>
    <row r="1782" spans="10:14" x14ac:dyDescent="0.4">
      <c r="J1782" s="26"/>
      <c r="N1782" s="26"/>
    </row>
    <row r="1783" spans="10:14" x14ac:dyDescent="0.4">
      <c r="J1783" s="26"/>
      <c r="N1783" s="26"/>
    </row>
    <row r="1784" spans="10:14" x14ac:dyDescent="0.4">
      <c r="J1784" s="26"/>
      <c r="N1784" s="26"/>
    </row>
    <row r="1785" spans="10:14" x14ac:dyDescent="0.4">
      <c r="J1785" s="26"/>
      <c r="N1785" s="26"/>
    </row>
    <row r="1786" spans="10:14" x14ac:dyDescent="0.4">
      <c r="J1786" s="26"/>
      <c r="N1786" s="26"/>
    </row>
    <row r="1787" spans="10:14" x14ac:dyDescent="0.4">
      <c r="J1787" s="26"/>
      <c r="N1787" s="26"/>
    </row>
    <row r="1788" spans="10:14" x14ac:dyDescent="0.4">
      <c r="J1788" s="26"/>
      <c r="N1788" s="26"/>
    </row>
    <row r="1789" spans="10:14" x14ac:dyDescent="0.4">
      <c r="J1789" s="26"/>
      <c r="N1789" s="26"/>
    </row>
    <row r="1790" spans="10:14" x14ac:dyDescent="0.4">
      <c r="J1790" s="26"/>
      <c r="N1790" s="26"/>
    </row>
    <row r="1791" spans="10:14" x14ac:dyDescent="0.4">
      <c r="J1791" s="26"/>
      <c r="N1791" s="26"/>
    </row>
    <row r="1792" spans="10:14" x14ac:dyDescent="0.4">
      <c r="J1792" s="26"/>
      <c r="N1792" s="26"/>
    </row>
    <row r="1793" spans="10:14" x14ac:dyDescent="0.4">
      <c r="J1793" s="26"/>
      <c r="N1793" s="26"/>
    </row>
    <row r="1794" spans="10:14" x14ac:dyDescent="0.4">
      <c r="J1794" s="26"/>
      <c r="N1794" s="26"/>
    </row>
    <row r="1795" spans="10:14" x14ac:dyDescent="0.4">
      <c r="J1795" s="26"/>
      <c r="N1795" s="26"/>
    </row>
    <row r="1796" spans="10:14" x14ac:dyDescent="0.4">
      <c r="J1796" s="26"/>
      <c r="N1796" s="26"/>
    </row>
    <row r="1797" spans="10:14" x14ac:dyDescent="0.4">
      <c r="J1797" s="26"/>
      <c r="N1797" s="26"/>
    </row>
    <row r="1798" spans="10:14" x14ac:dyDescent="0.4">
      <c r="J1798" s="26"/>
      <c r="N1798" s="26"/>
    </row>
    <row r="1799" spans="10:14" x14ac:dyDescent="0.4">
      <c r="J1799" s="26"/>
      <c r="N1799" s="26"/>
    </row>
    <row r="1800" spans="10:14" x14ac:dyDescent="0.4">
      <c r="J1800" s="26"/>
      <c r="N1800" s="26"/>
    </row>
    <row r="1801" spans="10:14" x14ac:dyDescent="0.4">
      <c r="J1801" s="26"/>
      <c r="N1801" s="26"/>
    </row>
    <row r="1802" spans="10:14" x14ac:dyDescent="0.4">
      <c r="J1802" s="26"/>
      <c r="N1802" s="26"/>
    </row>
    <row r="1803" spans="10:14" x14ac:dyDescent="0.4">
      <c r="J1803" s="26"/>
      <c r="N1803" s="26"/>
    </row>
    <row r="1804" spans="10:14" x14ac:dyDescent="0.4">
      <c r="J1804" s="26"/>
      <c r="N1804" s="26"/>
    </row>
    <row r="1805" spans="10:14" x14ac:dyDescent="0.4">
      <c r="J1805" s="26"/>
      <c r="N1805" s="26"/>
    </row>
    <row r="1806" spans="10:14" x14ac:dyDescent="0.4">
      <c r="J1806" s="26"/>
      <c r="N1806" s="26"/>
    </row>
    <row r="1807" spans="10:14" x14ac:dyDescent="0.4">
      <c r="J1807" s="26"/>
      <c r="N1807" s="26"/>
    </row>
    <row r="1808" spans="10:14" x14ac:dyDescent="0.4">
      <c r="J1808" s="26"/>
      <c r="N1808" s="26"/>
    </row>
    <row r="1809" spans="10:14" x14ac:dyDescent="0.4">
      <c r="J1809" s="26"/>
      <c r="N1809" s="26"/>
    </row>
    <row r="1810" spans="10:14" x14ac:dyDescent="0.4">
      <c r="J1810" s="26"/>
      <c r="N1810" s="26"/>
    </row>
    <row r="1811" spans="10:14" x14ac:dyDescent="0.4">
      <c r="J1811" s="26"/>
      <c r="N1811" s="26"/>
    </row>
    <row r="1812" spans="10:14" x14ac:dyDescent="0.4">
      <c r="J1812" s="26"/>
      <c r="N1812" s="26"/>
    </row>
    <row r="1813" spans="10:14" x14ac:dyDescent="0.4">
      <c r="J1813" s="26"/>
      <c r="N1813" s="26"/>
    </row>
    <row r="1814" spans="10:14" x14ac:dyDescent="0.4">
      <c r="J1814" s="26"/>
      <c r="N1814" s="26"/>
    </row>
    <row r="1815" spans="10:14" x14ac:dyDescent="0.4">
      <c r="J1815" s="26"/>
      <c r="N1815" s="26"/>
    </row>
    <row r="1816" spans="10:14" x14ac:dyDescent="0.4">
      <c r="J1816" s="26"/>
      <c r="N1816" s="26"/>
    </row>
    <row r="1817" spans="10:14" x14ac:dyDescent="0.4">
      <c r="J1817" s="26"/>
      <c r="N1817" s="26"/>
    </row>
    <row r="1818" spans="10:14" x14ac:dyDescent="0.4">
      <c r="J1818" s="26"/>
      <c r="N1818" s="26"/>
    </row>
    <row r="1819" spans="10:14" x14ac:dyDescent="0.4">
      <c r="J1819" s="26"/>
      <c r="N1819" s="26"/>
    </row>
    <row r="1820" spans="10:14" x14ac:dyDescent="0.4">
      <c r="J1820" s="26"/>
      <c r="N1820" s="26"/>
    </row>
    <row r="1821" spans="10:14" x14ac:dyDescent="0.4">
      <c r="J1821" s="26"/>
      <c r="N1821" s="26"/>
    </row>
    <row r="1822" spans="10:14" x14ac:dyDescent="0.4">
      <c r="J1822" s="26"/>
      <c r="N1822" s="26"/>
    </row>
    <row r="1823" spans="10:14" x14ac:dyDescent="0.4">
      <c r="J1823" s="26"/>
      <c r="N1823" s="26"/>
    </row>
    <row r="1824" spans="10:14" x14ac:dyDescent="0.4">
      <c r="J1824" s="26"/>
      <c r="N1824" s="26"/>
    </row>
    <row r="1825" spans="10:14" x14ac:dyDescent="0.4">
      <c r="J1825" s="26"/>
      <c r="N1825" s="26"/>
    </row>
    <row r="1826" spans="10:14" x14ac:dyDescent="0.4">
      <c r="J1826" s="26"/>
      <c r="N1826" s="26"/>
    </row>
    <row r="1827" spans="10:14" x14ac:dyDescent="0.4">
      <c r="J1827" s="26"/>
      <c r="N1827" s="26"/>
    </row>
    <row r="1828" spans="10:14" x14ac:dyDescent="0.4">
      <c r="J1828" s="26"/>
      <c r="N1828" s="26"/>
    </row>
    <row r="1829" spans="10:14" x14ac:dyDescent="0.4">
      <c r="J1829" s="26"/>
      <c r="N1829" s="26"/>
    </row>
    <row r="1830" spans="10:14" x14ac:dyDescent="0.4">
      <c r="J1830" s="26"/>
      <c r="N1830" s="26"/>
    </row>
    <row r="1831" spans="10:14" x14ac:dyDescent="0.4">
      <c r="J1831" s="26"/>
      <c r="N1831" s="26"/>
    </row>
    <row r="1832" spans="10:14" x14ac:dyDescent="0.4">
      <c r="J1832" s="26"/>
      <c r="N1832" s="26"/>
    </row>
    <row r="1833" spans="10:14" x14ac:dyDescent="0.4">
      <c r="J1833" s="26"/>
      <c r="N1833" s="26"/>
    </row>
    <row r="1834" spans="10:14" x14ac:dyDescent="0.4">
      <c r="J1834" s="26"/>
      <c r="N1834" s="26"/>
    </row>
    <row r="1835" spans="10:14" x14ac:dyDescent="0.4">
      <c r="J1835" s="26"/>
      <c r="N1835" s="26"/>
    </row>
    <row r="1836" spans="10:14" x14ac:dyDescent="0.4">
      <c r="J1836" s="26"/>
      <c r="N1836" s="26"/>
    </row>
    <row r="1837" spans="10:14" x14ac:dyDescent="0.4">
      <c r="J1837" s="26"/>
      <c r="N1837" s="26"/>
    </row>
    <row r="1838" spans="10:14" x14ac:dyDescent="0.4">
      <c r="J1838" s="26"/>
      <c r="N1838" s="26"/>
    </row>
    <row r="1839" spans="10:14" x14ac:dyDescent="0.4">
      <c r="J1839" s="26"/>
      <c r="N1839" s="26"/>
    </row>
    <row r="1840" spans="10:14" x14ac:dyDescent="0.4">
      <c r="J1840" s="26"/>
      <c r="N1840" s="26"/>
    </row>
    <row r="1841" spans="10:14" x14ac:dyDescent="0.4">
      <c r="J1841" s="26"/>
      <c r="N1841" s="26"/>
    </row>
    <row r="1842" spans="10:14" x14ac:dyDescent="0.4">
      <c r="J1842" s="26"/>
      <c r="N1842" s="26"/>
    </row>
    <row r="1843" spans="10:14" x14ac:dyDescent="0.4">
      <c r="J1843" s="26"/>
      <c r="N1843" s="26"/>
    </row>
    <row r="1844" spans="10:14" x14ac:dyDescent="0.4">
      <c r="J1844" s="26"/>
      <c r="N1844" s="26"/>
    </row>
    <row r="1845" spans="10:14" x14ac:dyDescent="0.4">
      <c r="J1845" s="26"/>
      <c r="N1845" s="26"/>
    </row>
    <row r="1846" spans="10:14" x14ac:dyDescent="0.4">
      <c r="J1846" s="26"/>
      <c r="N1846" s="26"/>
    </row>
    <row r="1847" spans="10:14" x14ac:dyDescent="0.4">
      <c r="J1847" s="26"/>
      <c r="N1847" s="26"/>
    </row>
    <row r="1848" spans="10:14" x14ac:dyDescent="0.4">
      <c r="J1848" s="26"/>
      <c r="N1848" s="26"/>
    </row>
    <row r="1849" spans="10:14" x14ac:dyDescent="0.4">
      <c r="J1849" s="26"/>
      <c r="N1849" s="26"/>
    </row>
    <row r="1850" spans="10:14" x14ac:dyDescent="0.4">
      <c r="J1850" s="26"/>
      <c r="N1850" s="26"/>
    </row>
    <row r="1851" spans="10:14" x14ac:dyDescent="0.4">
      <c r="J1851" s="26"/>
      <c r="N1851" s="26"/>
    </row>
    <row r="1852" spans="10:14" x14ac:dyDescent="0.4">
      <c r="J1852" s="26"/>
      <c r="N1852" s="26"/>
    </row>
    <row r="1853" spans="10:14" x14ac:dyDescent="0.4">
      <c r="J1853" s="26"/>
      <c r="N1853" s="26"/>
    </row>
    <row r="1854" spans="10:14" x14ac:dyDescent="0.4">
      <c r="J1854" s="26"/>
      <c r="N1854" s="26"/>
    </row>
    <row r="1855" spans="10:14" x14ac:dyDescent="0.4">
      <c r="J1855" s="26"/>
      <c r="N1855" s="26"/>
    </row>
    <row r="1856" spans="10:14" x14ac:dyDescent="0.4">
      <c r="J1856" s="26"/>
      <c r="N1856" s="26"/>
    </row>
    <row r="1857" spans="10:14" x14ac:dyDescent="0.4">
      <c r="J1857" s="26"/>
      <c r="N1857" s="26"/>
    </row>
    <row r="1858" spans="10:14" x14ac:dyDescent="0.4">
      <c r="J1858" s="26"/>
      <c r="N1858" s="26"/>
    </row>
    <row r="1859" spans="10:14" x14ac:dyDescent="0.4">
      <c r="J1859" s="26"/>
      <c r="N1859" s="26"/>
    </row>
    <row r="1860" spans="10:14" x14ac:dyDescent="0.4">
      <c r="J1860" s="26"/>
      <c r="N1860" s="26"/>
    </row>
    <row r="1861" spans="10:14" x14ac:dyDescent="0.4">
      <c r="J1861" s="26"/>
      <c r="N1861" s="26"/>
    </row>
    <row r="1862" spans="10:14" x14ac:dyDescent="0.4">
      <c r="J1862" s="26"/>
      <c r="N1862" s="26"/>
    </row>
    <row r="1863" spans="10:14" x14ac:dyDescent="0.4">
      <c r="J1863" s="26"/>
      <c r="N1863" s="26"/>
    </row>
    <row r="1864" spans="10:14" x14ac:dyDescent="0.4">
      <c r="J1864" s="26"/>
      <c r="N1864" s="26"/>
    </row>
    <row r="1865" spans="10:14" x14ac:dyDescent="0.4">
      <c r="J1865" s="26"/>
      <c r="N1865" s="26"/>
    </row>
    <row r="1866" spans="10:14" x14ac:dyDescent="0.4">
      <c r="J1866" s="26"/>
      <c r="N1866" s="26"/>
    </row>
    <row r="1867" spans="10:14" x14ac:dyDescent="0.4">
      <c r="J1867" s="26"/>
      <c r="N1867" s="26"/>
    </row>
    <row r="1868" spans="10:14" x14ac:dyDescent="0.4">
      <c r="J1868" s="26"/>
      <c r="N1868" s="26"/>
    </row>
    <row r="1869" spans="10:14" x14ac:dyDescent="0.4">
      <c r="J1869" s="26"/>
      <c r="N1869" s="26"/>
    </row>
    <row r="1870" spans="10:14" x14ac:dyDescent="0.4">
      <c r="J1870" s="26"/>
      <c r="N1870" s="26"/>
    </row>
    <row r="1871" spans="10:14" x14ac:dyDescent="0.4">
      <c r="J1871" s="26"/>
      <c r="N1871" s="26"/>
    </row>
    <row r="1872" spans="10:14" x14ac:dyDescent="0.4">
      <c r="J1872" s="26"/>
      <c r="N1872" s="26"/>
    </row>
    <row r="1873" spans="10:14" x14ac:dyDescent="0.4">
      <c r="J1873" s="26"/>
      <c r="N1873" s="26"/>
    </row>
    <row r="1874" spans="10:14" x14ac:dyDescent="0.4">
      <c r="J1874" s="26"/>
      <c r="N1874" s="26"/>
    </row>
    <row r="1875" spans="10:14" x14ac:dyDescent="0.4">
      <c r="J1875" s="26"/>
      <c r="N1875" s="26"/>
    </row>
    <row r="1876" spans="10:14" x14ac:dyDescent="0.4">
      <c r="J1876" s="26"/>
      <c r="N1876" s="26"/>
    </row>
    <row r="1877" spans="10:14" x14ac:dyDescent="0.4">
      <c r="J1877" s="26"/>
      <c r="N1877" s="26"/>
    </row>
    <row r="1878" spans="10:14" x14ac:dyDescent="0.4">
      <c r="J1878" s="26"/>
      <c r="N1878" s="26"/>
    </row>
    <row r="1879" spans="10:14" x14ac:dyDescent="0.4">
      <c r="J1879" s="26"/>
      <c r="N1879" s="26"/>
    </row>
    <row r="1880" spans="10:14" x14ac:dyDescent="0.4">
      <c r="J1880" s="26"/>
      <c r="N1880" s="26"/>
    </row>
    <row r="1881" spans="10:14" x14ac:dyDescent="0.4">
      <c r="J1881" s="26"/>
      <c r="N1881" s="26"/>
    </row>
    <row r="1882" spans="10:14" x14ac:dyDescent="0.4">
      <c r="J1882" s="26"/>
      <c r="N1882" s="26"/>
    </row>
    <row r="1883" spans="10:14" x14ac:dyDescent="0.4">
      <c r="J1883" s="26"/>
      <c r="N1883" s="26"/>
    </row>
    <row r="1884" spans="10:14" x14ac:dyDescent="0.4">
      <c r="J1884" s="26"/>
      <c r="N1884" s="26"/>
    </row>
    <row r="1885" spans="10:14" x14ac:dyDescent="0.4">
      <c r="J1885" s="26"/>
      <c r="N1885" s="26"/>
    </row>
    <row r="1886" spans="10:14" x14ac:dyDescent="0.4">
      <c r="J1886" s="26"/>
      <c r="N1886" s="26"/>
    </row>
    <row r="1887" spans="10:14" x14ac:dyDescent="0.4">
      <c r="J1887" s="26"/>
      <c r="N1887" s="26"/>
    </row>
    <row r="1888" spans="10:14" x14ac:dyDescent="0.4">
      <c r="J1888" s="26"/>
      <c r="N1888" s="26"/>
    </row>
    <row r="1889" spans="10:14" x14ac:dyDescent="0.4">
      <c r="J1889" s="26"/>
      <c r="N1889" s="26"/>
    </row>
    <row r="1890" spans="10:14" x14ac:dyDescent="0.4">
      <c r="J1890" s="26"/>
      <c r="N1890" s="26"/>
    </row>
    <row r="1891" spans="10:14" x14ac:dyDescent="0.4">
      <c r="J1891" s="26"/>
      <c r="N1891" s="26"/>
    </row>
    <row r="1892" spans="10:14" x14ac:dyDescent="0.4">
      <c r="J1892" s="26"/>
      <c r="N1892" s="26"/>
    </row>
    <row r="1893" spans="10:14" x14ac:dyDescent="0.4">
      <c r="J1893" s="26"/>
      <c r="N1893" s="26"/>
    </row>
    <row r="1894" spans="10:14" x14ac:dyDescent="0.4">
      <c r="J1894" s="26"/>
      <c r="N1894" s="26"/>
    </row>
    <row r="1895" spans="10:14" x14ac:dyDescent="0.4">
      <c r="J1895" s="26"/>
      <c r="N1895" s="26"/>
    </row>
    <row r="1896" spans="10:14" x14ac:dyDescent="0.4">
      <c r="J1896" s="26"/>
      <c r="N1896" s="26"/>
    </row>
    <row r="1897" spans="10:14" x14ac:dyDescent="0.4">
      <c r="J1897" s="26"/>
      <c r="N1897" s="26"/>
    </row>
    <row r="1898" spans="10:14" x14ac:dyDescent="0.4">
      <c r="J1898" s="26"/>
      <c r="N1898" s="26"/>
    </row>
    <row r="1899" spans="10:14" x14ac:dyDescent="0.4">
      <c r="J1899" s="26"/>
      <c r="N1899" s="26"/>
    </row>
    <row r="1900" spans="10:14" x14ac:dyDescent="0.4">
      <c r="J1900" s="26"/>
      <c r="N1900" s="26"/>
    </row>
    <row r="1901" spans="10:14" x14ac:dyDescent="0.4">
      <c r="J1901" s="26"/>
      <c r="N1901" s="26"/>
    </row>
    <row r="1902" spans="10:14" x14ac:dyDescent="0.4">
      <c r="J1902" s="26"/>
      <c r="N1902" s="26"/>
    </row>
    <row r="1903" spans="10:14" x14ac:dyDescent="0.4">
      <c r="J1903" s="26"/>
      <c r="N1903" s="26"/>
    </row>
    <row r="1904" spans="10:14" x14ac:dyDescent="0.4">
      <c r="J1904" s="26"/>
      <c r="N1904" s="26"/>
    </row>
    <row r="1905" spans="10:14" x14ac:dyDescent="0.4">
      <c r="J1905" s="26"/>
      <c r="N1905" s="26"/>
    </row>
    <row r="1906" spans="10:14" x14ac:dyDescent="0.4">
      <c r="J1906" s="26"/>
      <c r="N1906" s="26"/>
    </row>
    <row r="1907" spans="10:14" x14ac:dyDescent="0.4">
      <c r="J1907" s="26"/>
      <c r="N1907" s="26"/>
    </row>
    <row r="1908" spans="10:14" x14ac:dyDescent="0.4">
      <c r="J1908" s="26"/>
      <c r="N1908" s="26"/>
    </row>
    <row r="1909" spans="10:14" x14ac:dyDescent="0.4">
      <c r="J1909" s="26"/>
      <c r="N1909" s="26"/>
    </row>
    <row r="1910" spans="10:14" x14ac:dyDescent="0.4">
      <c r="J1910" s="26"/>
      <c r="N1910" s="26"/>
    </row>
    <row r="1911" spans="10:14" x14ac:dyDescent="0.4">
      <c r="J1911" s="26"/>
      <c r="N1911" s="26"/>
    </row>
    <row r="1912" spans="10:14" x14ac:dyDescent="0.4">
      <c r="J1912" s="26"/>
      <c r="N1912" s="26"/>
    </row>
    <row r="1913" spans="10:14" x14ac:dyDescent="0.4">
      <c r="J1913" s="26"/>
      <c r="N1913" s="26"/>
    </row>
    <row r="1914" spans="10:14" x14ac:dyDescent="0.4">
      <c r="J1914" s="26"/>
      <c r="N1914" s="26"/>
    </row>
    <row r="1915" spans="10:14" x14ac:dyDescent="0.4">
      <c r="J1915" s="26"/>
      <c r="N1915" s="26"/>
    </row>
    <row r="1916" spans="10:14" x14ac:dyDescent="0.4">
      <c r="J1916" s="26"/>
      <c r="N1916" s="26"/>
    </row>
    <row r="1917" spans="10:14" x14ac:dyDescent="0.4">
      <c r="J1917" s="26"/>
      <c r="N1917" s="26"/>
    </row>
    <row r="1918" spans="10:14" x14ac:dyDescent="0.4">
      <c r="J1918" s="26"/>
      <c r="N1918" s="26"/>
    </row>
    <row r="1919" spans="10:14" x14ac:dyDescent="0.4">
      <c r="J1919" s="26"/>
      <c r="N1919" s="26"/>
    </row>
    <row r="1920" spans="10:14" x14ac:dyDescent="0.4">
      <c r="J1920" s="26"/>
      <c r="N1920" s="26"/>
    </row>
    <row r="1921" spans="10:14" x14ac:dyDescent="0.4">
      <c r="J1921" s="26"/>
      <c r="N1921" s="26"/>
    </row>
    <row r="1922" spans="10:14" x14ac:dyDescent="0.4">
      <c r="J1922" s="26"/>
      <c r="N1922" s="26"/>
    </row>
    <row r="1923" spans="10:14" x14ac:dyDescent="0.4">
      <c r="J1923" s="26"/>
      <c r="N1923" s="26"/>
    </row>
    <row r="1924" spans="10:14" x14ac:dyDescent="0.4">
      <c r="J1924" s="26"/>
      <c r="N1924" s="26"/>
    </row>
    <row r="1925" spans="10:14" x14ac:dyDescent="0.4">
      <c r="J1925" s="26"/>
      <c r="N1925" s="26"/>
    </row>
    <row r="1926" spans="10:14" x14ac:dyDescent="0.4">
      <c r="J1926" s="26"/>
      <c r="N1926" s="26"/>
    </row>
    <row r="1927" spans="10:14" x14ac:dyDescent="0.4">
      <c r="J1927" s="26"/>
      <c r="N1927" s="26"/>
    </row>
    <row r="1928" spans="10:14" x14ac:dyDescent="0.4">
      <c r="J1928" s="26"/>
      <c r="N1928" s="26"/>
    </row>
    <row r="1929" spans="10:14" x14ac:dyDescent="0.4">
      <c r="J1929" s="26"/>
      <c r="N1929" s="26"/>
    </row>
    <row r="1930" spans="10:14" x14ac:dyDescent="0.4">
      <c r="J1930" s="26"/>
      <c r="N1930" s="26"/>
    </row>
    <row r="1931" spans="10:14" x14ac:dyDescent="0.4">
      <c r="J1931" s="26"/>
      <c r="N1931" s="26"/>
    </row>
    <row r="1932" spans="10:14" x14ac:dyDescent="0.4">
      <c r="J1932" s="26"/>
      <c r="N1932" s="26"/>
    </row>
    <row r="1933" spans="10:14" x14ac:dyDescent="0.4">
      <c r="J1933" s="26"/>
      <c r="N1933" s="26"/>
    </row>
    <row r="1934" spans="10:14" x14ac:dyDescent="0.4">
      <c r="J1934" s="26"/>
      <c r="N1934" s="26"/>
    </row>
    <row r="1935" spans="10:14" x14ac:dyDescent="0.4">
      <c r="J1935" s="26"/>
      <c r="N1935" s="26"/>
    </row>
    <row r="1936" spans="10:14" x14ac:dyDescent="0.4">
      <c r="J1936" s="26"/>
      <c r="N1936" s="26"/>
    </row>
    <row r="1937" spans="10:14" x14ac:dyDescent="0.4">
      <c r="J1937" s="26"/>
      <c r="N1937" s="26"/>
    </row>
    <row r="1938" spans="10:14" x14ac:dyDescent="0.4">
      <c r="J1938" s="26"/>
      <c r="N1938" s="26"/>
    </row>
    <row r="1939" spans="10:14" x14ac:dyDescent="0.4">
      <c r="J1939" s="26"/>
      <c r="N1939" s="26"/>
    </row>
    <row r="1940" spans="10:14" x14ac:dyDescent="0.4">
      <c r="J1940" s="26"/>
      <c r="N1940" s="26"/>
    </row>
    <row r="1941" spans="10:14" x14ac:dyDescent="0.4">
      <c r="J1941" s="26"/>
      <c r="N1941" s="26"/>
    </row>
    <row r="1942" spans="10:14" x14ac:dyDescent="0.4">
      <c r="J1942" s="26"/>
      <c r="N1942" s="26"/>
    </row>
    <row r="1943" spans="10:14" x14ac:dyDescent="0.4">
      <c r="J1943" s="26"/>
      <c r="N1943" s="26"/>
    </row>
    <row r="1944" spans="10:14" x14ac:dyDescent="0.4">
      <c r="J1944" s="26"/>
      <c r="N1944" s="26"/>
    </row>
    <row r="1945" spans="10:14" x14ac:dyDescent="0.4">
      <c r="J1945" s="26"/>
      <c r="N1945" s="26"/>
    </row>
    <row r="1946" spans="10:14" x14ac:dyDescent="0.4">
      <c r="J1946" s="26"/>
      <c r="N1946" s="26"/>
    </row>
    <row r="1947" spans="10:14" x14ac:dyDescent="0.4">
      <c r="J1947" s="26"/>
      <c r="N1947" s="26"/>
    </row>
    <row r="1948" spans="10:14" x14ac:dyDescent="0.4">
      <c r="J1948" s="26"/>
      <c r="N1948" s="26"/>
    </row>
    <row r="1949" spans="10:14" x14ac:dyDescent="0.4">
      <c r="J1949" s="26"/>
      <c r="N1949" s="26"/>
    </row>
    <row r="1950" spans="10:14" x14ac:dyDescent="0.4">
      <c r="J1950" s="26"/>
      <c r="N1950" s="26"/>
    </row>
    <row r="1951" spans="10:14" x14ac:dyDescent="0.4">
      <c r="J1951" s="26"/>
      <c r="N1951" s="26"/>
    </row>
    <row r="1952" spans="10:14" x14ac:dyDescent="0.4">
      <c r="J1952" s="26"/>
      <c r="N1952" s="26"/>
    </row>
    <row r="1953" spans="10:14" x14ac:dyDescent="0.4">
      <c r="J1953" s="26"/>
      <c r="N1953" s="26"/>
    </row>
    <row r="1954" spans="10:14" x14ac:dyDescent="0.4">
      <c r="J1954" s="26"/>
      <c r="N1954" s="26"/>
    </row>
    <row r="1955" spans="10:14" x14ac:dyDescent="0.4">
      <c r="J1955" s="26"/>
      <c r="N1955" s="26"/>
    </row>
    <row r="1956" spans="10:14" x14ac:dyDescent="0.4">
      <c r="J1956" s="26"/>
      <c r="N1956" s="26"/>
    </row>
    <row r="1957" spans="10:14" x14ac:dyDescent="0.4">
      <c r="J1957" s="26"/>
      <c r="N1957" s="26"/>
    </row>
    <row r="1958" spans="10:14" x14ac:dyDescent="0.4">
      <c r="J1958" s="26"/>
      <c r="N1958" s="26"/>
    </row>
    <row r="1959" spans="10:14" x14ac:dyDescent="0.4">
      <c r="J1959" s="26"/>
      <c r="N1959" s="26"/>
    </row>
    <row r="1960" spans="10:14" x14ac:dyDescent="0.4">
      <c r="J1960" s="26"/>
      <c r="N1960" s="26"/>
    </row>
    <row r="1961" spans="10:14" x14ac:dyDescent="0.4">
      <c r="J1961" s="26"/>
      <c r="N1961" s="26"/>
    </row>
    <row r="1962" spans="10:14" x14ac:dyDescent="0.4">
      <c r="J1962" s="26"/>
      <c r="N1962" s="26"/>
    </row>
    <row r="1963" spans="10:14" x14ac:dyDescent="0.4">
      <c r="J1963" s="26"/>
      <c r="N1963" s="26"/>
    </row>
    <row r="1964" spans="10:14" x14ac:dyDescent="0.4">
      <c r="J1964" s="26"/>
      <c r="N1964" s="26"/>
    </row>
    <row r="1965" spans="10:14" x14ac:dyDescent="0.4">
      <c r="J1965" s="26"/>
      <c r="N1965" s="26"/>
    </row>
    <row r="1966" spans="10:14" x14ac:dyDescent="0.4">
      <c r="J1966" s="26"/>
      <c r="N1966" s="26"/>
    </row>
    <row r="1967" spans="10:14" x14ac:dyDescent="0.4">
      <c r="J1967" s="26"/>
      <c r="N1967" s="26"/>
    </row>
    <row r="1968" spans="10:14" x14ac:dyDescent="0.4">
      <c r="J1968" s="26"/>
      <c r="N1968" s="26"/>
    </row>
    <row r="1969" spans="10:14" x14ac:dyDescent="0.4">
      <c r="J1969" s="26"/>
      <c r="N1969" s="26"/>
    </row>
    <row r="1970" spans="10:14" x14ac:dyDescent="0.4">
      <c r="J1970" s="26"/>
      <c r="N1970" s="26"/>
    </row>
    <row r="1971" spans="10:14" x14ac:dyDescent="0.4">
      <c r="J1971" s="26"/>
      <c r="N1971" s="26"/>
    </row>
    <row r="1972" spans="10:14" x14ac:dyDescent="0.4">
      <c r="J1972" s="26"/>
      <c r="N1972" s="26"/>
    </row>
    <row r="1973" spans="10:14" x14ac:dyDescent="0.4">
      <c r="J1973" s="26"/>
      <c r="N1973" s="26"/>
    </row>
    <row r="1974" spans="10:14" x14ac:dyDescent="0.4">
      <c r="J1974" s="26"/>
      <c r="N1974" s="26"/>
    </row>
    <row r="1975" spans="10:14" x14ac:dyDescent="0.4">
      <c r="J1975" s="26"/>
      <c r="N1975" s="26"/>
    </row>
    <row r="1976" spans="10:14" x14ac:dyDescent="0.4">
      <c r="J1976" s="26"/>
      <c r="N1976" s="26"/>
    </row>
    <row r="1977" spans="10:14" x14ac:dyDescent="0.4">
      <c r="J1977" s="26"/>
      <c r="N1977" s="26"/>
    </row>
    <row r="1978" spans="10:14" x14ac:dyDescent="0.4">
      <c r="J1978" s="26"/>
      <c r="N1978" s="26"/>
    </row>
    <row r="1979" spans="10:14" x14ac:dyDescent="0.4">
      <c r="J1979" s="26"/>
      <c r="N1979" s="26"/>
    </row>
    <row r="1980" spans="10:14" x14ac:dyDescent="0.4">
      <c r="J1980" s="26"/>
      <c r="N1980" s="26"/>
    </row>
    <row r="1981" spans="10:14" x14ac:dyDescent="0.4">
      <c r="J1981" s="26"/>
      <c r="N1981" s="26"/>
    </row>
    <row r="1982" spans="10:14" x14ac:dyDescent="0.4">
      <c r="J1982" s="26"/>
      <c r="N1982" s="26"/>
    </row>
    <row r="1983" spans="10:14" x14ac:dyDescent="0.4">
      <c r="J1983" s="26"/>
      <c r="N1983" s="26"/>
    </row>
    <row r="1984" spans="10:14" x14ac:dyDescent="0.4">
      <c r="J1984" s="26"/>
      <c r="N1984" s="26"/>
    </row>
    <row r="1985" spans="10:14" x14ac:dyDescent="0.4">
      <c r="J1985" s="26"/>
      <c r="N1985" s="26"/>
    </row>
    <row r="1986" spans="10:14" x14ac:dyDescent="0.4">
      <c r="J1986" s="26"/>
      <c r="N1986" s="26"/>
    </row>
    <row r="1987" spans="10:14" x14ac:dyDescent="0.4">
      <c r="J1987" s="26"/>
      <c r="N1987" s="26"/>
    </row>
    <row r="1988" spans="10:14" x14ac:dyDescent="0.4">
      <c r="J1988" s="26"/>
      <c r="N1988" s="26"/>
    </row>
    <row r="1989" spans="10:14" x14ac:dyDescent="0.4">
      <c r="J1989" s="26"/>
      <c r="N1989" s="26"/>
    </row>
    <row r="1990" spans="10:14" x14ac:dyDescent="0.4">
      <c r="J1990" s="26"/>
      <c r="N1990" s="26"/>
    </row>
    <row r="1991" spans="10:14" x14ac:dyDescent="0.4">
      <c r="J1991" s="26"/>
      <c r="N1991" s="26"/>
    </row>
    <row r="1992" spans="10:14" x14ac:dyDescent="0.4">
      <c r="J1992" s="26"/>
      <c r="N1992" s="26"/>
    </row>
    <row r="1993" spans="10:14" x14ac:dyDescent="0.4">
      <c r="J1993" s="26"/>
      <c r="N1993" s="26"/>
    </row>
    <row r="1994" spans="10:14" x14ac:dyDescent="0.4">
      <c r="J1994" s="26"/>
      <c r="N1994" s="26"/>
    </row>
    <row r="1995" spans="10:14" x14ac:dyDescent="0.4">
      <c r="J1995" s="26"/>
      <c r="N1995" s="26"/>
    </row>
    <row r="1996" spans="10:14" x14ac:dyDescent="0.4">
      <c r="J1996" s="26"/>
      <c r="N1996" s="26"/>
    </row>
    <row r="1997" spans="10:14" x14ac:dyDescent="0.4">
      <c r="J1997" s="26"/>
      <c r="N1997" s="26"/>
    </row>
    <row r="1998" spans="10:14" x14ac:dyDescent="0.4">
      <c r="J1998" s="26"/>
      <c r="N1998" s="26"/>
    </row>
    <row r="1999" spans="10:14" x14ac:dyDescent="0.4">
      <c r="J1999" s="26"/>
      <c r="N1999" s="26"/>
    </row>
    <row r="2000" spans="10:14" x14ac:dyDescent="0.4">
      <c r="J2000" s="26"/>
      <c r="N2000" s="26"/>
    </row>
    <row r="2001" spans="10:14" x14ac:dyDescent="0.4">
      <c r="J2001" s="26"/>
      <c r="N2001" s="26"/>
    </row>
    <row r="2002" spans="10:14" x14ac:dyDescent="0.4">
      <c r="J2002" s="26"/>
      <c r="N2002" s="26"/>
    </row>
    <row r="2003" spans="10:14" x14ac:dyDescent="0.4">
      <c r="J2003" s="26"/>
      <c r="N2003" s="26"/>
    </row>
    <row r="2004" spans="10:14" x14ac:dyDescent="0.4">
      <c r="J2004" s="26"/>
      <c r="N2004" s="26"/>
    </row>
    <row r="2005" spans="10:14" x14ac:dyDescent="0.4">
      <c r="J2005" s="26"/>
      <c r="N2005" s="26"/>
    </row>
    <row r="2006" spans="10:14" x14ac:dyDescent="0.4">
      <c r="J2006" s="26"/>
      <c r="N2006" s="26"/>
    </row>
    <row r="2007" spans="10:14" x14ac:dyDescent="0.4">
      <c r="J2007" s="26"/>
      <c r="N2007" s="26"/>
    </row>
    <row r="2008" spans="10:14" x14ac:dyDescent="0.4">
      <c r="J2008" s="26"/>
      <c r="N2008" s="26"/>
    </row>
    <row r="2009" spans="10:14" x14ac:dyDescent="0.4">
      <c r="J2009" s="26"/>
      <c r="N2009" s="26"/>
    </row>
    <row r="2010" spans="10:14" x14ac:dyDescent="0.4">
      <c r="J2010" s="26"/>
      <c r="N2010" s="26"/>
    </row>
    <row r="2011" spans="10:14" x14ac:dyDescent="0.4">
      <c r="J2011" s="26"/>
      <c r="N2011" s="26"/>
    </row>
    <row r="2012" spans="10:14" x14ac:dyDescent="0.4">
      <c r="J2012" s="26"/>
      <c r="N2012" s="26"/>
    </row>
    <row r="2013" spans="10:14" x14ac:dyDescent="0.4">
      <c r="J2013" s="26"/>
      <c r="N2013" s="26"/>
    </row>
    <row r="2014" spans="10:14" x14ac:dyDescent="0.4">
      <c r="J2014" s="26"/>
      <c r="N2014" s="26"/>
    </row>
    <row r="2015" spans="10:14" x14ac:dyDescent="0.4">
      <c r="J2015" s="26"/>
      <c r="N2015" s="26"/>
    </row>
    <row r="2016" spans="10:14" x14ac:dyDescent="0.4">
      <c r="J2016" s="26"/>
      <c r="N2016" s="26"/>
    </row>
    <row r="2017" spans="10:14" x14ac:dyDescent="0.4">
      <c r="J2017" s="26"/>
      <c r="N2017" s="26"/>
    </row>
    <row r="2018" spans="10:14" x14ac:dyDescent="0.4">
      <c r="J2018" s="26"/>
      <c r="N2018" s="26"/>
    </row>
    <row r="2019" spans="10:14" x14ac:dyDescent="0.4">
      <c r="J2019" s="26"/>
      <c r="N2019" s="26"/>
    </row>
    <row r="2020" spans="10:14" x14ac:dyDescent="0.4">
      <c r="J2020" s="26"/>
      <c r="N2020" s="26"/>
    </row>
    <row r="2021" spans="10:14" x14ac:dyDescent="0.4">
      <c r="J2021" s="26"/>
      <c r="N2021" s="26"/>
    </row>
    <row r="2022" spans="10:14" x14ac:dyDescent="0.4">
      <c r="J2022" s="26"/>
      <c r="N2022" s="26"/>
    </row>
    <row r="2023" spans="10:14" x14ac:dyDescent="0.4">
      <c r="J2023" s="26"/>
      <c r="N2023" s="26"/>
    </row>
    <row r="2024" spans="10:14" x14ac:dyDescent="0.4">
      <c r="J2024" s="26"/>
      <c r="N2024" s="26"/>
    </row>
    <row r="2025" spans="10:14" x14ac:dyDescent="0.4">
      <c r="J2025" s="26"/>
      <c r="N2025" s="26"/>
    </row>
    <row r="2026" spans="10:14" x14ac:dyDescent="0.4">
      <c r="J2026" s="26"/>
      <c r="N2026" s="26"/>
    </row>
    <row r="2027" spans="10:14" x14ac:dyDescent="0.4">
      <c r="J2027" s="26"/>
      <c r="N2027" s="26"/>
    </row>
    <row r="2028" spans="10:14" x14ac:dyDescent="0.4">
      <c r="J2028" s="26"/>
      <c r="N2028" s="26"/>
    </row>
    <row r="2029" spans="10:14" x14ac:dyDescent="0.4">
      <c r="J2029" s="26"/>
      <c r="N2029" s="26"/>
    </row>
    <row r="2030" spans="10:14" x14ac:dyDescent="0.4">
      <c r="J2030" s="26"/>
      <c r="N2030" s="26"/>
    </row>
    <row r="2031" spans="10:14" x14ac:dyDescent="0.4">
      <c r="J2031" s="26"/>
      <c r="N2031" s="26"/>
    </row>
    <row r="2032" spans="10:14" x14ac:dyDescent="0.4">
      <c r="J2032" s="26"/>
      <c r="N2032" s="26"/>
    </row>
    <row r="2033" spans="10:14" x14ac:dyDescent="0.4">
      <c r="J2033" s="26"/>
      <c r="N2033" s="26"/>
    </row>
    <row r="2034" spans="10:14" x14ac:dyDescent="0.4">
      <c r="J2034" s="26"/>
      <c r="N2034" s="26"/>
    </row>
    <row r="2035" spans="10:14" x14ac:dyDescent="0.4">
      <c r="J2035" s="26"/>
      <c r="N2035" s="26"/>
    </row>
    <row r="2036" spans="10:14" x14ac:dyDescent="0.4">
      <c r="J2036" s="26"/>
      <c r="N2036" s="26"/>
    </row>
    <row r="2037" spans="10:14" x14ac:dyDescent="0.4">
      <c r="J2037" s="26"/>
      <c r="N2037" s="26"/>
    </row>
    <row r="2038" spans="10:14" x14ac:dyDescent="0.4">
      <c r="J2038" s="26"/>
      <c r="N2038" s="26"/>
    </row>
    <row r="2039" spans="10:14" x14ac:dyDescent="0.4">
      <c r="J2039" s="26"/>
      <c r="N2039" s="26"/>
    </row>
    <row r="2040" spans="10:14" x14ac:dyDescent="0.4">
      <c r="J2040" s="26"/>
      <c r="N2040" s="26"/>
    </row>
    <row r="2041" spans="10:14" x14ac:dyDescent="0.4">
      <c r="J2041" s="26"/>
      <c r="N2041" s="26"/>
    </row>
    <row r="2042" spans="10:14" x14ac:dyDescent="0.4">
      <c r="J2042" s="26"/>
      <c r="N2042" s="26"/>
    </row>
    <row r="2043" spans="10:14" x14ac:dyDescent="0.4">
      <c r="J2043" s="26"/>
      <c r="N2043" s="26"/>
    </row>
    <row r="2044" spans="10:14" x14ac:dyDescent="0.4">
      <c r="J2044" s="26"/>
      <c r="N2044" s="26"/>
    </row>
    <row r="2045" spans="10:14" x14ac:dyDescent="0.4">
      <c r="J2045" s="26"/>
      <c r="N2045" s="26"/>
    </row>
    <row r="2046" spans="10:14" x14ac:dyDescent="0.4">
      <c r="J2046" s="26"/>
      <c r="N2046" s="26"/>
    </row>
    <row r="2047" spans="10:14" x14ac:dyDescent="0.4">
      <c r="J2047" s="26"/>
      <c r="N2047" s="26"/>
    </row>
    <row r="2048" spans="10:14" x14ac:dyDescent="0.4">
      <c r="J2048" s="26"/>
      <c r="N2048" s="26"/>
    </row>
    <row r="2049" spans="10:14" x14ac:dyDescent="0.4">
      <c r="J2049" s="26"/>
      <c r="N2049" s="26"/>
    </row>
    <row r="2050" spans="10:14" x14ac:dyDescent="0.4">
      <c r="J2050" s="26"/>
      <c r="N2050" s="26"/>
    </row>
    <row r="2051" spans="10:14" x14ac:dyDescent="0.4">
      <c r="J2051" s="26"/>
      <c r="N2051" s="26"/>
    </row>
    <row r="2052" spans="10:14" x14ac:dyDescent="0.4">
      <c r="J2052" s="26"/>
      <c r="N2052" s="26"/>
    </row>
    <row r="2053" spans="10:14" x14ac:dyDescent="0.4">
      <c r="J2053" s="26"/>
      <c r="N2053" s="26"/>
    </row>
    <row r="2054" spans="10:14" x14ac:dyDescent="0.4">
      <c r="J2054" s="26"/>
      <c r="N2054" s="26"/>
    </row>
    <row r="2055" spans="10:14" x14ac:dyDescent="0.4">
      <c r="J2055" s="26"/>
      <c r="N2055" s="26"/>
    </row>
    <row r="2056" spans="10:14" x14ac:dyDescent="0.4">
      <c r="J2056" s="26"/>
      <c r="N2056" s="26"/>
    </row>
    <row r="2057" spans="10:14" x14ac:dyDescent="0.4">
      <c r="J2057" s="26"/>
      <c r="N2057" s="26"/>
    </row>
    <row r="2058" spans="10:14" x14ac:dyDescent="0.4">
      <c r="J2058" s="26"/>
      <c r="N2058" s="26"/>
    </row>
    <row r="2059" spans="10:14" x14ac:dyDescent="0.4">
      <c r="J2059" s="26"/>
      <c r="N2059" s="26"/>
    </row>
    <row r="2060" spans="10:14" x14ac:dyDescent="0.4">
      <c r="J2060" s="26"/>
      <c r="N2060" s="26"/>
    </row>
    <row r="2061" spans="10:14" x14ac:dyDescent="0.4">
      <c r="J2061" s="26"/>
      <c r="N2061" s="26"/>
    </row>
    <row r="2062" spans="10:14" x14ac:dyDescent="0.4">
      <c r="J2062" s="26"/>
      <c r="N2062" s="26"/>
    </row>
    <row r="2063" spans="10:14" x14ac:dyDescent="0.4">
      <c r="J2063" s="26"/>
      <c r="N2063" s="26"/>
    </row>
    <row r="2064" spans="10:14" x14ac:dyDescent="0.4">
      <c r="J2064" s="26"/>
      <c r="N2064" s="26"/>
    </row>
    <row r="2065" spans="10:14" x14ac:dyDescent="0.4">
      <c r="J2065" s="26"/>
      <c r="N2065" s="26"/>
    </row>
    <row r="2066" spans="10:14" x14ac:dyDescent="0.4">
      <c r="J2066" s="26"/>
      <c r="N2066" s="26"/>
    </row>
    <row r="2067" spans="10:14" x14ac:dyDescent="0.4">
      <c r="J2067" s="26"/>
      <c r="N2067" s="26"/>
    </row>
    <row r="2068" spans="10:14" x14ac:dyDescent="0.4">
      <c r="J2068" s="26"/>
      <c r="N2068" s="26"/>
    </row>
    <row r="2069" spans="10:14" x14ac:dyDescent="0.4">
      <c r="J2069" s="26"/>
      <c r="N2069" s="26"/>
    </row>
    <row r="2070" spans="10:14" x14ac:dyDescent="0.4">
      <c r="J2070" s="26"/>
      <c r="N2070" s="26"/>
    </row>
    <row r="2071" spans="10:14" x14ac:dyDescent="0.4">
      <c r="J2071" s="26"/>
      <c r="N2071" s="26"/>
    </row>
    <row r="2072" spans="10:14" x14ac:dyDescent="0.4">
      <c r="J2072" s="26"/>
      <c r="N2072" s="26"/>
    </row>
    <row r="2073" spans="10:14" x14ac:dyDescent="0.4">
      <c r="J2073" s="26"/>
      <c r="N2073" s="26"/>
    </row>
    <row r="2074" spans="10:14" x14ac:dyDescent="0.4">
      <c r="J2074" s="26"/>
      <c r="N2074" s="26"/>
    </row>
    <row r="2075" spans="10:14" x14ac:dyDescent="0.4">
      <c r="J2075" s="26"/>
      <c r="N2075" s="26"/>
    </row>
    <row r="2076" spans="10:14" x14ac:dyDescent="0.4">
      <c r="J2076" s="26"/>
      <c r="N2076" s="26"/>
    </row>
    <row r="2077" spans="10:14" x14ac:dyDescent="0.4">
      <c r="J2077" s="26"/>
      <c r="N2077" s="26"/>
    </row>
    <row r="2078" spans="10:14" x14ac:dyDescent="0.4">
      <c r="J2078" s="26"/>
      <c r="N2078" s="26"/>
    </row>
    <row r="2079" spans="10:14" x14ac:dyDescent="0.4">
      <c r="J2079" s="26"/>
      <c r="N2079" s="26"/>
    </row>
    <row r="2080" spans="10:14" x14ac:dyDescent="0.4">
      <c r="J2080" s="26"/>
      <c r="N2080" s="26"/>
    </row>
    <row r="2081" spans="10:14" x14ac:dyDescent="0.4">
      <c r="J2081" s="26"/>
      <c r="N2081" s="26"/>
    </row>
    <row r="2082" spans="10:14" x14ac:dyDescent="0.4">
      <c r="J2082" s="26"/>
      <c r="N2082" s="26"/>
    </row>
    <row r="2083" spans="10:14" x14ac:dyDescent="0.4">
      <c r="J2083" s="26"/>
      <c r="N2083" s="26"/>
    </row>
    <row r="2084" spans="10:14" x14ac:dyDescent="0.4">
      <c r="J2084" s="26"/>
      <c r="N2084" s="26"/>
    </row>
    <row r="2085" spans="10:14" x14ac:dyDescent="0.4">
      <c r="J2085" s="26"/>
      <c r="N2085" s="26"/>
    </row>
    <row r="2086" spans="10:14" x14ac:dyDescent="0.4">
      <c r="J2086" s="26"/>
      <c r="N2086" s="26"/>
    </row>
    <row r="2087" spans="10:14" x14ac:dyDescent="0.4">
      <c r="J2087" s="26"/>
      <c r="N2087" s="26"/>
    </row>
    <row r="2088" spans="10:14" x14ac:dyDescent="0.4">
      <c r="J2088" s="26"/>
      <c r="N2088" s="26"/>
    </row>
    <row r="2089" spans="10:14" x14ac:dyDescent="0.4">
      <c r="J2089" s="26"/>
      <c r="N2089" s="26"/>
    </row>
    <row r="2090" spans="10:14" x14ac:dyDescent="0.4">
      <c r="J2090" s="26"/>
      <c r="N2090" s="26"/>
    </row>
    <row r="2091" spans="10:14" x14ac:dyDescent="0.4">
      <c r="J2091" s="26"/>
      <c r="N2091" s="26"/>
    </row>
    <row r="2092" spans="10:14" x14ac:dyDescent="0.4">
      <c r="J2092" s="26"/>
      <c r="N2092" s="26"/>
    </row>
    <row r="2093" spans="10:14" x14ac:dyDescent="0.4">
      <c r="J2093" s="26"/>
      <c r="N2093" s="26"/>
    </row>
    <row r="2094" spans="10:14" x14ac:dyDescent="0.4">
      <c r="J2094" s="26"/>
      <c r="N2094" s="26"/>
    </row>
    <row r="2095" spans="10:14" x14ac:dyDescent="0.4">
      <c r="J2095" s="26"/>
      <c r="N2095" s="26"/>
    </row>
    <row r="2096" spans="10:14" x14ac:dyDescent="0.4">
      <c r="J2096" s="26"/>
      <c r="N2096" s="26"/>
    </row>
    <row r="2097" spans="10:14" x14ac:dyDescent="0.4">
      <c r="J2097" s="26"/>
      <c r="N2097" s="26"/>
    </row>
    <row r="2098" spans="10:14" x14ac:dyDescent="0.4">
      <c r="J2098" s="26"/>
      <c r="N2098" s="26"/>
    </row>
    <row r="2099" spans="10:14" x14ac:dyDescent="0.4">
      <c r="J2099" s="26"/>
      <c r="N2099" s="26"/>
    </row>
    <row r="2100" spans="10:14" x14ac:dyDescent="0.4">
      <c r="J2100" s="26"/>
      <c r="N2100" s="26"/>
    </row>
    <row r="2101" spans="10:14" x14ac:dyDescent="0.4">
      <c r="J2101" s="26"/>
      <c r="N2101" s="26"/>
    </row>
    <row r="2102" spans="10:14" x14ac:dyDescent="0.4">
      <c r="J2102" s="26"/>
      <c r="N2102" s="26"/>
    </row>
    <row r="2103" spans="10:14" x14ac:dyDescent="0.4">
      <c r="J2103" s="26"/>
      <c r="N2103" s="26"/>
    </row>
    <row r="2104" spans="10:14" x14ac:dyDescent="0.4">
      <c r="J2104" s="26"/>
      <c r="N2104" s="26"/>
    </row>
    <row r="2105" spans="10:14" x14ac:dyDescent="0.4">
      <c r="J2105" s="26"/>
      <c r="N2105" s="26"/>
    </row>
    <row r="2106" spans="10:14" x14ac:dyDescent="0.4">
      <c r="J2106" s="26"/>
      <c r="N2106" s="26"/>
    </row>
    <row r="2107" spans="10:14" x14ac:dyDescent="0.4">
      <c r="J2107" s="26"/>
      <c r="N2107" s="26"/>
    </row>
    <row r="2108" spans="10:14" x14ac:dyDescent="0.4">
      <c r="J2108" s="26"/>
      <c r="N2108" s="26"/>
    </row>
    <row r="2109" spans="10:14" x14ac:dyDescent="0.4">
      <c r="J2109" s="26"/>
      <c r="N2109" s="26"/>
    </row>
    <row r="2110" spans="10:14" x14ac:dyDescent="0.4">
      <c r="J2110" s="26"/>
      <c r="N2110" s="26"/>
    </row>
    <row r="2111" spans="10:14" x14ac:dyDescent="0.4">
      <c r="J2111" s="26"/>
      <c r="N2111" s="26"/>
    </row>
    <row r="2112" spans="10:14" x14ac:dyDescent="0.4">
      <c r="J2112" s="26"/>
      <c r="N2112" s="26"/>
    </row>
    <row r="2113" spans="10:14" x14ac:dyDescent="0.4">
      <c r="J2113" s="26"/>
      <c r="N2113" s="26"/>
    </row>
    <row r="2114" spans="10:14" x14ac:dyDescent="0.4">
      <c r="J2114" s="26"/>
      <c r="N2114" s="26"/>
    </row>
    <row r="2115" spans="10:14" x14ac:dyDescent="0.4">
      <c r="J2115" s="26"/>
      <c r="N2115" s="26"/>
    </row>
    <row r="2116" spans="10:14" x14ac:dyDescent="0.4">
      <c r="J2116" s="26"/>
      <c r="N2116" s="26"/>
    </row>
    <row r="2117" spans="10:14" x14ac:dyDescent="0.4">
      <c r="J2117" s="26"/>
      <c r="N2117" s="26"/>
    </row>
    <row r="2118" spans="10:14" x14ac:dyDescent="0.4">
      <c r="J2118" s="26"/>
      <c r="N2118" s="26"/>
    </row>
    <row r="2119" spans="10:14" x14ac:dyDescent="0.4">
      <c r="J2119" s="26"/>
      <c r="N2119" s="26"/>
    </row>
    <row r="2120" spans="10:14" x14ac:dyDescent="0.4">
      <c r="J2120" s="26"/>
      <c r="N2120" s="26"/>
    </row>
    <row r="2121" spans="10:14" x14ac:dyDescent="0.4">
      <c r="J2121" s="26"/>
      <c r="N2121" s="26"/>
    </row>
    <row r="2122" spans="10:14" x14ac:dyDescent="0.4">
      <c r="J2122" s="26"/>
      <c r="N2122" s="26"/>
    </row>
    <row r="2123" spans="10:14" x14ac:dyDescent="0.4">
      <c r="J2123" s="26"/>
      <c r="N2123" s="26"/>
    </row>
    <row r="2124" spans="10:14" x14ac:dyDescent="0.4">
      <c r="J2124" s="26"/>
      <c r="N2124" s="26"/>
    </row>
    <row r="2125" spans="10:14" x14ac:dyDescent="0.4">
      <c r="J2125" s="26"/>
      <c r="N2125" s="26"/>
    </row>
    <row r="2126" spans="10:14" x14ac:dyDescent="0.4">
      <c r="J2126" s="26"/>
      <c r="N2126" s="26"/>
    </row>
    <row r="2127" spans="10:14" x14ac:dyDescent="0.4">
      <c r="J2127" s="26"/>
      <c r="N2127" s="26"/>
    </row>
    <row r="2128" spans="10:14" x14ac:dyDescent="0.4">
      <c r="J2128" s="26"/>
      <c r="N2128" s="26"/>
    </row>
    <row r="2129" spans="10:14" x14ac:dyDescent="0.4">
      <c r="J2129" s="26"/>
      <c r="N2129" s="26"/>
    </row>
    <row r="2130" spans="10:14" x14ac:dyDescent="0.4">
      <c r="J2130" s="26"/>
      <c r="N2130" s="26"/>
    </row>
    <row r="2131" spans="10:14" x14ac:dyDescent="0.4">
      <c r="J2131" s="26"/>
      <c r="N2131" s="26"/>
    </row>
    <row r="2132" spans="10:14" x14ac:dyDescent="0.4">
      <c r="J2132" s="26"/>
      <c r="N2132" s="26"/>
    </row>
    <row r="2133" spans="10:14" x14ac:dyDescent="0.4">
      <c r="J2133" s="26"/>
      <c r="N2133" s="26"/>
    </row>
    <row r="2134" spans="10:14" x14ac:dyDescent="0.4">
      <c r="J2134" s="26"/>
      <c r="N2134" s="26"/>
    </row>
    <row r="2135" spans="10:14" x14ac:dyDescent="0.4">
      <c r="J2135" s="26"/>
      <c r="N2135" s="26"/>
    </row>
    <row r="2136" spans="10:14" x14ac:dyDescent="0.4">
      <c r="J2136" s="26"/>
      <c r="N2136" s="26"/>
    </row>
    <row r="2137" spans="10:14" x14ac:dyDescent="0.4">
      <c r="J2137" s="26"/>
      <c r="N2137" s="26"/>
    </row>
    <row r="2138" spans="10:14" x14ac:dyDescent="0.4">
      <c r="J2138" s="26"/>
      <c r="N2138" s="26"/>
    </row>
    <row r="2139" spans="10:14" x14ac:dyDescent="0.4">
      <c r="J2139" s="26"/>
      <c r="N2139" s="26"/>
    </row>
    <row r="2140" spans="10:14" x14ac:dyDescent="0.4">
      <c r="J2140" s="26"/>
      <c r="N2140" s="26"/>
    </row>
    <row r="2141" spans="10:14" x14ac:dyDescent="0.4">
      <c r="J2141" s="26"/>
      <c r="N2141" s="26"/>
    </row>
    <row r="2142" spans="10:14" x14ac:dyDescent="0.4">
      <c r="J2142" s="26"/>
      <c r="N2142" s="26"/>
    </row>
    <row r="2143" spans="10:14" x14ac:dyDescent="0.4">
      <c r="J2143" s="26"/>
      <c r="N2143" s="26"/>
    </row>
    <row r="2144" spans="10:14" x14ac:dyDescent="0.4">
      <c r="J2144" s="26"/>
      <c r="N2144" s="26"/>
    </row>
    <row r="2145" spans="10:14" x14ac:dyDescent="0.4">
      <c r="J2145" s="26"/>
      <c r="N2145" s="26"/>
    </row>
    <row r="2146" spans="10:14" x14ac:dyDescent="0.4">
      <c r="J2146" s="26"/>
      <c r="N2146" s="26"/>
    </row>
    <row r="2147" spans="10:14" x14ac:dyDescent="0.4">
      <c r="J2147" s="26"/>
      <c r="N2147" s="26"/>
    </row>
    <row r="2148" spans="10:14" x14ac:dyDescent="0.4">
      <c r="J2148" s="26"/>
      <c r="N2148" s="26"/>
    </row>
    <row r="2149" spans="10:14" x14ac:dyDescent="0.4">
      <c r="J2149" s="26"/>
      <c r="N2149" s="26"/>
    </row>
    <row r="2150" spans="10:14" x14ac:dyDescent="0.4">
      <c r="J2150" s="26"/>
      <c r="N2150" s="26"/>
    </row>
    <row r="2151" spans="10:14" x14ac:dyDescent="0.4">
      <c r="J2151" s="26"/>
      <c r="N2151" s="26"/>
    </row>
    <row r="2152" spans="10:14" x14ac:dyDescent="0.4">
      <c r="J2152" s="26"/>
      <c r="N2152" s="26"/>
    </row>
    <row r="2153" spans="10:14" x14ac:dyDescent="0.4">
      <c r="J2153" s="26"/>
      <c r="N2153" s="26"/>
    </row>
    <row r="2154" spans="10:14" x14ac:dyDescent="0.4">
      <c r="J2154" s="26"/>
      <c r="N2154" s="26"/>
    </row>
    <row r="2155" spans="10:14" x14ac:dyDescent="0.4">
      <c r="J2155" s="26"/>
      <c r="N2155" s="26"/>
    </row>
    <row r="2156" spans="10:14" x14ac:dyDescent="0.4">
      <c r="J2156" s="26"/>
      <c r="N2156" s="26"/>
    </row>
    <row r="2157" spans="10:14" x14ac:dyDescent="0.4">
      <c r="J2157" s="26"/>
      <c r="N2157" s="26"/>
    </row>
    <row r="2158" spans="10:14" x14ac:dyDescent="0.4">
      <c r="J2158" s="26"/>
      <c r="N2158" s="26"/>
    </row>
    <row r="2159" spans="10:14" x14ac:dyDescent="0.4">
      <c r="J2159" s="26"/>
      <c r="N2159" s="26"/>
    </row>
    <row r="2160" spans="10:14" x14ac:dyDescent="0.4">
      <c r="J2160" s="26"/>
      <c r="N2160" s="26"/>
    </row>
    <row r="2161" spans="10:14" x14ac:dyDescent="0.4">
      <c r="J2161" s="26"/>
      <c r="N2161" s="26"/>
    </row>
    <row r="2162" spans="10:14" x14ac:dyDescent="0.4">
      <c r="J2162" s="26"/>
      <c r="N2162" s="26"/>
    </row>
    <row r="2163" spans="10:14" x14ac:dyDescent="0.4">
      <c r="J2163" s="26"/>
      <c r="N2163" s="26"/>
    </row>
    <row r="2164" spans="10:14" x14ac:dyDescent="0.4">
      <c r="J2164" s="26"/>
      <c r="N2164" s="26"/>
    </row>
    <row r="2165" spans="10:14" x14ac:dyDescent="0.4">
      <c r="J2165" s="26"/>
      <c r="N2165" s="26"/>
    </row>
    <row r="2166" spans="10:14" x14ac:dyDescent="0.4">
      <c r="J2166" s="26"/>
      <c r="N2166" s="26"/>
    </row>
    <row r="2167" spans="10:14" x14ac:dyDescent="0.4">
      <c r="J2167" s="26"/>
      <c r="N2167" s="26"/>
    </row>
    <row r="2168" spans="10:14" x14ac:dyDescent="0.4">
      <c r="J2168" s="26"/>
      <c r="N2168" s="26"/>
    </row>
    <row r="2169" spans="10:14" x14ac:dyDescent="0.4">
      <c r="J2169" s="26"/>
      <c r="N2169" s="26"/>
    </row>
    <row r="2170" spans="10:14" x14ac:dyDescent="0.4">
      <c r="J2170" s="26"/>
      <c r="N2170" s="26"/>
    </row>
    <row r="2171" spans="10:14" x14ac:dyDescent="0.4">
      <c r="J2171" s="26"/>
      <c r="N2171" s="26"/>
    </row>
    <row r="2172" spans="10:14" x14ac:dyDescent="0.4">
      <c r="J2172" s="26"/>
      <c r="N2172" s="26"/>
    </row>
    <row r="2173" spans="10:14" x14ac:dyDescent="0.4">
      <c r="J2173" s="26"/>
      <c r="N2173" s="26"/>
    </row>
    <row r="2174" spans="10:14" x14ac:dyDescent="0.4">
      <c r="J2174" s="26"/>
      <c r="N2174" s="26"/>
    </row>
    <row r="2175" spans="10:14" x14ac:dyDescent="0.4">
      <c r="J2175" s="26"/>
      <c r="N2175" s="26"/>
    </row>
    <row r="2176" spans="10:14" x14ac:dyDescent="0.4">
      <c r="J2176" s="26"/>
      <c r="N2176" s="26"/>
    </row>
    <row r="2177" spans="10:14" x14ac:dyDescent="0.4">
      <c r="J2177" s="26"/>
      <c r="N2177" s="26"/>
    </row>
    <row r="2178" spans="10:14" x14ac:dyDescent="0.4">
      <c r="J2178" s="26"/>
      <c r="N2178" s="26"/>
    </row>
    <row r="2179" spans="10:14" x14ac:dyDescent="0.4">
      <c r="J2179" s="26"/>
      <c r="N2179" s="26"/>
    </row>
    <row r="2180" spans="10:14" x14ac:dyDescent="0.4">
      <c r="J2180" s="26"/>
      <c r="N2180" s="26"/>
    </row>
    <row r="2181" spans="10:14" x14ac:dyDescent="0.4">
      <c r="J2181" s="26"/>
      <c r="N2181" s="26"/>
    </row>
    <row r="2182" spans="10:14" x14ac:dyDescent="0.4">
      <c r="J2182" s="26"/>
      <c r="N2182" s="26"/>
    </row>
    <row r="2183" spans="10:14" x14ac:dyDescent="0.4">
      <c r="J2183" s="26"/>
      <c r="N2183" s="26"/>
    </row>
    <row r="2184" spans="10:14" x14ac:dyDescent="0.4">
      <c r="J2184" s="26"/>
      <c r="N2184" s="26"/>
    </row>
    <row r="2185" spans="10:14" x14ac:dyDescent="0.4">
      <c r="J2185" s="26"/>
      <c r="N2185" s="26"/>
    </row>
    <row r="2186" spans="10:14" x14ac:dyDescent="0.4">
      <c r="J2186" s="26"/>
      <c r="N2186" s="26"/>
    </row>
    <row r="2187" spans="10:14" x14ac:dyDescent="0.4">
      <c r="J2187" s="26"/>
      <c r="N2187" s="26"/>
    </row>
    <row r="2188" spans="10:14" x14ac:dyDescent="0.4">
      <c r="J2188" s="26"/>
      <c r="N2188" s="26"/>
    </row>
    <row r="2189" spans="10:14" x14ac:dyDescent="0.4">
      <c r="J2189" s="26"/>
      <c r="N2189" s="26"/>
    </row>
    <row r="2190" spans="10:14" x14ac:dyDescent="0.4">
      <c r="J2190" s="26"/>
      <c r="N2190" s="26"/>
    </row>
    <row r="2191" spans="10:14" x14ac:dyDescent="0.4">
      <c r="J2191" s="26"/>
      <c r="N2191" s="26"/>
    </row>
    <row r="2192" spans="10:14" x14ac:dyDescent="0.4">
      <c r="J2192" s="26"/>
      <c r="N2192" s="26"/>
    </row>
    <row r="2193" spans="10:14" x14ac:dyDescent="0.4">
      <c r="J2193" s="26"/>
      <c r="N2193" s="26"/>
    </row>
    <row r="2194" spans="10:14" x14ac:dyDescent="0.4">
      <c r="J2194" s="26"/>
      <c r="N2194" s="26"/>
    </row>
    <row r="2195" spans="10:14" x14ac:dyDescent="0.4">
      <c r="J2195" s="26"/>
      <c r="N2195" s="26"/>
    </row>
    <row r="2196" spans="10:14" x14ac:dyDescent="0.4">
      <c r="J2196" s="26"/>
      <c r="N2196" s="26"/>
    </row>
    <row r="2197" spans="10:14" x14ac:dyDescent="0.4">
      <c r="J2197" s="26"/>
      <c r="N2197" s="26"/>
    </row>
    <row r="2198" spans="10:14" x14ac:dyDescent="0.4">
      <c r="J2198" s="26"/>
      <c r="N2198" s="26"/>
    </row>
    <row r="2199" spans="10:14" x14ac:dyDescent="0.4">
      <c r="J2199" s="26"/>
      <c r="N2199" s="26"/>
    </row>
    <row r="2200" spans="10:14" x14ac:dyDescent="0.4">
      <c r="J2200" s="26"/>
      <c r="N2200" s="26"/>
    </row>
    <row r="2201" spans="10:14" x14ac:dyDescent="0.4">
      <c r="J2201" s="26"/>
      <c r="N2201" s="26"/>
    </row>
    <row r="2202" spans="10:14" x14ac:dyDescent="0.4">
      <c r="J2202" s="26"/>
      <c r="N2202" s="26"/>
    </row>
    <row r="2203" spans="10:14" x14ac:dyDescent="0.4">
      <c r="J2203" s="26"/>
      <c r="N2203" s="26"/>
    </row>
    <row r="2204" spans="10:14" x14ac:dyDescent="0.4">
      <c r="J2204" s="26"/>
      <c r="N2204" s="26"/>
    </row>
    <row r="2205" spans="10:14" x14ac:dyDescent="0.4">
      <c r="J2205" s="26"/>
      <c r="N2205" s="26"/>
    </row>
    <row r="2206" spans="10:14" x14ac:dyDescent="0.4">
      <c r="J2206" s="26"/>
      <c r="N2206" s="26"/>
    </row>
    <row r="2207" spans="10:14" x14ac:dyDescent="0.4">
      <c r="J2207" s="26"/>
      <c r="N2207" s="26"/>
    </row>
    <row r="2208" spans="10:14" x14ac:dyDescent="0.4">
      <c r="J2208" s="26"/>
      <c r="N2208" s="26"/>
    </row>
    <row r="2209" spans="10:14" x14ac:dyDescent="0.4">
      <c r="J2209" s="26"/>
      <c r="N2209" s="26"/>
    </row>
    <row r="2210" spans="10:14" x14ac:dyDescent="0.4">
      <c r="J2210" s="26"/>
      <c r="N2210" s="26"/>
    </row>
    <row r="2211" spans="10:14" x14ac:dyDescent="0.4">
      <c r="J2211" s="26"/>
      <c r="N2211" s="26"/>
    </row>
    <row r="2212" spans="10:14" x14ac:dyDescent="0.4">
      <c r="J2212" s="26"/>
      <c r="N2212" s="26"/>
    </row>
    <row r="2213" spans="10:14" x14ac:dyDescent="0.4">
      <c r="J2213" s="26"/>
      <c r="N2213" s="26"/>
    </row>
    <row r="2214" spans="10:14" x14ac:dyDescent="0.4">
      <c r="J2214" s="26"/>
      <c r="N2214" s="26"/>
    </row>
    <row r="2215" spans="10:14" x14ac:dyDescent="0.4">
      <c r="J2215" s="26"/>
      <c r="N2215" s="26"/>
    </row>
    <row r="2216" spans="10:14" x14ac:dyDescent="0.4">
      <c r="J2216" s="26"/>
      <c r="N2216" s="26"/>
    </row>
    <row r="2217" spans="10:14" x14ac:dyDescent="0.4">
      <c r="J2217" s="26"/>
      <c r="N2217" s="26"/>
    </row>
    <row r="2218" spans="10:14" x14ac:dyDescent="0.4">
      <c r="J2218" s="26"/>
      <c r="N2218" s="26"/>
    </row>
    <row r="2219" spans="10:14" x14ac:dyDescent="0.4">
      <c r="J2219" s="26"/>
      <c r="N2219" s="26"/>
    </row>
    <row r="2220" spans="10:14" x14ac:dyDescent="0.4">
      <c r="J2220" s="26"/>
      <c r="N2220" s="26"/>
    </row>
    <row r="2221" spans="10:14" x14ac:dyDescent="0.4">
      <c r="J2221" s="26"/>
      <c r="N2221" s="26"/>
    </row>
    <row r="2222" spans="10:14" x14ac:dyDescent="0.4">
      <c r="J2222" s="26"/>
      <c r="N2222" s="26"/>
    </row>
    <row r="2223" spans="10:14" x14ac:dyDescent="0.4">
      <c r="J2223" s="26"/>
      <c r="N2223" s="26"/>
    </row>
    <row r="2224" spans="10:14" x14ac:dyDescent="0.4">
      <c r="J2224" s="26"/>
      <c r="N2224" s="26"/>
    </row>
    <row r="2225" spans="10:14" x14ac:dyDescent="0.4">
      <c r="J2225" s="26"/>
      <c r="N2225" s="26"/>
    </row>
    <row r="2226" spans="10:14" x14ac:dyDescent="0.4">
      <c r="J2226" s="26"/>
      <c r="N2226" s="26"/>
    </row>
    <row r="2227" spans="10:14" x14ac:dyDescent="0.4">
      <c r="J2227" s="26"/>
      <c r="N2227" s="26"/>
    </row>
    <row r="2228" spans="10:14" x14ac:dyDescent="0.4">
      <c r="J2228" s="26"/>
      <c r="N2228" s="26"/>
    </row>
    <row r="2229" spans="10:14" x14ac:dyDescent="0.4">
      <c r="J2229" s="26"/>
      <c r="N2229" s="26"/>
    </row>
    <row r="2230" spans="10:14" x14ac:dyDescent="0.4">
      <c r="J2230" s="26"/>
      <c r="N2230" s="26"/>
    </row>
    <row r="2231" spans="10:14" x14ac:dyDescent="0.4">
      <c r="J2231" s="26"/>
      <c r="N2231" s="26"/>
    </row>
    <row r="2232" spans="10:14" x14ac:dyDescent="0.4">
      <c r="J2232" s="26"/>
      <c r="N2232" s="26"/>
    </row>
    <row r="2233" spans="10:14" x14ac:dyDescent="0.4">
      <c r="J2233" s="26"/>
      <c r="N2233" s="26"/>
    </row>
    <row r="2234" spans="10:14" x14ac:dyDescent="0.4">
      <c r="J2234" s="26"/>
      <c r="N2234" s="26"/>
    </row>
    <row r="2235" spans="10:14" x14ac:dyDescent="0.4">
      <c r="J2235" s="26"/>
      <c r="N2235" s="26"/>
    </row>
    <row r="2236" spans="10:14" x14ac:dyDescent="0.4">
      <c r="J2236" s="26"/>
      <c r="N2236" s="26"/>
    </row>
    <row r="2237" spans="10:14" x14ac:dyDescent="0.4">
      <c r="J2237" s="26"/>
      <c r="N2237" s="26"/>
    </row>
    <row r="2238" spans="10:14" x14ac:dyDescent="0.4">
      <c r="J2238" s="26"/>
      <c r="N2238" s="26"/>
    </row>
    <row r="2239" spans="10:14" x14ac:dyDescent="0.4">
      <c r="J2239" s="26"/>
      <c r="N2239" s="26"/>
    </row>
    <row r="2240" spans="10:14" x14ac:dyDescent="0.4">
      <c r="J2240" s="26"/>
      <c r="N2240" s="26"/>
    </row>
    <row r="2241" spans="10:14" x14ac:dyDescent="0.4">
      <c r="J2241" s="26"/>
      <c r="N2241" s="26"/>
    </row>
    <row r="2242" spans="10:14" x14ac:dyDescent="0.4">
      <c r="J2242" s="26"/>
      <c r="N2242" s="26"/>
    </row>
    <row r="2243" spans="10:14" x14ac:dyDescent="0.4">
      <c r="J2243" s="26"/>
      <c r="N2243" s="26"/>
    </row>
    <row r="2244" spans="10:14" x14ac:dyDescent="0.4">
      <c r="J2244" s="26"/>
      <c r="N2244" s="26"/>
    </row>
    <row r="2245" spans="10:14" x14ac:dyDescent="0.4">
      <c r="J2245" s="26"/>
      <c r="N2245" s="26"/>
    </row>
    <row r="2246" spans="10:14" x14ac:dyDescent="0.4">
      <c r="J2246" s="26"/>
      <c r="N2246" s="26"/>
    </row>
    <row r="2247" spans="10:14" x14ac:dyDescent="0.4">
      <c r="J2247" s="26"/>
      <c r="N2247" s="26"/>
    </row>
    <row r="2248" spans="10:14" x14ac:dyDescent="0.4">
      <c r="J2248" s="26"/>
      <c r="N2248" s="26"/>
    </row>
    <row r="2249" spans="10:14" x14ac:dyDescent="0.4">
      <c r="J2249" s="26"/>
      <c r="N2249" s="26"/>
    </row>
    <row r="2250" spans="10:14" x14ac:dyDescent="0.4">
      <c r="J2250" s="26"/>
      <c r="N2250" s="26"/>
    </row>
    <row r="2251" spans="10:14" x14ac:dyDescent="0.4">
      <c r="J2251" s="26"/>
      <c r="N2251" s="26"/>
    </row>
    <row r="2252" spans="10:14" x14ac:dyDescent="0.4">
      <c r="J2252" s="26"/>
      <c r="N2252" s="26"/>
    </row>
    <row r="2253" spans="10:14" x14ac:dyDescent="0.4">
      <c r="J2253" s="26"/>
      <c r="N2253" s="26"/>
    </row>
    <row r="2254" spans="10:14" x14ac:dyDescent="0.4">
      <c r="J2254" s="26"/>
      <c r="N2254" s="26"/>
    </row>
    <row r="2255" spans="10:14" x14ac:dyDescent="0.4">
      <c r="J2255" s="26"/>
      <c r="N2255" s="26"/>
    </row>
    <row r="2256" spans="10:14" x14ac:dyDescent="0.4">
      <c r="J2256" s="26"/>
      <c r="N2256" s="26"/>
    </row>
    <row r="2257" spans="10:14" x14ac:dyDescent="0.4">
      <c r="J2257" s="26"/>
      <c r="N2257" s="26"/>
    </row>
    <row r="2258" spans="10:14" x14ac:dyDescent="0.4">
      <c r="J2258" s="26"/>
      <c r="N2258" s="26"/>
    </row>
    <row r="2259" spans="10:14" x14ac:dyDescent="0.4">
      <c r="J2259" s="26"/>
      <c r="N2259" s="26"/>
    </row>
    <row r="2260" spans="10:14" x14ac:dyDescent="0.4">
      <c r="J2260" s="26"/>
      <c r="N2260" s="26"/>
    </row>
    <row r="2261" spans="10:14" x14ac:dyDescent="0.4">
      <c r="J2261" s="26"/>
      <c r="N2261" s="26"/>
    </row>
    <row r="2262" spans="10:14" x14ac:dyDescent="0.4">
      <c r="J2262" s="26"/>
      <c r="N2262" s="26"/>
    </row>
    <row r="2263" spans="10:14" x14ac:dyDescent="0.4">
      <c r="J2263" s="26"/>
      <c r="N2263" s="26"/>
    </row>
    <row r="2264" spans="10:14" x14ac:dyDescent="0.4">
      <c r="J2264" s="26"/>
      <c r="N2264" s="26"/>
    </row>
    <row r="2265" spans="10:14" x14ac:dyDescent="0.4">
      <c r="J2265" s="26"/>
      <c r="N2265" s="26"/>
    </row>
    <row r="2266" spans="10:14" x14ac:dyDescent="0.4">
      <c r="J2266" s="26"/>
      <c r="N2266" s="26"/>
    </row>
    <row r="2267" spans="10:14" x14ac:dyDescent="0.4">
      <c r="J2267" s="26"/>
      <c r="N2267" s="26"/>
    </row>
    <row r="2268" spans="10:14" x14ac:dyDescent="0.4">
      <c r="J2268" s="26"/>
      <c r="N2268" s="26"/>
    </row>
    <row r="2269" spans="10:14" x14ac:dyDescent="0.4">
      <c r="J2269" s="26"/>
      <c r="N2269" s="26"/>
    </row>
    <row r="2270" spans="10:14" x14ac:dyDescent="0.4">
      <c r="J2270" s="26"/>
      <c r="N2270" s="26"/>
    </row>
    <row r="2271" spans="10:14" x14ac:dyDescent="0.4">
      <c r="J2271" s="26"/>
      <c r="N2271" s="26"/>
    </row>
    <row r="2272" spans="10:14" x14ac:dyDescent="0.4">
      <c r="J2272" s="26"/>
      <c r="N2272" s="26"/>
    </row>
    <row r="2273" spans="10:14" x14ac:dyDescent="0.4">
      <c r="J2273" s="26"/>
      <c r="N2273" s="26"/>
    </row>
    <row r="2274" spans="10:14" x14ac:dyDescent="0.4">
      <c r="J2274" s="26"/>
      <c r="N2274" s="26"/>
    </row>
    <row r="2275" spans="10:14" x14ac:dyDescent="0.4">
      <c r="J2275" s="26"/>
      <c r="N2275" s="26"/>
    </row>
    <row r="2276" spans="10:14" x14ac:dyDescent="0.4">
      <c r="J2276" s="26"/>
      <c r="N2276" s="26"/>
    </row>
    <row r="2277" spans="10:14" x14ac:dyDescent="0.4">
      <c r="J2277" s="26"/>
      <c r="N2277" s="26"/>
    </row>
    <row r="2278" spans="10:14" x14ac:dyDescent="0.4">
      <c r="J2278" s="26"/>
      <c r="N2278" s="26"/>
    </row>
    <row r="2279" spans="10:14" x14ac:dyDescent="0.4">
      <c r="J2279" s="26"/>
      <c r="N2279" s="26"/>
    </row>
    <row r="2280" spans="10:14" x14ac:dyDescent="0.4">
      <c r="J2280" s="26"/>
      <c r="N2280" s="26"/>
    </row>
    <row r="2281" spans="10:14" x14ac:dyDescent="0.4">
      <c r="J2281" s="26"/>
      <c r="N2281" s="26"/>
    </row>
    <row r="2282" spans="10:14" x14ac:dyDescent="0.4">
      <c r="J2282" s="26"/>
      <c r="N2282" s="26"/>
    </row>
    <row r="2283" spans="10:14" x14ac:dyDescent="0.4">
      <c r="J2283" s="26"/>
      <c r="N2283" s="26"/>
    </row>
    <row r="2284" spans="10:14" x14ac:dyDescent="0.4">
      <c r="J2284" s="26"/>
      <c r="N2284" s="26"/>
    </row>
    <row r="2285" spans="10:14" x14ac:dyDescent="0.4">
      <c r="J2285" s="26"/>
      <c r="N2285" s="26"/>
    </row>
    <row r="2286" spans="10:14" x14ac:dyDescent="0.4">
      <c r="J2286" s="26"/>
      <c r="N2286" s="26"/>
    </row>
    <row r="2287" spans="10:14" x14ac:dyDescent="0.4">
      <c r="J2287" s="26"/>
      <c r="N2287" s="26"/>
    </row>
    <row r="2288" spans="10:14" x14ac:dyDescent="0.4">
      <c r="J2288" s="26"/>
      <c r="N2288" s="26"/>
    </row>
    <row r="2289" spans="10:14" x14ac:dyDescent="0.4">
      <c r="J2289" s="26"/>
      <c r="N2289" s="26"/>
    </row>
    <row r="2290" spans="10:14" x14ac:dyDescent="0.4">
      <c r="J2290" s="26"/>
      <c r="N2290" s="26"/>
    </row>
    <row r="2291" spans="10:14" x14ac:dyDescent="0.4">
      <c r="J2291" s="26"/>
      <c r="N2291" s="26"/>
    </row>
    <row r="2292" spans="10:14" x14ac:dyDescent="0.4">
      <c r="J2292" s="26"/>
      <c r="N2292" s="26"/>
    </row>
    <row r="2293" spans="10:14" x14ac:dyDescent="0.4">
      <c r="J2293" s="26"/>
      <c r="N2293" s="26"/>
    </row>
    <row r="2294" spans="10:14" x14ac:dyDescent="0.4">
      <c r="J2294" s="26"/>
      <c r="N2294" s="26"/>
    </row>
    <row r="2295" spans="10:14" x14ac:dyDescent="0.4">
      <c r="J2295" s="26"/>
      <c r="N2295" s="26"/>
    </row>
    <row r="2296" spans="10:14" x14ac:dyDescent="0.4">
      <c r="J2296" s="26"/>
      <c r="N2296" s="26"/>
    </row>
    <row r="2297" spans="10:14" x14ac:dyDescent="0.4">
      <c r="J2297" s="26"/>
      <c r="N2297" s="26"/>
    </row>
    <row r="2298" spans="10:14" x14ac:dyDescent="0.4">
      <c r="J2298" s="26"/>
      <c r="N2298" s="26"/>
    </row>
    <row r="2299" spans="10:14" x14ac:dyDescent="0.4">
      <c r="J2299" s="26"/>
      <c r="N2299" s="26"/>
    </row>
    <row r="2300" spans="10:14" x14ac:dyDescent="0.4">
      <c r="J2300" s="26"/>
      <c r="N2300" s="26"/>
    </row>
    <row r="2301" spans="10:14" x14ac:dyDescent="0.4">
      <c r="J2301" s="26"/>
      <c r="N2301" s="26"/>
    </row>
    <row r="2302" spans="10:14" x14ac:dyDescent="0.4">
      <c r="J2302" s="26"/>
      <c r="N2302" s="26"/>
    </row>
    <row r="2303" spans="10:14" x14ac:dyDescent="0.4">
      <c r="J2303" s="26"/>
      <c r="N2303" s="26"/>
    </row>
    <row r="2304" spans="10:14" x14ac:dyDescent="0.4">
      <c r="J2304" s="26"/>
      <c r="N2304" s="26"/>
    </row>
    <row r="2305" spans="10:14" x14ac:dyDescent="0.4">
      <c r="J2305" s="26"/>
      <c r="N2305" s="26"/>
    </row>
    <row r="2306" spans="10:14" x14ac:dyDescent="0.4">
      <c r="J2306" s="26"/>
      <c r="N2306" s="26"/>
    </row>
    <row r="2307" spans="10:14" x14ac:dyDescent="0.4">
      <c r="J2307" s="26"/>
      <c r="N2307" s="26"/>
    </row>
    <row r="2308" spans="10:14" x14ac:dyDescent="0.4">
      <c r="J2308" s="26"/>
      <c r="N2308" s="26"/>
    </row>
    <row r="2309" spans="10:14" x14ac:dyDescent="0.4">
      <c r="J2309" s="26"/>
      <c r="N2309" s="26"/>
    </row>
    <row r="2310" spans="10:14" x14ac:dyDescent="0.4">
      <c r="J2310" s="26"/>
      <c r="N2310" s="26"/>
    </row>
    <row r="2311" spans="10:14" x14ac:dyDescent="0.4">
      <c r="J2311" s="26"/>
      <c r="N2311" s="26"/>
    </row>
    <row r="2312" spans="10:14" x14ac:dyDescent="0.4">
      <c r="J2312" s="26"/>
      <c r="N2312" s="26"/>
    </row>
    <row r="2313" spans="10:14" x14ac:dyDescent="0.4">
      <c r="J2313" s="26"/>
      <c r="N2313" s="26"/>
    </row>
    <row r="2314" spans="10:14" x14ac:dyDescent="0.4">
      <c r="J2314" s="26"/>
      <c r="N2314" s="26"/>
    </row>
    <row r="2315" spans="10:14" x14ac:dyDescent="0.4">
      <c r="J2315" s="26"/>
      <c r="N2315" s="26"/>
    </row>
    <row r="2316" spans="10:14" x14ac:dyDescent="0.4">
      <c r="J2316" s="26"/>
      <c r="N2316" s="26"/>
    </row>
    <row r="2317" spans="10:14" x14ac:dyDescent="0.4">
      <c r="J2317" s="26"/>
      <c r="N2317" s="26"/>
    </row>
    <row r="2318" spans="10:14" x14ac:dyDescent="0.4">
      <c r="J2318" s="26"/>
      <c r="N2318" s="26"/>
    </row>
    <row r="2319" spans="10:14" x14ac:dyDescent="0.4">
      <c r="J2319" s="26"/>
      <c r="N2319" s="26"/>
    </row>
    <row r="2320" spans="10:14" x14ac:dyDescent="0.4">
      <c r="J2320" s="26"/>
      <c r="N2320" s="26"/>
    </row>
    <row r="2321" spans="10:14" x14ac:dyDescent="0.4">
      <c r="J2321" s="26"/>
      <c r="N2321" s="26"/>
    </row>
    <row r="2322" spans="10:14" x14ac:dyDescent="0.4">
      <c r="J2322" s="26"/>
      <c r="N2322" s="26"/>
    </row>
    <row r="2323" spans="10:14" x14ac:dyDescent="0.4">
      <c r="J2323" s="26"/>
      <c r="N2323" s="26"/>
    </row>
    <row r="2324" spans="10:14" x14ac:dyDescent="0.4">
      <c r="J2324" s="26"/>
      <c r="N2324" s="26"/>
    </row>
    <row r="2325" spans="10:14" x14ac:dyDescent="0.4">
      <c r="J2325" s="26"/>
      <c r="N2325" s="26"/>
    </row>
    <row r="2326" spans="10:14" x14ac:dyDescent="0.4">
      <c r="J2326" s="26"/>
      <c r="N2326" s="26"/>
    </row>
    <row r="2327" spans="10:14" x14ac:dyDescent="0.4">
      <c r="J2327" s="26"/>
      <c r="N2327" s="26"/>
    </row>
    <row r="2328" spans="10:14" x14ac:dyDescent="0.4">
      <c r="J2328" s="26"/>
      <c r="N2328" s="26"/>
    </row>
    <row r="2329" spans="10:14" x14ac:dyDescent="0.4">
      <c r="J2329" s="26"/>
      <c r="N2329" s="26"/>
    </row>
    <row r="2330" spans="10:14" x14ac:dyDescent="0.4">
      <c r="J2330" s="26"/>
      <c r="N2330" s="26"/>
    </row>
    <row r="2331" spans="10:14" x14ac:dyDescent="0.4">
      <c r="J2331" s="26"/>
      <c r="N2331" s="26"/>
    </row>
    <row r="2332" spans="10:14" x14ac:dyDescent="0.4">
      <c r="J2332" s="26"/>
      <c r="N2332" s="26"/>
    </row>
    <row r="2333" spans="10:14" x14ac:dyDescent="0.4">
      <c r="J2333" s="26"/>
      <c r="N2333" s="26"/>
    </row>
    <row r="2334" spans="10:14" x14ac:dyDescent="0.4">
      <c r="J2334" s="26"/>
      <c r="N2334" s="26"/>
    </row>
    <row r="2335" spans="10:14" x14ac:dyDescent="0.4">
      <c r="J2335" s="26"/>
      <c r="N2335" s="26"/>
    </row>
    <row r="2336" spans="10:14" x14ac:dyDescent="0.4">
      <c r="J2336" s="26"/>
      <c r="N2336" s="26"/>
    </row>
    <row r="2337" spans="10:14" x14ac:dyDescent="0.4">
      <c r="J2337" s="26"/>
      <c r="N2337" s="26"/>
    </row>
    <row r="2338" spans="10:14" x14ac:dyDescent="0.4">
      <c r="J2338" s="26"/>
      <c r="N2338" s="26"/>
    </row>
    <row r="2339" spans="10:14" x14ac:dyDescent="0.4">
      <c r="J2339" s="26"/>
      <c r="N2339" s="26"/>
    </row>
    <row r="2340" spans="10:14" x14ac:dyDescent="0.4">
      <c r="J2340" s="26"/>
      <c r="N2340" s="26"/>
    </row>
    <row r="2341" spans="10:14" x14ac:dyDescent="0.4">
      <c r="J2341" s="26"/>
      <c r="N2341" s="26"/>
    </row>
    <row r="2342" spans="10:14" x14ac:dyDescent="0.4">
      <c r="J2342" s="26"/>
      <c r="N2342" s="26"/>
    </row>
    <row r="2343" spans="10:14" x14ac:dyDescent="0.4">
      <c r="J2343" s="26"/>
      <c r="N2343" s="26"/>
    </row>
    <row r="2344" spans="10:14" x14ac:dyDescent="0.4">
      <c r="J2344" s="26"/>
      <c r="N2344" s="26"/>
    </row>
    <row r="2345" spans="10:14" x14ac:dyDescent="0.4">
      <c r="J2345" s="26"/>
      <c r="N2345" s="26"/>
    </row>
    <row r="2346" spans="10:14" x14ac:dyDescent="0.4">
      <c r="J2346" s="26"/>
      <c r="N2346" s="26"/>
    </row>
    <row r="2347" spans="10:14" x14ac:dyDescent="0.4">
      <c r="J2347" s="26"/>
      <c r="N2347" s="26"/>
    </row>
    <row r="2348" spans="10:14" x14ac:dyDescent="0.4">
      <c r="J2348" s="26"/>
      <c r="N2348" s="26"/>
    </row>
    <row r="2349" spans="10:14" x14ac:dyDescent="0.4">
      <c r="J2349" s="26"/>
      <c r="N2349" s="26"/>
    </row>
    <row r="2350" spans="10:14" x14ac:dyDescent="0.4">
      <c r="J2350" s="26"/>
      <c r="N2350" s="26"/>
    </row>
    <row r="2351" spans="10:14" x14ac:dyDescent="0.4">
      <c r="J2351" s="26"/>
      <c r="N2351" s="26"/>
    </row>
    <row r="2352" spans="10:14" x14ac:dyDescent="0.4">
      <c r="J2352" s="26"/>
      <c r="N2352" s="26"/>
    </row>
    <row r="2353" spans="10:14" x14ac:dyDescent="0.4">
      <c r="J2353" s="26"/>
      <c r="N2353" s="26"/>
    </row>
    <row r="2354" spans="10:14" x14ac:dyDescent="0.4">
      <c r="J2354" s="26"/>
      <c r="N2354" s="26"/>
    </row>
    <row r="2355" spans="10:14" x14ac:dyDescent="0.4">
      <c r="J2355" s="26"/>
      <c r="N2355" s="26"/>
    </row>
    <row r="2356" spans="10:14" x14ac:dyDescent="0.4">
      <c r="J2356" s="26"/>
      <c r="N2356" s="26"/>
    </row>
    <row r="2357" spans="10:14" x14ac:dyDescent="0.4">
      <c r="J2357" s="26"/>
      <c r="N2357" s="26"/>
    </row>
    <row r="2358" spans="10:14" x14ac:dyDescent="0.4">
      <c r="J2358" s="26"/>
      <c r="N2358" s="26"/>
    </row>
    <row r="2359" spans="10:14" x14ac:dyDescent="0.4">
      <c r="J2359" s="26"/>
      <c r="N2359" s="26"/>
    </row>
    <row r="2360" spans="10:14" x14ac:dyDescent="0.4">
      <c r="J2360" s="26"/>
      <c r="N2360" s="26"/>
    </row>
    <row r="2361" spans="10:14" x14ac:dyDescent="0.4">
      <c r="J2361" s="26"/>
      <c r="N2361" s="26"/>
    </row>
    <row r="2362" spans="10:14" x14ac:dyDescent="0.4">
      <c r="J2362" s="26"/>
      <c r="N2362" s="26"/>
    </row>
    <row r="2363" spans="10:14" x14ac:dyDescent="0.4">
      <c r="J2363" s="26"/>
      <c r="N2363" s="26"/>
    </row>
    <row r="2364" spans="10:14" x14ac:dyDescent="0.4">
      <c r="J2364" s="26"/>
      <c r="N2364" s="26"/>
    </row>
    <row r="2365" spans="10:14" x14ac:dyDescent="0.4">
      <c r="J2365" s="26"/>
      <c r="N2365" s="26"/>
    </row>
    <row r="2366" spans="10:14" x14ac:dyDescent="0.4">
      <c r="J2366" s="26"/>
      <c r="N2366" s="26"/>
    </row>
    <row r="2367" spans="10:14" x14ac:dyDescent="0.4">
      <c r="J2367" s="26"/>
      <c r="N2367" s="26"/>
    </row>
    <row r="2368" spans="10:14" x14ac:dyDescent="0.4">
      <c r="J2368" s="26"/>
      <c r="N2368" s="26"/>
    </row>
    <row r="2369" spans="10:14" x14ac:dyDescent="0.4">
      <c r="J2369" s="26"/>
      <c r="N2369" s="26"/>
    </row>
    <row r="2370" spans="10:14" x14ac:dyDescent="0.4">
      <c r="J2370" s="26"/>
      <c r="N2370" s="26"/>
    </row>
    <row r="2371" spans="10:14" x14ac:dyDescent="0.4">
      <c r="J2371" s="26"/>
      <c r="N2371" s="26"/>
    </row>
    <row r="2372" spans="10:14" x14ac:dyDescent="0.4">
      <c r="J2372" s="26"/>
      <c r="N2372" s="26"/>
    </row>
    <row r="2373" spans="10:14" x14ac:dyDescent="0.4">
      <c r="J2373" s="26"/>
      <c r="N2373" s="26"/>
    </row>
    <row r="2374" spans="10:14" x14ac:dyDescent="0.4">
      <c r="J2374" s="26"/>
      <c r="N2374" s="26"/>
    </row>
    <row r="2375" spans="10:14" x14ac:dyDescent="0.4">
      <c r="J2375" s="26"/>
      <c r="N2375" s="26"/>
    </row>
    <row r="2376" spans="10:14" x14ac:dyDescent="0.4">
      <c r="J2376" s="26"/>
      <c r="N2376" s="26"/>
    </row>
    <row r="2377" spans="10:14" x14ac:dyDescent="0.4">
      <c r="J2377" s="26"/>
      <c r="N2377" s="26"/>
    </row>
    <row r="2378" spans="10:14" x14ac:dyDescent="0.4">
      <c r="J2378" s="26"/>
      <c r="N2378" s="26"/>
    </row>
    <row r="2379" spans="10:14" x14ac:dyDescent="0.4">
      <c r="J2379" s="26"/>
      <c r="N2379" s="26"/>
    </row>
    <row r="2380" spans="10:14" x14ac:dyDescent="0.4">
      <c r="J2380" s="26"/>
      <c r="N2380" s="26"/>
    </row>
    <row r="2381" spans="10:14" x14ac:dyDescent="0.4">
      <c r="J2381" s="26"/>
      <c r="N2381" s="26"/>
    </row>
    <row r="2382" spans="10:14" x14ac:dyDescent="0.4">
      <c r="J2382" s="26"/>
      <c r="N2382" s="26"/>
    </row>
    <row r="2383" spans="10:14" x14ac:dyDescent="0.4">
      <c r="J2383" s="26"/>
      <c r="N2383" s="26"/>
    </row>
    <row r="2384" spans="10:14" x14ac:dyDescent="0.4">
      <c r="J2384" s="26"/>
      <c r="N2384" s="26"/>
    </row>
    <row r="2385" spans="10:14" x14ac:dyDescent="0.4">
      <c r="J2385" s="26"/>
      <c r="N2385" s="26"/>
    </row>
    <row r="2386" spans="10:14" x14ac:dyDescent="0.4">
      <c r="J2386" s="26"/>
      <c r="N2386" s="26"/>
    </row>
    <row r="2387" spans="10:14" x14ac:dyDescent="0.4">
      <c r="J2387" s="26"/>
      <c r="N2387" s="26"/>
    </row>
    <row r="2388" spans="10:14" x14ac:dyDescent="0.4">
      <c r="J2388" s="26"/>
      <c r="N2388" s="26"/>
    </row>
    <row r="2389" spans="10:14" x14ac:dyDescent="0.4">
      <c r="J2389" s="26"/>
      <c r="N2389" s="26"/>
    </row>
    <row r="2390" spans="10:14" x14ac:dyDescent="0.4">
      <c r="J2390" s="26"/>
      <c r="N2390" s="26"/>
    </row>
    <row r="2391" spans="10:14" x14ac:dyDescent="0.4">
      <c r="J2391" s="26"/>
      <c r="N2391" s="26"/>
    </row>
    <row r="2392" spans="10:14" x14ac:dyDescent="0.4">
      <c r="J2392" s="26"/>
      <c r="N2392" s="26"/>
    </row>
    <row r="2393" spans="10:14" x14ac:dyDescent="0.4">
      <c r="J2393" s="26"/>
      <c r="N2393" s="26"/>
    </row>
    <row r="2394" spans="10:14" x14ac:dyDescent="0.4">
      <c r="J2394" s="26"/>
      <c r="N2394" s="26"/>
    </row>
    <row r="2395" spans="10:14" x14ac:dyDescent="0.4">
      <c r="J2395" s="26"/>
      <c r="N2395" s="26"/>
    </row>
    <row r="2396" spans="10:14" x14ac:dyDescent="0.4">
      <c r="J2396" s="26"/>
      <c r="N2396" s="26"/>
    </row>
    <row r="2397" spans="10:14" x14ac:dyDescent="0.4">
      <c r="J2397" s="26"/>
      <c r="N2397" s="26"/>
    </row>
    <row r="2398" spans="10:14" x14ac:dyDescent="0.4">
      <c r="J2398" s="26"/>
      <c r="N2398" s="26"/>
    </row>
    <row r="2399" spans="10:14" x14ac:dyDescent="0.4">
      <c r="J2399" s="26"/>
      <c r="N2399" s="26"/>
    </row>
    <row r="2400" spans="10:14" x14ac:dyDescent="0.4">
      <c r="J2400" s="26"/>
      <c r="N2400" s="26"/>
    </row>
    <row r="2401" spans="10:14" x14ac:dyDescent="0.4">
      <c r="J2401" s="26"/>
      <c r="N2401" s="26"/>
    </row>
    <row r="2402" spans="10:14" x14ac:dyDescent="0.4">
      <c r="J2402" s="26"/>
      <c r="N2402" s="26"/>
    </row>
    <row r="2403" spans="10:14" x14ac:dyDescent="0.4">
      <c r="J2403" s="26"/>
      <c r="N2403" s="26"/>
    </row>
    <row r="2404" spans="10:14" x14ac:dyDescent="0.4">
      <c r="J2404" s="26"/>
      <c r="N2404" s="26"/>
    </row>
    <row r="2405" spans="10:14" x14ac:dyDescent="0.4">
      <c r="J2405" s="26"/>
      <c r="N2405" s="26"/>
    </row>
    <row r="2406" spans="10:14" x14ac:dyDescent="0.4">
      <c r="J2406" s="26"/>
      <c r="N2406" s="26"/>
    </row>
    <row r="2407" spans="10:14" x14ac:dyDescent="0.4">
      <c r="J2407" s="26"/>
      <c r="N2407" s="26"/>
    </row>
    <row r="2408" spans="10:14" x14ac:dyDescent="0.4">
      <c r="J2408" s="26"/>
      <c r="N2408" s="26"/>
    </row>
    <row r="2409" spans="10:14" x14ac:dyDescent="0.4">
      <c r="J2409" s="26"/>
      <c r="N2409" s="26"/>
    </row>
    <row r="2410" spans="10:14" x14ac:dyDescent="0.4">
      <c r="J2410" s="26"/>
      <c r="N2410" s="26"/>
    </row>
    <row r="2411" spans="10:14" x14ac:dyDescent="0.4">
      <c r="J2411" s="26"/>
      <c r="N2411" s="26"/>
    </row>
    <row r="2412" spans="10:14" x14ac:dyDescent="0.4">
      <c r="J2412" s="26"/>
      <c r="N2412" s="26"/>
    </row>
    <row r="2413" spans="10:14" x14ac:dyDescent="0.4">
      <c r="J2413" s="26"/>
      <c r="N2413" s="26"/>
    </row>
    <row r="2414" spans="10:14" x14ac:dyDescent="0.4">
      <c r="J2414" s="26"/>
      <c r="N2414" s="26"/>
    </row>
    <row r="2415" spans="10:14" x14ac:dyDescent="0.4">
      <c r="J2415" s="26"/>
      <c r="N2415" s="26"/>
    </row>
    <row r="2416" spans="10:14" x14ac:dyDescent="0.4">
      <c r="J2416" s="26"/>
      <c r="N2416" s="26"/>
    </row>
    <row r="2417" spans="10:14" x14ac:dyDescent="0.4">
      <c r="J2417" s="26"/>
      <c r="N2417" s="26"/>
    </row>
    <row r="2418" spans="10:14" x14ac:dyDescent="0.4">
      <c r="J2418" s="26"/>
      <c r="N2418" s="26"/>
    </row>
    <row r="2419" spans="10:14" x14ac:dyDescent="0.4">
      <c r="J2419" s="26"/>
      <c r="N2419" s="26"/>
    </row>
    <row r="2420" spans="10:14" x14ac:dyDescent="0.4">
      <c r="J2420" s="26"/>
      <c r="N2420" s="26"/>
    </row>
    <row r="2421" spans="10:14" x14ac:dyDescent="0.4">
      <c r="J2421" s="26"/>
      <c r="N2421" s="26"/>
    </row>
    <row r="2422" spans="10:14" x14ac:dyDescent="0.4">
      <c r="J2422" s="26"/>
      <c r="N2422" s="26"/>
    </row>
    <row r="2423" spans="10:14" x14ac:dyDescent="0.4">
      <c r="J2423" s="26"/>
      <c r="N2423" s="26"/>
    </row>
    <row r="2424" spans="10:14" x14ac:dyDescent="0.4">
      <c r="J2424" s="26"/>
      <c r="N2424" s="26"/>
    </row>
    <row r="2425" spans="10:14" x14ac:dyDescent="0.4">
      <c r="J2425" s="26"/>
      <c r="N2425" s="26"/>
    </row>
    <row r="2426" spans="10:14" x14ac:dyDescent="0.4">
      <c r="J2426" s="26"/>
      <c r="N2426" s="26"/>
    </row>
    <row r="2427" spans="10:14" x14ac:dyDescent="0.4">
      <c r="J2427" s="26"/>
      <c r="N2427" s="26"/>
    </row>
    <row r="2428" spans="10:14" x14ac:dyDescent="0.4">
      <c r="J2428" s="26"/>
      <c r="N2428" s="26"/>
    </row>
    <row r="2429" spans="10:14" x14ac:dyDescent="0.4">
      <c r="J2429" s="26"/>
      <c r="N2429" s="26"/>
    </row>
    <row r="2430" spans="10:14" x14ac:dyDescent="0.4">
      <c r="J2430" s="26"/>
      <c r="N2430" s="26"/>
    </row>
    <row r="2431" spans="10:14" x14ac:dyDescent="0.4">
      <c r="J2431" s="26"/>
      <c r="N2431" s="26"/>
    </row>
    <row r="2432" spans="10:14" x14ac:dyDescent="0.4">
      <c r="J2432" s="26"/>
      <c r="N2432" s="26"/>
    </row>
    <row r="2433" spans="10:14" x14ac:dyDescent="0.4">
      <c r="J2433" s="26"/>
      <c r="N2433" s="26"/>
    </row>
    <row r="2434" spans="10:14" x14ac:dyDescent="0.4">
      <c r="J2434" s="26"/>
      <c r="N2434" s="26"/>
    </row>
    <row r="2435" spans="10:14" x14ac:dyDescent="0.4">
      <c r="J2435" s="26"/>
      <c r="N2435" s="26"/>
    </row>
    <row r="2436" spans="10:14" x14ac:dyDescent="0.4">
      <c r="J2436" s="26"/>
      <c r="N2436" s="26"/>
    </row>
    <row r="2437" spans="10:14" x14ac:dyDescent="0.4">
      <c r="J2437" s="26"/>
      <c r="N2437" s="26"/>
    </row>
    <row r="2438" spans="10:14" x14ac:dyDescent="0.4">
      <c r="J2438" s="26"/>
      <c r="N2438" s="26"/>
    </row>
    <row r="2439" spans="10:14" x14ac:dyDescent="0.4">
      <c r="J2439" s="26"/>
      <c r="N2439" s="26"/>
    </row>
    <row r="2440" spans="10:14" x14ac:dyDescent="0.4">
      <c r="J2440" s="26"/>
      <c r="N2440" s="26"/>
    </row>
    <row r="2441" spans="10:14" x14ac:dyDescent="0.4">
      <c r="J2441" s="26"/>
      <c r="N2441" s="26"/>
    </row>
    <row r="2442" spans="10:14" x14ac:dyDescent="0.4">
      <c r="J2442" s="26"/>
      <c r="N2442" s="26"/>
    </row>
    <row r="2443" spans="10:14" x14ac:dyDescent="0.4">
      <c r="J2443" s="26"/>
      <c r="N2443" s="26"/>
    </row>
    <row r="2444" spans="10:14" x14ac:dyDescent="0.4">
      <c r="J2444" s="26"/>
      <c r="N2444" s="26"/>
    </row>
    <row r="2445" spans="10:14" x14ac:dyDescent="0.4">
      <c r="J2445" s="26"/>
      <c r="N2445" s="26"/>
    </row>
    <row r="2446" spans="10:14" x14ac:dyDescent="0.4">
      <c r="J2446" s="26"/>
      <c r="N2446" s="26"/>
    </row>
    <row r="2447" spans="10:14" x14ac:dyDescent="0.4">
      <c r="J2447" s="26"/>
      <c r="N2447" s="26"/>
    </row>
    <row r="2448" spans="10:14" x14ac:dyDescent="0.4">
      <c r="J2448" s="26"/>
      <c r="N2448" s="26"/>
    </row>
    <row r="2449" spans="10:14" x14ac:dyDescent="0.4">
      <c r="J2449" s="26"/>
      <c r="N2449" s="26"/>
    </row>
    <row r="2450" spans="10:14" x14ac:dyDescent="0.4">
      <c r="J2450" s="26"/>
      <c r="N2450" s="26"/>
    </row>
    <row r="2451" spans="10:14" x14ac:dyDescent="0.4">
      <c r="J2451" s="26"/>
      <c r="N2451" s="26"/>
    </row>
    <row r="2452" spans="10:14" x14ac:dyDescent="0.4">
      <c r="J2452" s="26"/>
      <c r="N2452" s="26"/>
    </row>
    <row r="2453" spans="10:14" x14ac:dyDescent="0.4">
      <c r="J2453" s="26"/>
      <c r="N2453" s="26"/>
    </row>
    <row r="2454" spans="10:14" x14ac:dyDescent="0.4">
      <c r="J2454" s="26"/>
      <c r="N2454" s="26"/>
    </row>
    <row r="2455" spans="10:14" x14ac:dyDescent="0.4">
      <c r="J2455" s="26"/>
      <c r="N2455" s="26"/>
    </row>
    <row r="2456" spans="10:14" x14ac:dyDescent="0.4">
      <c r="J2456" s="26"/>
      <c r="N2456" s="26"/>
    </row>
    <row r="2457" spans="10:14" x14ac:dyDescent="0.4">
      <c r="J2457" s="26"/>
      <c r="N2457" s="26"/>
    </row>
    <row r="2458" spans="10:14" x14ac:dyDescent="0.4">
      <c r="J2458" s="26"/>
      <c r="N2458" s="26"/>
    </row>
    <row r="2459" spans="10:14" x14ac:dyDescent="0.4">
      <c r="J2459" s="26"/>
      <c r="N2459" s="26"/>
    </row>
    <row r="2460" spans="10:14" x14ac:dyDescent="0.4">
      <c r="J2460" s="26"/>
      <c r="N2460" s="26"/>
    </row>
    <row r="2461" spans="10:14" x14ac:dyDescent="0.4">
      <c r="J2461" s="26"/>
      <c r="N2461" s="26"/>
    </row>
    <row r="2462" spans="10:14" x14ac:dyDescent="0.4">
      <c r="J2462" s="26"/>
      <c r="N2462" s="26"/>
    </row>
    <row r="2463" spans="10:14" x14ac:dyDescent="0.4">
      <c r="J2463" s="26"/>
      <c r="N2463" s="26"/>
    </row>
    <row r="2464" spans="10:14" x14ac:dyDescent="0.4">
      <c r="J2464" s="26"/>
      <c r="N2464" s="26"/>
    </row>
    <row r="2465" spans="10:14" x14ac:dyDescent="0.4">
      <c r="J2465" s="26"/>
      <c r="N2465" s="26"/>
    </row>
    <row r="2466" spans="10:14" x14ac:dyDescent="0.4">
      <c r="J2466" s="26"/>
      <c r="N2466" s="26"/>
    </row>
    <row r="2467" spans="10:14" x14ac:dyDescent="0.4">
      <c r="J2467" s="26"/>
      <c r="N2467" s="26"/>
    </row>
    <row r="2468" spans="10:14" x14ac:dyDescent="0.4">
      <c r="J2468" s="26"/>
      <c r="N2468" s="26"/>
    </row>
    <row r="2469" spans="10:14" x14ac:dyDescent="0.4">
      <c r="J2469" s="26"/>
      <c r="N2469" s="26"/>
    </row>
    <row r="2470" spans="10:14" x14ac:dyDescent="0.4">
      <c r="J2470" s="26"/>
      <c r="N2470" s="26"/>
    </row>
    <row r="2471" spans="10:14" x14ac:dyDescent="0.4">
      <c r="J2471" s="26"/>
      <c r="N2471" s="26"/>
    </row>
    <row r="2472" spans="10:14" x14ac:dyDescent="0.4">
      <c r="J2472" s="26"/>
      <c r="N2472" s="26"/>
    </row>
    <row r="2473" spans="10:14" x14ac:dyDescent="0.4">
      <c r="J2473" s="26"/>
      <c r="N2473" s="26"/>
    </row>
    <row r="2474" spans="10:14" x14ac:dyDescent="0.4">
      <c r="J2474" s="26"/>
      <c r="N2474" s="26"/>
    </row>
    <row r="2475" spans="10:14" x14ac:dyDescent="0.4">
      <c r="J2475" s="26"/>
      <c r="N2475" s="26"/>
    </row>
    <row r="2476" spans="10:14" x14ac:dyDescent="0.4">
      <c r="J2476" s="26"/>
      <c r="N2476" s="26"/>
    </row>
    <row r="2477" spans="10:14" x14ac:dyDescent="0.4">
      <c r="J2477" s="26"/>
      <c r="N2477" s="26"/>
    </row>
    <row r="2478" spans="10:14" x14ac:dyDescent="0.4">
      <c r="J2478" s="26"/>
      <c r="N2478" s="26"/>
    </row>
    <row r="2479" spans="10:14" x14ac:dyDescent="0.4">
      <c r="J2479" s="26"/>
      <c r="N2479" s="26"/>
    </row>
    <row r="2480" spans="10:14" x14ac:dyDescent="0.4">
      <c r="J2480" s="26"/>
      <c r="N2480" s="26"/>
    </row>
    <row r="2481" spans="10:14" x14ac:dyDescent="0.4">
      <c r="J2481" s="26"/>
      <c r="N2481" s="26"/>
    </row>
    <row r="2482" spans="10:14" x14ac:dyDescent="0.4">
      <c r="J2482" s="26"/>
      <c r="N2482" s="26"/>
    </row>
    <row r="2483" spans="10:14" x14ac:dyDescent="0.4">
      <c r="J2483" s="26"/>
      <c r="N2483" s="26"/>
    </row>
    <row r="2484" spans="10:14" x14ac:dyDescent="0.4">
      <c r="J2484" s="26"/>
      <c r="N2484" s="26"/>
    </row>
    <row r="2485" spans="10:14" x14ac:dyDescent="0.4">
      <c r="J2485" s="26"/>
      <c r="N2485" s="26"/>
    </row>
    <row r="2486" spans="10:14" x14ac:dyDescent="0.4">
      <c r="J2486" s="26"/>
      <c r="N2486" s="26"/>
    </row>
    <row r="2487" spans="10:14" x14ac:dyDescent="0.4">
      <c r="J2487" s="26"/>
      <c r="N2487" s="26"/>
    </row>
    <row r="2488" spans="10:14" x14ac:dyDescent="0.4">
      <c r="J2488" s="26"/>
      <c r="N2488" s="26"/>
    </row>
    <row r="2489" spans="10:14" x14ac:dyDescent="0.4">
      <c r="J2489" s="26"/>
      <c r="N2489" s="26"/>
    </row>
    <row r="2490" spans="10:14" x14ac:dyDescent="0.4">
      <c r="J2490" s="26"/>
      <c r="N2490" s="26"/>
    </row>
    <row r="2491" spans="10:14" x14ac:dyDescent="0.4">
      <c r="J2491" s="26"/>
      <c r="N2491" s="26"/>
    </row>
    <row r="2492" spans="10:14" x14ac:dyDescent="0.4">
      <c r="J2492" s="26"/>
      <c r="N2492" s="26"/>
    </row>
    <row r="2493" spans="10:14" x14ac:dyDescent="0.4">
      <c r="J2493" s="26"/>
      <c r="N2493" s="26"/>
    </row>
    <row r="2494" spans="10:14" x14ac:dyDescent="0.4">
      <c r="J2494" s="26"/>
      <c r="N2494" s="26"/>
    </row>
    <row r="2495" spans="10:14" x14ac:dyDescent="0.4">
      <c r="J2495" s="26"/>
      <c r="N2495" s="26"/>
    </row>
    <row r="2496" spans="10:14" x14ac:dyDescent="0.4">
      <c r="J2496" s="26"/>
      <c r="N2496" s="26"/>
    </row>
    <row r="2497" spans="10:14" x14ac:dyDescent="0.4">
      <c r="J2497" s="26"/>
      <c r="N2497" s="26"/>
    </row>
    <row r="2498" spans="10:14" x14ac:dyDescent="0.4">
      <c r="J2498" s="26"/>
      <c r="N2498" s="26"/>
    </row>
    <row r="2499" spans="10:14" x14ac:dyDescent="0.4">
      <c r="J2499" s="26"/>
      <c r="N2499" s="26"/>
    </row>
    <row r="2500" spans="10:14" x14ac:dyDescent="0.4">
      <c r="J2500" s="26"/>
      <c r="N2500" s="26"/>
    </row>
    <row r="2501" spans="10:14" x14ac:dyDescent="0.4">
      <c r="J2501" s="26"/>
      <c r="N2501" s="26"/>
    </row>
    <row r="2502" spans="10:14" x14ac:dyDescent="0.4">
      <c r="J2502" s="26"/>
      <c r="N2502" s="26"/>
    </row>
    <row r="2503" spans="10:14" x14ac:dyDescent="0.4">
      <c r="J2503" s="26"/>
      <c r="N2503" s="26"/>
    </row>
    <row r="2504" spans="10:14" x14ac:dyDescent="0.4">
      <c r="J2504" s="26"/>
      <c r="N2504" s="26"/>
    </row>
    <row r="2505" spans="10:14" x14ac:dyDescent="0.4">
      <c r="J2505" s="26"/>
      <c r="N2505" s="26"/>
    </row>
    <row r="2506" spans="10:14" x14ac:dyDescent="0.4">
      <c r="J2506" s="26"/>
      <c r="N2506" s="26"/>
    </row>
    <row r="2507" spans="10:14" x14ac:dyDescent="0.4">
      <c r="J2507" s="26"/>
      <c r="N2507" s="26"/>
    </row>
    <row r="2508" spans="10:14" x14ac:dyDescent="0.4">
      <c r="J2508" s="26"/>
      <c r="N2508" s="26"/>
    </row>
    <row r="2509" spans="10:14" x14ac:dyDescent="0.4">
      <c r="J2509" s="26"/>
      <c r="N2509" s="26"/>
    </row>
    <row r="2510" spans="10:14" x14ac:dyDescent="0.4">
      <c r="J2510" s="26"/>
      <c r="N2510" s="26"/>
    </row>
    <row r="2511" spans="10:14" x14ac:dyDescent="0.4">
      <c r="J2511" s="26"/>
      <c r="N2511" s="26"/>
    </row>
    <row r="2512" spans="10:14" x14ac:dyDescent="0.4">
      <c r="J2512" s="26"/>
      <c r="N2512" s="26"/>
    </row>
    <row r="2513" spans="10:14" x14ac:dyDescent="0.4">
      <c r="J2513" s="26"/>
      <c r="N2513" s="26"/>
    </row>
    <row r="2514" spans="10:14" x14ac:dyDescent="0.4">
      <c r="J2514" s="26"/>
      <c r="N2514" s="26"/>
    </row>
    <row r="2515" spans="10:14" x14ac:dyDescent="0.4">
      <c r="J2515" s="26"/>
      <c r="N2515" s="26"/>
    </row>
    <row r="2516" spans="10:14" x14ac:dyDescent="0.4">
      <c r="J2516" s="26"/>
      <c r="N2516" s="26"/>
    </row>
    <row r="2517" spans="10:14" x14ac:dyDescent="0.4">
      <c r="J2517" s="26"/>
      <c r="N2517" s="26"/>
    </row>
    <row r="2518" spans="10:14" x14ac:dyDescent="0.4">
      <c r="J2518" s="26"/>
      <c r="N2518" s="26"/>
    </row>
    <row r="2519" spans="10:14" x14ac:dyDescent="0.4">
      <c r="J2519" s="26"/>
      <c r="N2519" s="26"/>
    </row>
    <row r="2520" spans="10:14" x14ac:dyDescent="0.4">
      <c r="J2520" s="26"/>
      <c r="N2520" s="26"/>
    </row>
    <row r="2521" spans="10:14" x14ac:dyDescent="0.4">
      <c r="J2521" s="26"/>
      <c r="N2521" s="26"/>
    </row>
    <row r="2522" spans="10:14" x14ac:dyDescent="0.4">
      <c r="J2522" s="26"/>
      <c r="N2522" s="26"/>
    </row>
    <row r="2523" spans="10:14" x14ac:dyDescent="0.4">
      <c r="J2523" s="26"/>
      <c r="N2523" s="26"/>
    </row>
    <row r="2524" spans="10:14" x14ac:dyDescent="0.4">
      <c r="J2524" s="26"/>
      <c r="N2524" s="26"/>
    </row>
    <row r="2525" spans="10:14" x14ac:dyDescent="0.4">
      <c r="J2525" s="26"/>
      <c r="N2525" s="26"/>
    </row>
    <row r="2526" spans="10:14" x14ac:dyDescent="0.4">
      <c r="J2526" s="26"/>
      <c r="N2526" s="26"/>
    </row>
    <row r="2527" spans="10:14" x14ac:dyDescent="0.4">
      <c r="J2527" s="26"/>
      <c r="N2527" s="26"/>
    </row>
    <row r="2528" spans="10:14" x14ac:dyDescent="0.4">
      <c r="J2528" s="26"/>
      <c r="N2528" s="26"/>
    </row>
    <row r="2529" spans="10:14" x14ac:dyDescent="0.4">
      <c r="J2529" s="26"/>
      <c r="N2529" s="26"/>
    </row>
    <row r="2530" spans="10:14" x14ac:dyDescent="0.4">
      <c r="J2530" s="26"/>
      <c r="N2530" s="26"/>
    </row>
    <row r="2531" spans="10:14" x14ac:dyDescent="0.4">
      <c r="J2531" s="26"/>
      <c r="N2531" s="26"/>
    </row>
    <row r="2532" spans="10:14" x14ac:dyDescent="0.4">
      <c r="J2532" s="26"/>
      <c r="N2532" s="26"/>
    </row>
    <row r="2533" spans="10:14" x14ac:dyDescent="0.4">
      <c r="J2533" s="26"/>
      <c r="N2533" s="26"/>
    </row>
    <row r="2534" spans="10:14" x14ac:dyDescent="0.4">
      <c r="J2534" s="26"/>
      <c r="N2534" s="26"/>
    </row>
    <row r="2535" spans="10:14" x14ac:dyDescent="0.4">
      <c r="J2535" s="26"/>
      <c r="N2535" s="26"/>
    </row>
    <row r="2536" spans="10:14" x14ac:dyDescent="0.4">
      <c r="J2536" s="26"/>
      <c r="N2536" s="26"/>
    </row>
    <row r="2537" spans="10:14" x14ac:dyDescent="0.4">
      <c r="J2537" s="26"/>
      <c r="N2537" s="26"/>
    </row>
    <row r="2538" spans="10:14" x14ac:dyDescent="0.4">
      <c r="J2538" s="26"/>
      <c r="N2538" s="26"/>
    </row>
    <row r="2539" spans="10:14" x14ac:dyDescent="0.4">
      <c r="J2539" s="26"/>
      <c r="N2539" s="26"/>
    </row>
    <row r="2540" spans="10:14" x14ac:dyDescent="0.4">
      <c r="J2540" s="26"/>
      <c r="N2540" s="26"/>
    </row>
    <row r="2541" spans="10:14" x14ac:dyDescent="0.4">
      <c r="J2541" s="26"/>
      <c r="N2541" s="26"/>
    </row>
    <row r="2542" spans="10:14" x14ac:dyDescent="0.4">
      <c r="J2542" s="26"/>
      <c r="N2542" s="26"/>
    </row>
    <row r="2543" spans="10:14" x14ac:dyDescent="0.4">
      <c r="J2543" s="26"/>
      <c r="N2543" s="26"/>
    </row>
    <row r="2544" spans="10:14" x14ac:dyDescent="0.4">
      <c r="J2544" s="26"/>
      <c r="N2544" s="26"/>
    </row>
    <row r="2545" spans="10:14" x14ac:dyDescent="0.4">
      <c r="J2545" s="26"/>
      <c r="N2545" s="26"/>
    </row>
    <row r="2546" spans="10:14" x14ac:dyDescent="0.4">
      <c r="J2546" s="26"/>
      <c r="N2546" s="26"/>
    </row>
    <row r="2547" spans="10:14" x14ac:dyDescent="0.4">
      <c r="J2547" s="26"/>
      <c r="N2547" s="26"/>
    </row>
    <row r="2548" spans="10:14" x14ac:dyDescent="0.4">
      <c r="J2548" s="26"/>
      <c r="N2548" s="26"/>
    </row>
    <row r="2549" spans="10:14" x14ac:dyDescent="0.4">
      <c r="J2549" s="26"/>
      <c r="N2549" s="26"/>
    </row>
    <row r="2550" spans="10:14" x14ac:dyDescent="0.4">
      <c r="J2550" s="26"/>
      <c r="N2550" s="26"/>
    </row>
    <row r="2551" spans="10:14" x14ac:dyDescent="0.4">
      <c r="J2551" s="26"/>
      <c r="N2551" s="26"/>
    </row>
    <row r="2552" spans="10:14" x14ac:dyDescent="0.4">
      <c r="J2552" s="26"/>
      <c r="N2552" s="26"/>
    </row>
    <row r="2553" spans="10:14" x14ac:dyDescent="0.4">
      <c r="J2553" s="26"/>
      <c r="N2553" s="26"/>
    </row>
    <row r="2554" spans="10:14" x14ac:dyDescent="0.4">
      <c r="J2554" s="26"/>
      <c r="N2554" s="26"/>
    </row>
    <row r="2555" spans="10:14" x14ac:dyDescent="0.4">
      <c r="J2555" s="26"/>
      <c r="N2555" s="26"/>
    </row>
    <row r="2556" spans="10:14" x14ac:dyDescent="0.4">
      <c r="J2556" s="26"/>
      <c r="N2556" s="26"/>
    </row>
    <row r="2557" spans="10:14" x14ac:dyDescent="0.4">
      <c r="J2557" s="26"/>
      <c r="N2557" s="26"/>
    </row>
    <row r="2558" spans="10:14" x14ac:dyDescent="0.4">
      <c r="J2558" s="26"/>
      <c r="N2558" s="26"/>
    </row>
    <row r="2559" spans="10:14" x14ac:dyDescent="0.4">
      <c r="J2559" s="26"/>
      <c r="N2559" s="26"/>
    </row>
    <row r="2560" spans="10:14" x14ac:dyDescent="0.4">
      <c r="J2560" s="26"/>
      <c r="N2560" s="26"/>
    </row>
    <row r="2561" spans="10:14" x14ac:dyDescent="0.4">
      <c r="J2561" s="26"/>
      <c r="N2561" s="26"/>
    </row>
    <row r="2562" spans="10:14" x14ac:dyDescent="0.4">
      <c r="J2562" s="26"/>
      <c r="N2562" s="26"/>
    </row>
    <row r="2563" spans="10:14" x14ac:dyDescent="0.4">
      <c r="J2563" s="26"/>
      <c r="N2563" s="26"/>
    </row>
    <row r="2564" spans="10:14" x14ac:dyDescent="0.4">
      <c r="J2564" s="26"/>
      <c r="N2564" s="26"/>
    </row>
    <row r="2565" spans="10:14" x14ac:dyDescent="0.4">
      <c r="J2565" s="26"/>
      <c r="N2565" s="26"/>
    </row>
    <row r="2566" spans="10:14" x14ac:dyDescent="0.4">
      <c r="J2566" s="26"/>
      <c r="N2566" s="26"/>
    </row>
    <row r="2567" spans="10:14" x14ac:dyDescent="0.4">
      <c r="J2567" s="26"/>
      <c r="N2567" s="26"/>
    </row>
    <row r="2568" spans="10:14" x14ac:dyDescent="0.4">
      <c r="J2568" s="26"/>
      <c r="N2568" s="26"/>
    </row>
    <row r="2569" spans="10:14" x14ac:dyDescent="0.4">
      <c r="J2569" s="26"/>
      <c r="N2569" s="26"/>
    </row>
    <row r="2570" spans="10:14" x14ac:dyDescent="0.4">
      <c r="J2570" s="26"/>
      <c r="N2570" s="26"/>
    </row>
    <row r="2571" spans="10:14" x14ac:dyDescent="0.4">
      <c r="J2571" s="26"/>
      <c r="N2571" s="26"/>
    </row>
    <row r="2572" spans="10:14" x14ac:dyDescent="0.4">
      <c r="J2572" s="26"/>
      <c r="N2572" s="26"/>
    </row>
    <row r="2573" spans="10:14" x14ac:dyDescent="0.4">
      <c r="J2573" s="26"/>
      <c r="N2573" s="26"/>
    </row>
    <row r="2574" spans="10:14" x14ac:dyDescent="0.4">
      <c r="J2574" s="26"/>
      <c r="N2574" s="26"/>
    </row>
    <row r="2575" spans="10:14" x14ac:dyDescent="0.4">
      <c r="J2575" s="26"/>
      <c r="N2575" s="26"/>
    </row>
    <row r="2576" spans="10:14" x14ac:dyDescent="0.4">
      <c r="J2576" s="26"/>
      <c r="N2576" s="26"/>
    </row>
    <row r="2577" spans="10:14" x14ac:dyDescent="0.4">
      <c r="J2577" s="26"/>
      <c r="N2577" s="26"/>
    </row>
    <row r="2578" spans="10:14" x14ac:dyDescent="0.4">
      <c r="J2578" s="26"/>
      <c r="N2578" s="26"/>
    </row>
    <row r="2579" spans="10:14" x14ac:dyDescent="0.4">
      <c r="J2579" s="26"/>
      <c r="N2579" s="26"/>
    </row>
    <row r="2580" spans="10:14" x14ac:dyDescent="0.4">
      <c r="J2580" s="26"/>
      <c r="N2580" s="26"/>
    </row>
    <row r="2581" spans="10:14" x14ac:dyDescent="0.4">
      <c r="J2581" s="26"/>
      <c r="N2581" s="26"/>
    </row>
    <row r="2582" spans="10:14" x14ac:dyDescent="0.4">
      <c r="J2582" s="26"/>
      <c r="N2582" s="26"/>
    </row>
    <row r="2583" spans="10:14" x14ac:dyDescent="0.4">
      <c r="J2583" s="26"/>
      <c r="N2583" s="26"/>
    </row>
    <row r="2584" spans="10:14" x14ac:dyDescent="0.4">
      <c r="J2584" s="26"/>
      <c r="N2584" s="26"/>
    </row>
    <row r="2585" spans="10:14" x14ac:dyDescent="0.4">
      <c r="J2585" s="26"/>
      <c r="N2585" s="26"/>
    </row>
    <row r="2586" spans="10:14" x14ac:dyDescent="0.4">
      <c r="J2586" s="26"/>
      <c r="N2586" s="26"/>
    </row>
    <row r="2587" spans="10:14" x14ac:dyDescent="0.4">
      <c r="J2587" s="26"/>
      <c r="N2587" s="26"/>
    </row>
    <row r="2588" spans="10:14" x14ac:dyDescent="0.4">
      <c r="J2588" s="26"/>
      <c r="N2588" s="26"/>
    </row>
    <row r="2589" spans="10:14" x14ac:dyDescent="0.4">
      <c r="J2589" s="26"/>
      <c r="N2589" s="26"/>
    </row>
    <row r="2590" spans="10:14" x14ac:dyDescent="0.4">
      <c r="J2590" s="26"/>
      <c r="N2590" s="26"/>
    </row>
    <row r="2591" spans="10:14" x14ac:dyDescent="0.4">
      <c r="J2591" s="26"/>
      <c r="N2591" s="26"/>
    </row>
    <row r="2592" spans="10:14" x14ac:dyDescent="0.4">
      <c r="J2592" s="26"/>
      <c r="N2592" s="26"/>
    </row>
    <row r="2593" spans="10:14" x14ac:dyDescent="0.4">
      <c r="J2593" s="26"/>
      <c r="N2593" s="26"/>
    </row>
    <row r="2594" spans="10:14" x14ac:dyDescent="0.4">
      <c r="J2594" s="26"/>
      <c r="N2594" s="26"/>
    </row>
    <row r="2595" spans="10:14" x14ac:dyDescent="0.4">
      <c r="J2595" s="26"/>
      <c r="N2595" s="26"/>
    </row>
    <row r="2596" spans="10:14" x14ac:dyDescent="0.4">
      <c r="J2596" s="26"/>
      <c r="N2596" s="26"/>
    </row>
    <row r="2597" spans="10:14" x14ac:dyDescent="0.4">
      <c r="J2597" s="26"/>
      <c r="N2597" s="26"/>
    </row>
    <row r="2598" spans="10:14" x14ac:dyDescent="0.4">
      <c r="J2598" s="26"/>
      <c r="N2598" s="26"/>
    </row>
    <row r="2599" spans="10:14" x14ac:dyDescent="0.4">
      <c r="J2599" s="26"/>
      <c r="N2599" s="26"/>
    </row>
    <row r="2600" spans="10:14" x14ac:dyDescent="0.4">
      <c r="J2600" s="26"/>
      <c r="N2600" s="26"/>
    </row>
    <row r="2601" spans="10:14" x14ac:dyDescent="0.4">
      <c r="J2601" s="26"/>
      <c r="N2601" s="26"/>
    </row>
    <row r="2602" spans="10:14" x14ac:dyDescent="0.4">
      <c r="J2602" s="26"/>
      <c r="N2602" s="26"/>
    </row>
    <row r="2603" spans="10:14" x14ac:dyDescent="0.4">
      <c r="J2603" s="26"/>
      <c r="N2603" s="26"/>
    </row>
    <row r="2604" spans="10:14" x14ac:dyDescent="0.4">
      <c r="J2604" s="26"/>
      <c r="N2604" s="26"/>
    </row>
    <row r="2605" spans="10:14" x14ac:dyDescent="0.4">
      <c r="J2605" s="26"/>
      <c r="N2605" s="26"/>
    </row>
    <row r="2606" spans="10:14" x14ac:dyDescent="0.4">
      <c r="J2606" s="26"/>
      <c r="N2606" s="26"/>
    </row>
    <row r="2607" spans="10:14" x14ac:dyDescent="0.4">
      <c r="J2607" s="26"/>
      <c r="N2607" s="26"/>
    </row>
    <row r="2608" spans="10:14" x14ac:dyDescent="0.4">
      <c r="J2608" s="26"/>
      <c r="N2608" s="26"/>
    </row>
    <row r="2609" spans="10:14" x14ac:dyDescent="0.4">
      <c r="J2609" s="26"/>
      <c r="N2609" s="26"/>
    </row>
    <row r="2610" spans="10:14" x14ac:dyDescent="0.4">
      <c r="J2610" s="26"/>
      <c r="N2610" s="26"/>
    </row>
    <row r="2611" spans="10:14" x14ac:dyDescent="0.4">
      <c r="J2611" s="26"/>
      <c r="N2611" s="26"/>
    </row>
    <row r="2612" spans="10:14" x14ac:dyDescent="0.4">
      <c r="J2612" s="26"/>
      <c r="N2612" s="26"/>
    </row>
    <row r="2613" spans="10:14" x14ac:dyDescent="0.4">
      <c r="J2613" s="26"/>
      <c r="N2613" s="26"/>
    </row>
    <row r="2614" spans="10:14" x14ac:dyDescent="0.4">
      <c r="J2614" s="26"/>
      <c r="N2614" s="26"/>
    </row>
    <row r="2615" spans="10:14" x14ac:dyDescent="0.4">
      <c r="J2615" s="26"/>
      <c r="N2615" s="26"/>
    </row>
    <row r="2616" spans="10:14" x14ac:dyDescent="0.4">
      <c r="J2616" s="26"/>
      <c r="N2616" s="26"/>
    </row>
    <row r="2617" spans="10:14" x14ac:dyDescent="0.4">
      <c r="J2617" s="26"/>
      <c r="N2617" s="26"/>
    </row>
    <row r="2618" spans="10:14" x14ac:dyDescent="0.4">
      <c r="J2618" s="26"/>
      <c r="N2618" s="26"/>
    </row>
    <row r="2619" spans="10:14" x14ac:dyDescent="0.4">
      <c r="J2619" s="26"/>
      <c r="N2619" s="26"/>
    </row>
    <row r="2620" spans="10:14" x14ac:dyDescent="0.4">
      <c r="J2620" s="26"/>
      <c r="N2620" s="26"/>
    </row>
    <row r="2621" spans="10:14" x14ac:dyDescent="0.4">
      <c r="J2621" s="26"/>
      <c r="N2621" s="26"/>
    </row>
    <row r="2622" spans="10:14" x14ac:dyDescent="0.4">
      <c r="J2622" s="26"/>
      <c r="N2622" s="26"/>
    </row>
    <row r="2623" spans="10:14" x14ac:dyDescent="0.4">
      <c r="J2623" s="26"/>
      <c r="N2623" s="26"/>
    </row>
    <row r="2624" spans="10:14" x14ac:dyDescent="0.4">
      <c r="J2624" s="26"/>
      <c r="N2624" s="26"/>
    </row>
    <row r="2625" spans="10:14" x14ac:dyDescent="0.4">
      <c r="J2625" s="26"/>
      <c r="N2625" s="26"/>
    </row>
    <row r="2626" spans="10:14" x14ac:dyDescent="0.4">
      <c r="J2626" s="26"/>
      <c r="N2626" s="26"/>
    </row>
    <row r="2627" spans="10:14" x14ac:dyDescent="0.4">
      <c r="J2627" s="26"/>
      <c r="N2627" s="26"/>
    </row>
    <row r="2628" spans="10:14" x14ac:dyDescent="0.4">
      <c r="J2628" s="26"/>
      <c r="N2628" s="26"/>
    </row>
    <row r="2629" spans="10:14" x14ac:dyDescent="0.4">
      <c r="J2629" s="26"/>
      <c r="N2629" s="26"/>
    </row>
    <row r="2630" spans="10:14" x14ac:dyDescent="0.4">
      <c r="J2630" s="26"/>
      <c r="N2630" s="26"/>
    </row>
    <row r="2631" spans="10:14" x14ac:dyDescent="0.4">
      <c r="J2631" s="26"/>
      <c r="N2631" s="26"/>
    </row>
    <row r="2632" spans="10:14" x14ac:dyDescent="0.4">
      <c r="J2632" s="26"/>
      <c r="N2632" s="26"/>
    </row>
    <row r="2633" spans="10:14" x14ac:dyDescent="0.4">
      <c r="J2633" s="26"/>
      <c r="N2633" s="26"/>
    </row>
    <row r="2634" spans="10:14" x14ac:dyDescent="0.4">
      <c r="J2634" s="26"/>
      <c r="N2634" s="26"/>
    </row>
    <row r="2635" spans="10:14" x14ac:dyDescent="0.4">
      <c r="J2635" s="26"/>
      <c r="N2635" s="26"/>
    </row>
    <row r="2636" spans="10:14" x14ac:dyDescent="0.4">
      <c r="J2636" s="26"/>
      <c r="N2636" s="26"/>
    </row>
    <row r="2637" spans="10:14" x14ac:dyDescent="0.4">
      <c r="J2637" s="26"/>
      <c r="N2637" s="26"/>
    </row>
    <row r="2638" spans="10:14" x14ac:dyDescent="0.4">
      <c r="J2638" s="26"/>
      <c r="N2638" s="26"/>
    </row>
    <row r="2639" spans="10:14" x14ac:dyDescent="0.4">
      <c r="J2639" s="26"/>
      <c r="N2639" s="26"/>
    </row>
    <row r="2640" spans="10:14" x14ac:dyDescent="0.4">
      <c r="J2640" s="26"/>
      <c r="N2640" s="26"/>
    </row>
    <row r="2641" spans="10:14" x14ac:dyDescent="0.4">
      <c r="J2641" s="26"/>
      <c r="N2641" s="26"/>
    </row>
    <row r="2642" spans="10:14" x14ac:dyDescent="0.4">
      <c r="J2642" s="26"/>
      <c r="N2642" s="26"/>
    </row>
    <row r="2643" spans="10:14" x14ac:dyDescent="0.4">
      <c r="J2643" s="26"/>
      <c r="N2643" s="26"/>
    </row>
    <row r="2644" spans="10:14" x14ac:dyDescent="0.4">
      <c r="J2644" s="26"/>
      <c r="N2644" s="26"/>
    </row>
    <row r="2645" spans="10:14" x14ac:dyDescent="0.4">
      <c r="J2645" s="26"/>
      <c r="N2645" s="26"/>
    </row>
    <row r="2646" spans="10:14" x14ac:dyDescent="0.4">
      <c r="J2646" s="26"/>
      <c r="N2646" s="26"/>
    </row>
    <row r="2647" spans="10:14" x14ac:dyDescent="0.4">
      <c r="J2647" s="26"/>
      <c r="N2647" s="26"/>
    </row>
    <row r="2648" spans="10:14" x14ac:dyDescent="0.4">
      <c r="J2648" s="26"/>
      <c r="N2648" s="26"/>
    </row>
    <row r="2649" spans="10:14" x14ac:dyDescent="0.4">
      <c r="J2649" s="26"/>
      <c r="N2649" s="26"/>
    </row>
    <row r="2650" spans="10:14" x14ac:dyDescent="0.4">
      <c r="J2650" s="26"/>
      <c r="N2650" s="26"/>
    </row>
    <row r="2651" spans="10:14" x14ac:dyDescent="0.4">
      <c r="J2651" s="26"/>
      <c r="N2651" s="26"/>
    </row>
    <row r="2652" spans="10:14" x14ac:dyDescent="0.4">
      <c r="J2652" s="26"/>
      <c r="N2652" s="26"/>
    </row>
    <row r="2653" spans="10:14" x14ac:dyDescent="0.4">
      <c r="J2653" s="26"/>
      <c r="N2653" s="26"/>
    </row>
    <row r="2654" spans="10:14" x14ac:dyDescent="0.4">
      <c r="J2654" s="26"/>
      <c r="N2654" s="26"/>
    </row>
    <row r="2655" spans="10:14" x14ac:dyDescent="0.4">
      <c r="J2655" s="26"/>
      <c r="N2655" s="26"/>
    </row>
    <row r="2656" spans="10:14" x14ac:dyDescent="0.4">
      <c r="J2656" s="26"/>
      <c r="N2656" s="26"/>
    </row>
    <row r="2657" spans="10:14" x14ac:dyDescent="0.4">
      <c r="J2657" s="26"/>
      <c r="N2657" s="26"/>
    </row>
    <row r="2658" spans="10:14" x14ac:dyDescent="0.4">
      <c r="J2658" s="26"/>
      <c r="N2658" s="26"/>
    </row>
    <row r="2659" spans="10:14" x14ac:dyDescent="0.4">
      <c r="J2659" s="26"/>
      <c r="N2659" s="26"/>
    </row>
    <row r="2660" spans="10:14" x14ac:dyDescent="0.4">
      <c r="J2660" s="26"/>
      <c r="N2660" s="26"/>
    </row>
    <row r="2661" spans="10:14" x14ac:dyDescent="0.4">
      <c r="J2661" s="26"/>
      <c r="N2661" s="26"/>
    </row>
    <row r="2662" spans="10:14" x14ac:dyDescent="0.4">
      <c r="J2662" s="26"/>
      <c r="N2662" s="26"/>
    </row>
    <row r="2663" spans="10:14" x14ac:dyDescent="0.4">
      <c r="J2663" s="26"/>
      <c r="N2663" s="26"/>
    </row>
    <row r="2664" spans="10:14" x14ac:dyDescent="0.4">
      <c r="J2664" s="26"/>
      <c r="N2664" s="26"/>
    </row>
    <row r="2665" spans="10:14" x14ac:dyDescent="0.4">
      <c r="J2665" s="26"/>
      <c r="N2665" s="26"/>
    </row>
    <row r="2666" spans="10:14" x14ac:dyDescent="0.4">
      <c r="J2666" s="26"/>
      <c r="N2666" s="26"/>
    </row>
    <row r="2667" spans="10:14" x14ac:dyDescent="0.4">
      <c r="J2667" s="26"/>
      <c r="N2667" s="26"/>
    </row>
    <row r="2668" spans="10:14" x14ac:dyDescent="0.4">
      <c r="J2668" s="26"/>
      <c r="N2668" s="26"/>
    </row>
    <row r="2669" spans="10:14" x14ac:dyDescent="0.4">
      <c r="J2669" s="26"/>
      <c r="N2669" s="26"/>
    </row>
    <row r="2670" spans="10:14" x14ac:dyDescent="0.4">
      <c r="J2670" s="26"/>
      <c r="N2670" s="26"/>
    </row>
    <row r="2671" spans="10:14" x14ac:dyDescent="0.4">
      <c r="J2671" s="26"/>
      <c r="N2671" s="26"/>
    </row>
    <row r="2672" spans="10:14" x14ac:dyDescent="0.4">
      <c r="J2672" s="26"/>
      <c r="N2672" s="26"/>
    </row>
    <row r="2673" spans="10:14" x14ac:dyDescent="0.4">
      <c r="J2673" s="26"/>
      <c r="N2673" s="26"/>
    </row>
    <row r="2674" spans="10:14" x14ac:dyDescent="0.4">
      <c r="J2674" s="26"/>
      <c r="N2674" s="26"/>
    </row>
    <row r="2675" spans="10:14" x14ac:dyDescent="0.4">
      <c r="J2675" s="26"/>
      <c r="N2675" s="26"/>
    </row>
    <row r="2676" spans="10:14" x14ac:dyDescent="0.4">
      <c r="J2676" s="26"/>
      <c r="N2676" s="26"/>
    </row>
    <row r="2677" spans="10:14" x14ac:dyDescent="0.4">
      <c r="J2677" s="26"/>
      <c r="N2677" s="26"/>
    </row>
    <row r="2678" spans="10:14" x14ac:dyDescent="0.4">
      <c r="J2678" s="26"/>
      <c r="N2678" s="26"/>
    </row>
    <row r="2679" spans="10:14" x14ac:dyDescent="0.4">
      <c r="J2679" s="26"/>
      <c r="N2679" s="26"/>
    </row>
    <row r="2680" spans="10:14" x14ac:dyDescent="0.4">
      <c r="J2680" s="26"/>
      <c r="N2680" s="26"/>
    </row>
    <row r="2681" spans="10:14" x14ac:dyDescent="0.4">
      <c r="J2681" s="26"/>
      <c r="N2681" s="26"/>
    </row>
    <row r="2682" spans="10:14" x14ac:dyDescent="0.4">
      <c r="J2682" s="26"/>
      <c r="N2682" s="26"/>
    </row>
    <row r="2683" spans="10:14" x14ac:dyDescent="0.4">
      <c r="J2683" s="26"/>
      <c r="N2683" s="26"/>
    </row>
    <row r="2684" spans="10:14" x14ac:dyDescent="0.4">
      <c r="J2684" s="26"/>
      <c r="N2684" s="26"/>
    </row>
    <row r="2685" spans="10:14" x14ac:dyDescent="0.4">
      <c r="J2685" s="26"/>
      <c r="N2685" s="26"/>
    </row>
    <row r="2686" spans="10:14" x14ac:dyDescent="0.4">
      <c r="J2686" s="26"/>
      <c r="N2686" s="26"/>
    </row>
    <row r="2687" spans="10:14" x14ac:dyDescent="0.4">
      <c r="J2687" s="26"/>
      <c r="N2687" s="26"/>
    </row>
    <row r="2688" spans="10:14" x14ac:dyDescent="0.4">
      <c r="J2688" s="26"/>
      <c r="N2688" s="26"/>
    </row>
    <row r="2689" spans="10:14" x14ac:dyDescent="0.4">
      <c r="J2689" s="26"/>
      <c r="N2689" s="26"/>
    </row>
    <row r="2690" spans="10:14" x14ac:dyDescent="0.4">
      <c r="J2690" s="26"/>
      <c r="N2690" s="26"/>
    </row>
    <row r="2691" spans="10:14" x14ac:dyDescent="0.4">
      <c r="J2691" s="26"/>
      <c r="N2691" s="26"/>
    </row>
    <row r="2692" spans="10:14" x14ac:dyDescent="0.4">
      <c r="J2692" s="26"/>
      <c r="N2692" s="26"/>
    </row>
    <row r="2693" spans="10:14" x14ac:dyDescent="0.4">
      <c r="J2693" s="26"/>
      <c r="N2693" s="26"/>
    </row>
    <row r="2694" spans="10:14" x14ac:dyDescent="0.4">
      <c r="J2694" s="26"/>
      <c r="N2694" s="26"/>
    </row>
    <row r="2695" spans="10:14" x14ac:dyDescent="0.4">
      <c r="J2695" s="26"/>
      <c r="N2695" s="26"/>
    </row>
    <row r="2696" spans="10:14" x14ac:dyDescent="0.4">
      <c r="J2696" s="26"/>
      <c r="N2696" s="26"/>
    </row>
    <row r="2697" spans="10:14" x14ac:dyDescent="0.4">
      <c r="J2697" s="26"/>
      <c r="N2697" s="26"/>
    </row>
    <row r="2698" spans="10:14" x14ac:dyDescent="0.4">
      <c r="J2698" s="26"/>
      <c r="N2698" s="26"/>
    </row>
    <row r="2699" spans="10:14" x14ac:dyDescent="0.4">
      <c r="J2699" s="26"/>
      <c r="N2699" s="26"/>
    </row>
    <row r="2700" spans="10:14" x14ac:dyDescent="0.4">
      <c r="J2700" s="26"/>
      <c r="N2700" s="26"/>
    </row>
    <row r="2701" spans="10:14" x14ac:dyDescent="0.4">
      <c r="J2701" s="26"/>
      <c r="N2701" s="26"/>
    </row>
    <row r="2702" spans="10:14" x14ac:dyDescent="0.4">
      <c r="J2702" s="26"/>
      <c r="N2702" s="26"/>
    </row>
    <row r="2703" spans="10:14" x14ac:dyDescent="0.4">
      <c r="J2703" s="26"/>
      <c r="N2703" s="26"/>
    </row>
    <row r="2704" spans="10:14" x14ac:dyDescent="0.4">
      <c r="J2704" s="26"/>
      <c r="N2704" s="26"/>
    </row>
    <row r="2705" spans="10:14" x14ac:dyDescent="0.4">
      <c r="J2705" s="26"/>
      <c r="N2705" s="26"/>
    </row>
    <row r="2706" spans="10:14" x14ac:dyDescent="0.4">
      <c r="J2706" s="26"/>
      <c r="N2706" s="26"/>
    </row>
    <row r="2707" spans="10:14" x14ac:dyDescent="0.4">
      <c r="J2707" s="26"/>
      <c r="N2707" s="26"/>
    </row>
    <row r="2708" spans="10:14" x14ac:dyDescent="0.4">
      <c r="J2708" s="26"/>
      <c r="N2708" s="26"/>
    </row>
    <row r="2709" spans="10:14" x14ac:dyDescent="0.4">
      <c r="J2709" s="26"/>
      <c r="N2709" s="26"/>
    </row>
    <row r="2710" spans="10:14" x14ac:dyDescent="0.4">
      <c r="J2710" s="26"/>
      <c r="N2710" s="26"/>
    </row>
    <row r="2711" spans="10:14" x14ac:dyDescent="0.4">
      <c r="J2711" s="26"/>
      <c r="N2711" s="26"/>
    </row>
    <row r="2712" spans="10:14" x14ac:dyDescent="0.4">
      <c r="J2712" s="26"/>
      <c r="N2712" s="26"/>
    </row>
    <row r="2713" spans="10:14" x14ac:dyDescent="0.4">
      <c r="J2713" s="26"/>
      <c r="N2713" s="26"/>
    </row>
    <row r="2714" spans="10:14" x14ac:dyDescent="0.4">
      <c r="J2714" s="26"/>
      <c r="N2714" s="26"/>
    </row>
    <row r="2715" spans="10:14" x14ac:dyDescent="0.4">
      <c r="J2715" s="26"/>
      <c r="N2715" s="26"/>
    </row>
    <row r="2716" spans="10:14" x14ac:dyDescent="0.4">
      <c r="J2716" s="26"/>
      <c r="N2716" s="26"/>
    </row>
    <row r="2717" spans="10:14" x14ac:dyDescent="0.4">
      <c r="J2717" s="26"/>
      <c r="N2717" s="26"/>
    </row>
    <row r="2718" spans="10:14" x14ac:dyDescent="0.4">
      <c r="J2718" s="26"/>
      <c r="N2718" s="26"/>
    </row>
    <row r="2719" spans="10:14" x14ac:dyDescent="0.4">
      <c r="J2719" s="26"/>
      <c r="N2719" s="26"/>
    </row>
    <row r="2720" spans="10:14" x14ac:dyDescent="0.4">
      <c r="J2720" s="26"/>
      <c r="N2720" s="26"/>
    </row>
    <row r="2721" spans="10:14" x14ac:dyDescent="0.4">
      <c r="J2721" s="26"/>
      <c r="N2721" s="26"/>
    </row>
    <row r="2722" spans="10:14" x14ac:dyDescent="0.4">
      <c r="J2722" s="26"/>
      <c r="N2722" s="26"/>
    </row>
    <row r="2723" spans="10:14" x14ac:dyDescent="0.4">
      <c r="J2723" s="26"/>
      <c r="N2723" s="26"/>
    </row>
    <row r="2724" spans="10:14" x14ac:dyDescent="0.4">
      <c r="J2724" s="26"/>
      <c r="N2724" s="26"/>
    </row>
    <row r="2725" spans="10:14" x14ac:dyDescent="0.4">
      <c r="J2725" s="26"/>
      <c r="N2725" s="26"/>
    </row>
    <row r="2726" spans="10:14" x14ac:dyDescent="0.4">
      <c r="J2726" s="26"/>
      <c r="N2726" s="26"/>
    </row>
    <row r="2727" spans="10:14" x14ac:dyDescent="0.4">
      <c r="J2727" s="26"/>
      <c r="N2727" s="26"/>
    </row>
    <row r="2728" spans="10:14" x14ac:dyDescent="0.4">
      <c r="J2728" s="26"/>
      <c r="N2728" s="26"/>
    </row>
    <row r="2729" spans="10:14" x14ac:dyDescent="0.4">
      <c r="J2729" s="26"/>
      <c r="N2729" s="26"/>
    </row>
    <row r="2730" spans="10:14" x14ac:dyDescent="0.4">
      <c r="J2730" s="26"/>
      <c r="N2730" s="26"/>
    </row>
    <row r="2731" spans="10:14" x14ac:dyDescent="0.4">
      <c r="J2731" s="26"/>
      <c r="N2731" s="26"/>
    </row>
    <row r="2732" spans="10:14" x14ac:dyDescent="0.4">
      <c r="J2732" s="26"/>
      <c r="N2732" s="26"/>
    </row>
    <row r="2733" spans="10:14" x14ac:dyDescent="0.4">
      <c r="J2733" s="26"/>
      <c r="N2733" s="26"/>
    </row>
    <row r="2734" spans="10:14" x14ac:dyDescent="0.4">
      <c r="J2734" s="26"/>
      <c r="N2734" s="26"/>
    </row>
    <row r="2735" spans="10:14" x14ac:dyDescent="0.4">
      <c r="J2735" s="26"/>
      <c r="N2735" s="26"/>
    </row>
    <row r="2736" spans="10:14" x14ac:dyDescent="0.4">
      <c r="J2736" s="26"/>
      <c r="N2736" s="26"/>
    </row>
    <row r="2737" spans="10:14" x14ac:dyDescent="0.4">
      <c r="J2737" s="26"/>
      <c r="N2737" s="26"/>
    </row>
    <row r="2738" spans="10:14" x14ac:dyDescent="0.4">
      <c r="J2738" s="26"/>
      <c r="N2738" s="26"/>
    </row>
    <row r="2739" spans="10:14" x14ac:dyDescent="0.4">
      <c r="J2739" s="26"/>
      <c r="N2739" s="26"/>
    </row>
    <row r="2740" spans="10:14" x14ac:dyDescent="0.4">
      <c r="J2740" s="26"/>
      <c r="N2740" s="26"/>
    </row>
    <row r="2741" spans="10:14" x14ac:dyDescent="0.4">
      <c r="J2741" s="26"/>
      <c r="N2741" s="26"/>
    </row>
    <row r="2742" spans="10:14" x14ac:dyDescent="0.4">
      <c r="J2742" s="26"/>
      <c r="N2742" s="26"/>
    </row>
    <row r="2743" spans="10:14" x14ac:dyDescent="0.4">
      <c r="J2743" s="26"/>
      <c r="N2743" s="26"/>
    </row>
    <row r="2744" spans="10:14" x14ac:dyDescent="0.4">
      <c r="J2744" s="26"/>
      <c r="N2744" s="26"/>
    </row>
    <row r="2745" spans="10:14" x14ac:dyDescent="0.4">
      <c r="J2745" s="26"/>
      <c r="N2745" s="26"/>
    </row>
    <row r="2746" spans="10:14" x14ac:dyDescent="0.4">
      <c r="J2746" s="26"/>
      <c r="N2746" s="26"/>
    </row>
    <row r="2747" spans="10:14" x14ac:dyDescent="0.4">
      <c r="J2747" s="26"/>
      <c r="N2747" s="26"/>
    </row>
    <row r="2748" spans="10:14" x14ac:dyDescent="0.4">
      <c r="J2748" s="26"/>
      <c r="N2748" s="26"/>
    </row>
    <row r="2749" spans="10:14" x14ac:dyDescent="0.4">
      <c r="J2749" s="26"/>
      <c r="N2749" s="26"/>
    </row>
    <row r="2750" spans="10:14" x14ac:dyDescent="0.4">
      <c r="J2750" s="26"/>
      <c r="N2750" s="26"/>
    </row>
    <row r="2751" spans="10:14" x14ac:dyDescent="0.4">
      <c r="J2751" s="26"/>
      <c r="N2751" s="26"/>
    </row>
    <row r="2752" spans="10:14" x14ac:dyDescent="0.4">
      <c r="J2752" s="26"/>
      <c r="N2752" s="26"/>
    </row>
    <row r="2753" spans="10:14" x14ac:dyDescent="0.4">
      <c r="J2753" s="26"/>
      <c r="N2753" s="26"/>
    </row>
    <row r="2754" spans="10:14" x14ac:dyDescent="0.4">
      <c r="J2754" s="26"/>
      <c r="N2754" s="26"/>
    </row>
    <row r="2755" spans="10:14" x14ac:dyDescent="0.4">
      <c r="J2755" s="26"/>
      <c r="N2755" s="26"/>
    </row>
    <row r="2756" spans="10:14" x14ac:dyDescent="0.4">
      <c r="J2756" s="26"/>
      <c r="N2756" s="26"/>
    </row>
    <row r="2757" spans="10:14" x14ac:dyDescent="0.4">
      <c r="J2757" s="26"/>
      <c r="N2757" s="26"/>
    </row>
    <row r="2758" spans="10:14" x14ac:dyDescent="0.4">
      <c r="J2758" s="26"/>
      <c r="N2758" s="26"/>
    </row>
    <row r="2759" spans="10:14" x14ac:dyDescent="0.4">
      <c r="J2759" s="26"/>
      <c r="N2759" s="26"/>
    </row>
    <row r="2760" spans="10:14" x14ac:dyDescent="0.4">
      <c r="J2760" s="26"/>
      <c r="N2760" s="26"/>
    </row>
    <row r="2761" spans="10:14" x14ac:dyDescent="0.4">
      <c r="J2761" s="26"/>
      <c r="N2761" s="26"/>
    </row>
    <row r="2762" spans="10:14" x14ac:dyDescent="0.4">
      <c r="J2762" s="26"/>
      <c r="N2762" s="26"/>
    </row>
    <row r="2763" spans="10:14" x14ac:dyDescent="0.4">
      <c r="J2763" s="26"/>
      <c r="N2763" s="26"/>
    </row>
    <row r="2764" spans="10:14" x14ac:dyDescent="0.4">
      <c r="J2764" s="26"/>
      <c r="N2764" s="26"/>
    </row>
    <row r="2765" spans="10:14" x14ac:dyDescent="0.4">
      <c r="J2765" s="26"/>
      <c r="N2765" s="26"/>
    </row>
    <row r="2766" spans="10:14" x14ac:dyDescent="0.4">
      <c r="J2766" s="26"/>
      <c r="N2766" s="26"/>
    </row>
    <row r="2767" spans="10:14" x14ac:dyDescent="0.4">
      <c r="J2767" s="26"/>
      <c r="N2767" s="26"/>
    </row>
    <row r="2768" spans="10:14" x14ac:dyDescent="0.4">
      <c r="J2768" s="26"/>
      <c r="N2768" s="26"/>
    </row>
    <row r="2769" spans="10:14" x14ac:dyDescent="0.4">
      <c r="J2769" s="26"/>
      <c r="N2769" s="26"/>
    </row>
    <row r="2770" spans="10:14" x14ac:dyDescent="0.4">
      <c r="J2770" s="26"/>
      <c r="N2770" s="26"/>
    </row>
    <row r="2771" spans="10:14" x14ac:dyDescent="0.4">
      <c r="J2771" s="26"/>
      <c r="N2771" s="26"/>
    </row>
    <row r="2772" spans="10:14" x14ac:dyDescent="0.4">
      <c r="J2772" s="26"/>
      <c r="N2772" s="26"/>
    </row>
    <row r="2773" spans="10:14" x14ac:dyDescent="0.4">
      <c r="J2773" s="26"/>
      <c r="N2773" s="26"/>
    </row>
    <row r="2774" spans="10:14" x14ac:dyDescent="0.4">
      <c r="J2774" s="26"/>
      <c r="N2774" s="26"/>
    </row>
    <row r="2775" spans="10:14" x14ac:dyDescent="0.4">
      <c r="J2775" s="26"/>
      <c r="N2775" s="26"/>
    </row>
    <row r="2776" spans="10:14" x14ac:dyDescent="0.4">
      <c r="J2776" s="26"/>
      <c r="N2776" s="26"/>
    </row>
    <row r="2777" spans="10:14" x14ac:dyDescent="0.4">
      <c r="J2777" s="26"/>
      <c r="N2777" s="26"/>
    </row>
    <row r="2778" spans="10:14" x14ac:dyDescent="0.4">
      <c r="J2778" s="26"/>
      <c r="N2778" s="26"/>
    </row>
    <row r="2779" spans="10:14" x14ac:dyDescent="0.4">
      <c r="J2779" s="26"/>
      <c r="N2779" s="26"/>
    </row>
    <row r="2780" spans="10:14" x14ac:dyDescent="0.4">
      <c r="J2780" s="26"/>
      <c r="N2780" s="26"/>
    </row>
    <row r="2781" spans="10:14" x14ac:dyDescent="0.4">
      <c r="J2781" s="26"/>
      <c r="N2781" s="26"/>
    </row>
    <row r="2782" spans="10:14" x14ac:dyDescent="0.4">
      <c r="J2782" s="26"/>
      <c r="N2782" s="26"/>
    </row>
    <row r="2783" spans="10:14" x14ac:dyDescent="0.4">
      <c r="J2783" s="26"/>
      <c r="N2783" s="26"/>
    </row>
    <row r="2784" spans="10:14" x14ac:dyDescent="0.4">
      <c r="J2784" s="26"/>
      <c r="N2784" s="26"/>
    </row>
    <row r="2785" spans="10:14" x14ac:dyDescent="0.4">
      <c r="J2785" s="26"/>
      <c r="N2785" s="26"/>
    </row>
    <row r="2786" spans="10:14" x14ac:dyDescent="0.4">
      <c r="J2786" s="26"/>
      <c r="N2786" s="26"/>
    </row>
    <row r="2787" spans="10:14" x14ac:dyDescent="0.4">
      <c r="J2787" s="26"/>
      <c r="N2787" s="26"/>
    </row>
    <row r="2788" spans="10:14" x14ac:dyDescent="0.4">
      <c r="J2788" s="26"/>
      <c r="N2788" s="26"/>
    </row>
    <row r="2789" spans="10:14" x14ac:dyDescent="0.4">
      <c r="J2789" s="26"/>
      <c r="N2789" s="26"/>
    </row>
    <row r="2790" spans="10:14" x14ac:dyDescent="0.4">
      <c r="J2790" s="26"/>
      <c r="N2790" s="26"/>
    </row>
    <row r="2791" spans="10:14" x14ac:dyDescent="0.4">
      <c r="J2791" s="26"/>
      <c r="N2791" s="26"/>
    </row>
    <row r="2792" spans="10:14" x14ac:dyDescent="0.4">
      <c r="J2792" s="26"/>
      <c r="N2792" s="26"/>
    </row>
    <row r="2793" spans="10:14" x14ac:dyDescent="0.4">
      <c r="J2793" s="26"/>
      <c r="N2793" s="26"/>
    </row>
    <row r="2794" spans="10:14" x14ac:dyDescent="0.4">
      <c r="J2794" s="26"/>
      <c r="N2794" s="26"/>
    </row>
    <row r="2795" spans="10:14" x14ac:dyDescent="0.4">
      <c r="J2795" s="26"/>
      <c r="N2795" s="26"/>
    </row>
    <row r="2796" spans="10:14" x14ac:dyDescent="0.4">
      <c r="J2796" s="26"/>
      <c r="N2796" s="26"/>
    </row>
    <row r="2797" spans="10:14" x14ac:dyDescent="0.4">
      <c r="J2797" s="26"/>
      <c r="N2797" s="26"/>
    </row>
    <row r="2798" spans="10:14" x14ac:dyDescent="0.4">
      <c r="J2798" s="26"/>
      <c r="N2798" s="26"/>
    </row>
    <row r="2799" spans="10:14" x14ac:dyDescent="0.4">
      <c r="J2799" s="26"/>
      <c r="N2799" s="26"/>
    </row>
    <row r="2800" spans="10:14" x14ac:dyDescent="0.4">
      <c r="J2800" s="26"/>
      <c r="N2800" s="26"/>
    </row>
    <row r="2801" spans="10:14" x14ac:dyDescent="0.4">
      <c r="J2801" s="26"/>
      <c r="N2801" s="26"/>
    </row>
    <row r="2802" spans="10:14" x14ac:dyDescent="0.4">
      <c r="J2802" s="26"/>
      <c r="N2802" s="26"/>
    </row>
    <row r="2803" spans="10:14" x14ac:dyDescent="0.4">
      <c r="J2803" s="26"/>
      <c r="N2803" s="26"/>
    </row>
    <row r="2804" spans="10:14" x14ac:dyDescent="0.4">
      <c r="J2804" s="26"/>
      <c r="N2804" s="26"/>
    </row>
    <row r="2805" spans="10:14" x14ac:dyDescent="0.4">
      <c r="J2805" s="26"/>
      <c r="N2805" s="26"/>
    </row>
    <row r="2806" spans="10:14" x14ac:dyDescent="0.4">
      <c r="J2806" s="26"/>
      <c r="N2806" s="26"/>
    </row>
    <row r="2807" spans="10:14" x14ac:dyDescent="0.4">
      <c r="J2807" s="26"/>
      <c r="N2807" s="26"/>
    </row>
    <row r="2808" spans="10:14" x14ac:dyDescent="0.4">
      <c r="J2808" s="26"/>
      <c r="N2808" s="26"/>
    </row>
    <row r="2809" spans="10:14" x14ac:dyDescent="0.4">
      <c r="J2809" s="26"/>
      <c r="N2809" s="26"/>
    </row>
    <row r="2810" spans="10:14" x14ac:dyDescent="0.4">
      <c r="J2810" s="26"/>
      <c r="N2810" s="26"/>
    </row>
    <row r="2811" spans="10:14" x14ac:dyDescent="0.4">
      <c r="J2811" s="26"/>
      <c r="N2811" s="26"/>
    </row>
    <row r="2812" spans="10:14" x14ac:dyDescent="0.4">
      <c r="J2812" s="26"/>
      <c r="N2812" s="26"/>
    </row>
    <row r="2813" spans="10:14" x14ac:dyDescent="0.4">
      <c r="J2813" s="26"/>
      <c r="N2813" s="26"/>
    </row>
    <row r="2814" spans="10:14" x14ac:dyDescent="0.4">
      <c r="J2814" s="26"/>
      <c r="N2814" s="26"/>
    </row>
    <row r="2815" spans="10:14" x14ac:dyDescent="0.4">
      <c r="J2815" s="26"/>
      <c r="N2815" s="26"/>
    </row>
    <row r="2816" spans="10:14" x14ac:dyDescent="0.4">
      <c r="J2816" s="26"/>
      <c r="N2816" s="26"/>
    </row>
    <row r="2817" spans="10:14" x14ac:dyDescent="0.4">
      <c r="J2817" s="26"/>
      <c r="N2817" s="26"/>
    </row>
    <row r="2818" spans="10:14" x14ac:dyDescent="0.4">
      <c r="J2818" s="26"/>
      <c r="N2818" s="26"/>
    </row>
    <row r="2819" spans="10:14" x14ac:dyDescent="0.4">
      <c r="J2819" s="26"/>
      <c r="N2819" s="26"/>
    </row>
    <row r="2820" spans="10:14" x14ac:dyDescent="0.4">
      <c r="J2820" s="26"/>
      <c r="N2820" s="26"/>
    </row>
    <row r="2821" spans="10:14" x14ac:dyDescent="0.4">
      <c r="J2821" s="26"/>
      <c r="N2821" s="26"/>
    </row>
    <row r="2822" spans="10:14" x14ac:dyDescent="0.4">
      <c r="J2822" s="26"/>
      <c r="N2822" s="26"/>
    </row>
    <row r="2823" spans="10:14" x14ac:dyDescent="0.4">
      <c r="J2823" s="26"/>
      <c r="N2823" s="26"/>
    </row>
    <row r="2824" spans="10:14" x14ac:dyDescent="0.4">
      <c r="J2824" s="26"/>
      <c r="N2824" s="26"/>
    </row>
    <row r="2825" spans="10:14" x14ac:dyDescent="0.4">
      <c r="J2825" s="26"/>
      <c r="N2825" s="26"/>
    </row>
    <row r="2826" spans="10:14" x14ac:dyDescent="0.4">
      <c r="J2826" s="26"/>
      <c r="N2826" s="26"/>
    </row>
    <row r="2827" spans="10:14" x14ac:dyDescent="0.4">
      <c r="J2827" s="26"/>
      <c r="N2827" s="26"/>
    </row>
    <row r="2828" spans="10:14" x14ac:dyDescent="0.4">
      <c r="J2828" s="26"/>
      <c r="N2828" s="26"/>
    </row>
    <row r="2829" spans="10:14" x14ac:dyDescent="0.4">
      <c r="J2829" s="26"/>
      <c r="N2829" s="26"/>
    </row>
    <row r="2830" spans="10:14" x14ac:dyDescent="0.4">
      <c r="J2830" s="26"/>
      <c r="N2830" s="26"/>
    </row>
    <row r="2831" spans="10:14" x14ac:dyDescent="0.4">
      <c r="J2831" s="26"/>
      <c r="N2831" s="26"/>
    </row>
    <row r="2832" spans="10:14" x14ac:dyDescent="0.4">
      <c r="J2832" s="26"/>
      <c r="N2832" s="26"/>
    </row>
    <row r="2833" spans="10:14" x14ac:dyDescent="0.4">
      <c r="J2833" s="26"/>
      <c r="N2833" s="26"/>
    </row>
    <row r="2834" spans="10:14" x14ac:dyDescent="0.4">
      <c r="J2834" s="26"/>
      <c r="N2834" s="26"/>
    </row>
    <row r="2835" spans="10:14" x14ac:dyDescent="0.4">
      <c r="J2835" s="26"/>
      <c r="N2835" s="26"/>
    </row>
    <row r="2836" spans="10:14" x14ac:dyDescent="0.4">
      <c r="J2836" s="26"/>
      <c r="N2836" s="26"/>
    </row>
    <row r="2837" spans="10:14" x14ac:dyDescent="0.4">
      <c r="J2837" s="26"/>
      <c r="N2837" s="26"/>
    </row>
    <row r="2838" spans="10:14" x14ac:dyDescent="0.4">
      <c r="J2838" s="26"/>
      <c r="N2838" s="26"/>
    </row>
    <row r="2839" spans="10:14" x14ac:dyDescent="0.4">
      <c r="J2839" s="26"/>
      <c r="N2839" s="26"/>
    </row>
    <row r="2840" spans="10:14" x14ac:dyDescent="0.4">
      <c r="J2840" s="26"/>
      <c r="N2840" s="26"/>
    </row>
    <row r="2841" spans="10:14" x14ac:dyDescent="0.4">
      <c r="J2841" s="26"/>
      <c r="N2841" s="26"/>
    </row>
    <row r="2842" spans="10:14" x14ac:dyDescent="0.4">
      <c r="J2842" s="26"/>
      <c r="N2842" s="26"/>
    </row>
    <row r="2843" spans="10:14" x14ac:dyDescent="0.4">
      <c r="J2843" s="26"/>
      <c r="N2843" s="26"/>
    </row>
    <row r="2844" spans="10:14" x14ac:dyDescent="0.4">
      <c r="J2844" s="26"/>
      <c r="N2844" s="26"/>
    </row>
    <row r="2845" spans="10:14" x14ac:dyDescent="0.4">
      <c r="J2845" s="26"/>
      <c r="N2845" s="26"/>
    </row>
    <row r="2846" spans="10:14" x14ac:dyDescent="0.4">
      <c r="J2846" s="26"/>
      <c r="N2846" s="26"/>
    </row>
    <row r="2847" spans="10:14" x14ac:dyDescent="0.4">
      <c r="J2847" s="26"/>
      <c r="N2847" s="26"/>
    </row>
    <row r="2848" spans="10:14" x14ac:dyDescent="0.4">
      <c r="J2848" s="26"/>
      <c r="N2848" s="26"/>
    </row>
    <row r="2849" spans="10:14" x14ac:dyDescent="0.4">
      <c r="J2849" s="26"/>
      <c r="N2849" s="26"/>
    </row>
    <row r="2850" spans="10:14" x14ac:dyDescent="0.4">
      <c r="J2850" s="26"/>
      <c r="N2850" s="26"/>
    </row>
    <row r="2851" spans="10:14" x14ac:dyDescent="0.4">
      <c r="J2851" s="26"/>
      <c r="N2851" s="26"/>
    </row>
    <row r="2852" spans="10:14" x14ac:dyDescent="0.4">
      <c r="J2852" s="26"/>
      <c r="N2852" s="26"/>
    </row>
    <row r="2853" spans="10:14" x14ac:dyDescent="0.4">
      <c r="J2853" s="26"/>
      <c r="N2853" s="26"/>
    </row>
    <row r="2854" spans="10:14" x14ac:dyDescent="0.4">
      <c r="J2854" s="26"/>
      <c r="N2854" s="26"/>
    </row>
    <row r="2855" spans="10:14" x14ac:dyDescent="0.4">
      <c r="J2855" s="26"/>
      <c r="N2855" s="26"/>
    </row>
    <row r="2856" spans="10:14" x14ac:dyDescent="0.4">
      <c r="J2856" s="26"/>
      <c r="N2856" s="26"/>
    </row>
    <row r="2857" spans="10:14" x14ac:dyDescent="0.4">
      <c r="J2857" s="26"/>
      <c r="N2857" s="26"/>
    </row>
    <row r="2858" spans="10:14" x14ac:dyDescent="0.4">
      <c r="J2858" s="26"/>
      <c r="N2858" s="26"/>
    </row>
    <row r="2859" spans="10:14" x14ac:dyDescent="0.4">
      <c r="J2859" s="26"/>
      <c r="N2859" s="26"/>
    </row>
    <row r="2860" spans="10:14" x14ac:dyDescent="0.4">
      <c r="J2860" s="26"/>
      <c r="N2860" s="26"/>
    </row>
    <row r="2861" spans="10:14" x14ac:dyDescent="0.4">
      <c r="J2861" s="26"/>
      <c r="N2861" s="26"/>
    </row>
    <row r="2862" spans="10:14" x14ac:dyDescent="0.4">
      <c r="J2862" s="26"/>
      <c r="N2862" s="26"/>
    </row>
    <row r="2863" spans="10:14" x14ac:dyDescent="0.4">
      <c r="J2863" s="26"/>
      <c r="N2863" s="26"/>
    </row>
    <row r="2864" spans="10:14" x14ac:dyDescent="0.4">
      <c r="J2864" s="26"/>
      <c r="N2864" s="26"/>
    </row>
    <row r="2865" spans="10:14" x14ac:dyDescent="0.4">
      <c r="J2865" s="26"/>
      <c r="N2865" s="26"/>
    </row>
    <row r="2866" spans="10:14" x14ac:dyDescent="0.4">
      <c r="J2866" s="26"/>
      <c r="N2866" s="26"/>
    </row>
    <row r="2867" spans="10:14" x14ac:dyDescent="0.4">
      <c r="J2867" s="26"/>
      <c r="N2867" s="26"/>
    </row>
    <row r="2868" spans="10:14" x14ac:dyDescent="0.4">
      <c r="J2868" s="26"/>
      <c r="N2868" s="26"/>
    </row>
    <row r="2869" spans="10:14" x14ac:dyDescent="0.4">
      <c r="J2869" s="26"/>
      <c r="N2869" s="26"/>
    </row>
    <row r="2870" spans="10:14" x14ac:dyDescent="0.4">
      <c r="J2870" s="26"/>
      <c r="N2870" s="26"/>
    </row>
    <row r="2871" spans="10:14" x14ac:dyDescent="0.4">
      <c r="J2871" s="26"/>
      <c r="N2871" s="26"/>
    </row>
    <row r="2872" spans="10:14" x14ac:dyDescent="0.4">
      <c r="J2872" s="26"/>
      <c r="N2872" s="26"/>
    </row>
    <row r="2873" spans="10:14" x14ac:dyDescent="0.4">
      <c r="J2873" s="26"/>
      <c r="N2873" s="26"/>
    </row>
    <row r="2874" spans="10:14" x14ac:dyDescent="0.4">
      <c r="J2874" s="26"/>
      <c r="N2874" s="26"/>
    </row>
    <row r="2875" spans="10:14" x14ac:dyDescent="0.4">
      <c r="J2875" s="26"/>
      <c r="N2875" s="26"/>
    </row>
    <row r="2876" spans="10:14" x14ac:dyDescent="0.4">
      <c r="J2876" s="26"/>
      <c r="N2876" s="26"/>
    </row>
    <row r="2877" spans="10:14" x14ac:dyDescent="0.4">
      <c r="J2877" s="26"/>
      <c r="N2877" s="26"/>
    </row>
    <row r="2878" spans="10:14" x14ac:dyDescent="0.4">
      <c r="J2878" s="26"/>
      <c r="N2878" s="26"/>
    </row>
    <row r="2879" spans="10:14" x14ac:dyDescent="0.4">
      <c r="J2879" s="26"/>
      <c r="N2879" s="26"/>
    </row>
    <row r="2880" spans="10:14" x14ac:dyDescent="0.4">
      <c r="J2880" s="26"/>
      <c r="N2880" s="26"/>
    </row>
    <row r="2881" spans="10:14" x14ac:dyDescent="0.4">
      <c r="J2881" s="26"/>
      <c r="N2881" s="26"/>
    </row>
    <row r="2882" spans="10:14" x14ac:dyDescent="0.4">
      <c r="J2882" s="26"/>
      <c r="N2882" s="26"/>
    </row>
    <row r="2883" spans="10:14" x14ac:dyDescent="0.4">
      <c r="J2883" s="26"/>
      <c r="N2883" s="26"/>
    </row>
    <row r="2884" spans="10:14" x14ac:dyDescent="0.4">
      <c r="J2884" s="26"/>
      <c r="N2884" s="26"/>
    </row>
    <row r="2885" spans="10:14" x14ac:dyDescent="0.4">
      <c r="J2885" s="26"/>
      <c r="N2885" s="26"/>
    </row>
    <row r="2886" spans="10:14" x14ac:dyDescent="0.4">
      <c r="J2886" s="26"/>
      <c r="N2886" s="26"/>
    </row>
    <row r="2887" spans="10:14" x14ac:dyDescent="0.4">
      <c r="J2887" s="26"/>
      <c r="N2887" s="26"/>
    </row>
    <row r="2888" spans="10:14" x14ac:dyDescent="0.4">
      <c r="J2888" s="26"/>
      <c r="N2888" s="26"/>
    </row>
    <row r="2889" spans="10:14" x14ac:dyDescent="0.4">
      <c r="J2889" s="26"/>
      <c r="N2889" s="26"/>
    </row>
    <row r="2890" spans="10:14" x14ac:dyDescent="0.4">
      <c r="J2890" s="26"/>
      <c r="N2890" s="26"/>
    </row>
    <row r="2891" spans="10:14" x14ac:dyDescent="0.4">
      <c r="J2891" s="26"/>
      <c r="N2891" s="26"/>
    </row>
    <row r="2892" spans="10:14" x14ac:dyDescent="0.4">
      <c r="J2892" s="26"/>
      <c r="N2892" s="26"/>
    </row>
    <row r="2893" spans="10:14" x14ac:dyDescent="0.4">
      <c r="J2893" s="26"/>
      <c r="N2893" s="26"/>
    </row>
    <row r="2894" spans="10:14" x14ac:dyDescent="0.4">
      <c r="J2894" s="26"/>
      <c r="N2894" s="26"/>
    </row>
    <row r="2895" spans="10:14" x14ac:dyDescent="0.4">
      <c r="J2895" s="26"/>
      <c r="N2895" s="26"/>
    </row>
    <row r="2896" spans="10:14" x14ac:dyDescent="0.4">
      <c r="J2896" s="26"/>
      <c r="N2896" s="26"/>
    </row>
    <row r="2897" spans="10:14" x14ac:dyDescent="0.4">
      <c r="J2897" s="26"/>
      <c r="N2897" s="26"/>
    </row>
    <row r="2898" spans="10:14" x14ac:dyDescent="0.4">
      <c r="J2898" s="26"/>
      <c r="N2898" s="26"/>
    </row>
    <row r="2899" spans="10:14" x14ac:dyDescent="0.4">
      <c r="J2899" s="26"/>
      <c r="N2899" s="26"/>
    </row>
    <row r="2900" spans="10:14" x14ac:dyDescent="0.4">
      <c r="J2900" s="26"/>
      <c r="N2900" s="26"/>
    </row>
    <row r="2901" spans="10:14" x14ac:dyDescent="0.4">
      <c r="J2901" s="26"/>
      <c r="N2901" s="26"/>
    </row>
    <row r="2902" spans="10:14" x14ac:dyDescent="0.4">
      <c r="J2902" s="26"/>
      <c r="N2902" s="26"/>
    </row>
    <row r="2903" spans="10:14" x14ac:dyDescent="0.4">
      <c r="J2903" s="26"/>
      <c r="N2903" s="26"/>
    </row>
    <row r="2904" spans="10:14" x14ac:dyDescent="0.4">
      <c r="J2904" s="26"/>
      <c r="N2904" s="26"/>
    </row>
    <row r="2905" spans="10:14" x14ac:dyDescent="0.4">
      <c r="J2905" s="26"/>
      <c r="N2905" s="26"/>
    </row>
    <row r="2906" spans="10:14" x14ac:dyDescent="0.4">
      <c r="J2906" s="26"/>
      <c r="N2906" s="26"/>
    </row>
    <row r="2907" spans="10:14" x14ac:dyDescent="0.4">
      <c r="J2907" s="26"/>
      <c r="N2907" s="26"/>
    </row>
    <row r="2908" spans="10:14" x14ac:dyDescent="0.4">
      <c r="J2908" s="26"/>
      <c r="N2908" s="26"/>
    </row>
    <row r="2909" spans="10:14" x14ac:dyDescent="0.4">
      <c r="J2909" s="26"/>
      <c r="N2909" s="26"/>
    </row>
    <row r="2910" spans="10:14" x14ac:dyDescent="0.4">
      <c r="J2910" s="26"/>
      <c r="N2910" s="26"/>
    </row>
    <row r="2911" spans="10:14" x14ac:dyDescent="0.4">
      <c r="J2911" s="26"/>
      <c r="N2911" s="26"/>
    </row>
    <row r="2912" spans="10:14" x14ac:dyDescent="0.4">
      <c r="J2912" s="26"/>
      <c r="N2912" s="26"/>
    </row>
    <row r="2913" spans="10:14" x14ac:dyDescent="0.4">
      <c r="J2913" s="26"/>
      <c r="N2913" s="26"/>
    </row>
    <row r="2914" spans="10:14" x14ac:dyDescent="0.4">
      <c r="J2914" s="26"/>
      <c r="N2914" s="26"/>
    </row>
    <row r="2915" spans="10:14" x14ac:dyDescent="0.4">
      <c r="J2915" s="26"/>
      <c r="N2915" s="26"/>
    </row>
    <row r="2916" spans="10:14" x14ac:dyDescent="0.4">
      <c r="J2916" s="26"/>
      <c r="N2916" s="26"/>
    </row>
    <row r="2917" spans="10:14" x14ac:dyDescent="0.4">
      <c r="J2917" s="26"/>
      <c r="N2917" s="26"/>
    </row>
    <row r="2918" spans="10:14" x14ac:dyDescent="0.4">
      <c r="J2918" s="26"/>
      <c r="N2918" s="26"/>
    </row>
    <row r="2919" spans="10:14" x14ac:dyDescent="0.4">
      <c r="J2919" s="26"/>
      <c r="N2919" s="26"/>
    </row>
    <row r="2920" spans="10:14" x14ac:dyDescent="0.4">
      <c r="J2920" s="26"/>
      <c r="N2920" s="26"/>
    </row>
    <row r="2921" spans="10:14" x14ac:dyDescent="0.4">
      <c r="J2921" s="26"/>
      <c r="N2921" s="26"/>
    </row>
    <row r="2922" spans="10:14" x14ac:dyDescent="0.4">
      <c r="J2922" s="26"/>
      <c r="N2922" s="26"/>
    </row>
    <row r="2923" spans="10:14" x14ac:dyDescent="0.4">
      <c r="J2923" s="26"/>
      <c r="N2923" s="26"/>
    </row>
    <row r="2924" spans="10:14" x14ac:dyDescent="0.4">
      <c r="J2924" s="26"/>
      <c r="N2924" s="26"/>
    </row>
    <row r="2925" spans="10:14" x14ac:dyDescent="0.4">
      <c r="J2925" s="26"/>
      <c r="N2925" s="26"/>
    </row>
    <row r="2926" spans="10:14" x14ac:dyDescent="0.4">
      <c r="J2926" s="26"/>
      <c r="N2926" s="26"/>
    </row>
    <row r="2927" spans="10:14" x14ac:dyDescent="0.4">
      <c r="J2927" s="26"/>
      <c r="N2927" s="26"/>
    </row>
    <row r="2928" spans="10:14" x14ac:dyDescent="0.4">
      <c r="J2928" s="26"/>
      <c r="N2928" s="26"/>
    </row>
    <row r="2929" spans="10:14" x14ac:dyDescent="0.4">
      <c r="J2929" s="26"/>
      <c r="N2929" s="26"/>
    </row>
    <row r="2930" spans="10:14" x14ac:dyDescent="0.4">
      <c r="J2930" s="26"/>
      <c r="N2930" s="26"/>
    </row>
    <row r="2931" spans="10:14" x14ac:dyDescent="0.4">
      <c r="J2931" s="26"/>
      <c r="N2931" s="26"/>
    </row>
    <row r="2932" spans="10:14" x14ac:dyDescent="0.4">
      <c r="J2932" s="26"/>
      <c r="N2932" s="26"/>
    </row>
    <row r="2933" spans="10:14" x14ac:dyDescent="0.4">
      <c r="J2933" s="26"/>
      <c r="N2933" s="26"/>
    </row>
    <row r="2934" spans="10:14" x14ac:dyDescent="0.4">
      <c r="J2934" s="26"/>
      <c r="N2934" s="26"/>
    </row>
    <row r="2935" spans="10:14" x14ac:dyDescent="0.4">
      <c r="J2935" s="26"/>
      <c r="N2935" s="26"/>
    </row>
    <row r="2936" spans="10:14" x14ac:dyDescent="0.4">
      <c r="J2936" s="26"/>
      <c r="N2936" s="26"/>
    </row>
    <row r="2937" spans="10:14" x14ac:dyDescent="0.4">
      <c r="J2937" s="26"/>
      <c r="N2937" s="26"/>
    </row>
    <row r="2938" spans="10:14" x14ac:dyDescent="0.4">
      <c r="J2938" s="26"/>
      <c r="N2938" s="26"/>
    </row>
    <row r="2939" spans="10:14" x14ac:dyDescent="0.4">
      <c r="J2939" s="26"/>
      <c r="N2939" s="26"/>
    </row>
    <row r="2940" spans="10:14" x14ac:dyDescent="0.4">
      <c r="J2940" s="26"/>
      <c r="N2940" s="26"/>
    </row>
    <row r="2941" spans="10:14" x14ac:dyDescent="0.4">
      <c r="J2941" s="26"/>
      <c r="N2941" s="26"/>
    </row>
    <row r="2942" spans="10:14" x14ac:dyDescent="0.4">
      <c r="J2942" s="26"/>
      <c r="N2942" s="26"/>
    </row>
    <row r="2943" spans="10:14" x14ac:dyDescent="0.4">
      <c r="J2943" s="26"/>
      <c r="N2943" s="26"/>
    </row>
    <row r="2944" spans="10:14" x14ac:dyDescent="0.4">
      <c r="J2944" s="26"/>
      <c r="N2944" s="26"/>
    </row>
    <row r="2945" spans="10:14" x14ac:dyDescent="0.4">
      <c r="J2945" s="26"/>
      <c r="N2945" s="26"/>
    </row>
    <row r="2946" spans="10:14" x14ac:dyDescent="0.4">
      <c r="J2946" s="26"/>
      <c r="N2946" s="26"/>
    </row>
    <row r="2947" spans="10:14" x14ac:dyDescent="0.4">
      <c r="J2947" s="26"/>
      <c r="N2947" s="26"/>
    </row>
    <row r="2948" spans="10:14" x14ac:dyDescent="0.4">
      <c r="J2948" s="26"/>
      <c r="N2948" s="26"/>
    </row>
    <row r="2949" spans="10:14" x14ac:dyDescent="0.4">
      <c r="J2949" s="26"/>
      <c r="N2949" s="26"/>
    </row>
    <row r="2950" spans="10:14" x14ac:dyDescent="0.4">
      <c r="J2950" s="26"/>
      <c r="N2950" s="26"/>
    </row>
    <row r="2951" spans="10:14" x14ac:dyDescent="0.4">
      <c r="J2951" s="26"/>
      <c r="N2951" s="26"/>
    </row>
    <row r="2952" spans="10:14" x14ac:dyDescent="0.4">
      <c r="J2952" s="26"/>
      <c r="N2952" s="26"/>
    </row>
    <row r="2953" spans="10:14" x14ac:dyDescent="0.4">
      <c r="J2953" s="26"/>
      <c r="N2953" s="26"/>
    </row>
    <row r="2954" spans="10:14" x14ac:dyDescent="0.4">
      <c r="J2954" s="26"/>
      <c r="N2954" s="26"/>
    </row>
    <row r="2955" spans="10:14" x14ac:dyDescent="0.4">
      <c r="J2955" s="26"/>
      <c r="N2955" s="26"/>
    </row>
    <row r="2956" spans="10:14" x14ac:dyDescent="0.4">
      <c r="J2956" s="26"/>
      <c r="N2956" s="26"/>
    </row>
    <row r="2957" spans="10:14" x14ac:dyDescent="0.4">
      <c r="J2957" s="26"/>
      <c r="N2957" s="26"/>
    </row>
    <row r="2958" spans="10:14" x14ac:dyDescent="0.4">
      <c r="J2958" s="26"/>
      <c r="N2958" s="26"/>
    </row>
    <row r="2959" spans="10:14" x14ac:dyDescent="0.4">
      <c r="J2959" s="26"/>
      <c r="N2959" s="26"/>
    </row>
    <row r="2960" spans="10:14" x14ac:dyDescent="0.4">
      <c r="J2960" s="26"/>
      <c r="N2960" s="26"/>
    </row>
    <row r="2961" spans="10:14" x14ac:dyDescent="0.4">
      <c r="J2961" s="26"/>
      <c r="N2961" s="26"/>
    </row>
    <row r="2962" spans="10:14" x14ac:dyDescent="0.4">
      <c r="J2962" s="26"/>
      <c r="N2962" s="26"/>
    </row>
    <row r="2963" spans="10:14" x14ac:dyDescent="0.4">
      <c r="J2963" s="26"/>
      <c r="N2963" s="26"/>
    </row>
    <row r="2964" spans="10:14" x14ac:dyDescent="0.4">
      <c r="J2964" s="26"/>
      <c r="N2964" s="26"/>
    </row>
    <row r="2965" spans="10:14" x14ac:dyDescent="0.4">
      <c r="J2965" s="26"/>
      <c r="N2965" s="26"/>
    </row>
    <row r="2966" spans="10:14" x14ac:dyDescent="0.4">
      <c r="J2966" s="26"/>
      <c r="N2966" s="26"/>
    </row>
    <row r="2967" spans="10:14" x14ac:dyDescent="0.4">
      <c r="J2967" s="26"/>
      <c r="N2967" s="26"/>
    </row>
    <row r="2968" spans="10:14" x14ac:dyDescent="0.4">
      <c r="J2968" s="26"/>
      <c r="N2968" s="26"/>
    </row>
    <row r="2969" spans="10:14" x14ac:dyDescent="0.4">
      <c r="J2969" s="26"/>
      <c r="N2969" s="26"/>
    </row>
    <row r="2970" spans="10:14" x14ac:dyDescent="0.4">
      <c r="J2970" s="26"/>
      <c r="N2970" s="26"/>
    </row>
    <row r="2971" spans="10:14" x14ac:dyDescent="0.4">
      <c r="J2971" s="26"/>
      <c r="N2971" s="26"/>
    </row>
    <row r="2972" spans="10:14" x14ac:dyDescent="0.4">
      <c r="J2972" s="26"/>
      <c r="N2972" s="26"/>
    </row>
    <row r="2973" spans="10:14" x14ac:dyDescent="0.4">
      <c r="J2973" s="26"/>
      <c r="N2973" s="26"/>
    </row>
    <row r="2974" spans="10:14" x14ac:dyDescent="0.4">
      <c r="J2974" s="26"/>
      <c r="N2974" s="26"/>
    </row>
    <row r="2975" spans="10:14" x14ac:dyDescent="0.4">
      <c r="J2975" s="26"/>
      <c r="N2975" s="26"/>
    </row>
    <row r="2976" spans="10:14" x14ac:dyDescent="0.4">
      <c r="J2976" s="26"/>
      <c r="N2976" s="26"/>
    </row>
    <row r="2977" spans="10:14" x14ac:dyDescent="0.4">
      <c r="J2977" s="26"/>
      <c r="N2977" s="26"/>
    </row>
    <row r="2978" spans="10:14" x14ac:dyDescent="0.4">
      <c r="J2978" s="26"/>
      <c r="N2978" s="26"/>
    </row>
    <row r="2979" spans="10:14" x14ac:dyDescent="0.4">
      <c r="J2979" s="26"/>
      <c r="N2979" s="26"/>
    </row>
    <row r="2980" spans="10:14" x14ac:dyDescent="0.4">
      <c r="J2980" s="26"/>
      <c r="N2980" s="26"/>
    </row>
    <row r="2981" spans="10:14" x14ac:dyDescent="0.4">
      <c r="J2981" s="26"/>
      <c r="N2981" s="26"/>
    </row>
    <row r="2982" spans="10:14" x14ac:dyDescent="0.4">
      <c r="J2982" s="26"/>
      <c r="N2982" s="26"/>
    </row>
    <row r="2983" spans="10:14" x14ac:dyDescent="0.4">
      <c r="J2983" s="26"/>
      <c r="N2983" s="26"/>
    </row>
    <row r="2984" spans="10:14" x14ac:dyDescent="0.4">
      <c r="J2984" s="26"/>
      <c r="N2984" s="26"/>
    </row>
    <row r="2985" spans="10:14" x14ac:dyDescent="0.4">
      <c r="J2985" s="26"/>
      <c r="N2985" s="26"/>
    </row>
    <row r="2986" spans="10:14" x14ac:dyDescent="0.4">
      <c r="J2986" s="26"/>
      <c r="N2986" s="26"/>
    </row>
    <row r="2987" spans="10:14" x14ac:dyDescent="0.4">
      <c r="J2987" s="26"/>
      <c r="N2987" s="26"/>
    </row>
    <row r="2988" spans="10:14" x14ac:dyDescent="0.4">
      <c r="J2988" s="26"/>
      <c r="N2988" s="26"/>
    </row>
    <row r="2989" spans="10:14" x14ac:dyDescent="0.4">
      <c r="J2989" s="26"/>
      <c r="N2989" s="26"/>
    </row>
    <row r="2990" spans="10:14" x14ac:dyDescent="0.4">
      <c r="J2990" s="26"/>
      <c r="N2990" s="26"/>
    </row>
    <row r="2991" spans="10:14" x14ac:dyDescent="0.4">
      <c r="J2991" s="26"/>
      <c r="N2991" s="26"/>
    </row>
    <row r="2992" spans="10:14" x14ac:dyDescent="0.4">
      <c r="J2992" s="26"/>
      <c r="N2992" s="26"/>
    </row>
    <row r="2993" spans="10:14" x14ac:dyDescent="0.4">
      <c r="J2993" s="26"/>
      <c r="N2993" s="26"/>
    </row>
    <row r="2994" spans="10:14" x14ac:dyDescent="0.4">
      <c r="J2994" s="26"/>
      <c r="N2994" s="26"/>
    </row>
    <row r="2995" spans="10:14" x14ac:dyDescent="0.4">
      <c r="J2995" s="26"/>
      <c r="N2995" s="26"/>
    </row>
    <row r="2996" spans="10:14" x14ac:dyDescent="0.4">
      <c r="J2996" s="26"/>
      <c r="N2996" s="26"/>
    </row>
    <row r="2997" spans="10:14" x14ac:dyDescent="0.4">
      <c r="J2997" s="26"/>
      <c r="N2997" s="26"/>
    </row>
    <row r="2998" spans="10:14" x14ac:dyDescent="0.4">
      <c r="J2998" s="26"/>
      <c r="N2998" s="26"/>
    </row>
    <row r="2999" spans="10:14" x14ac:dyDescent="0.4">
      <c r="J2999" s="26"/>
      <c r="N2999" s="26"/>
    </row>
    <row r="3000" spans="10:14" x14ac:dyDescent="0.4">
      <c r="J3000" s="26"/>
      <c r="N3000" s="26"/>
    </row>
    <row r="3001" spans="10:14" x14ac:dyDescent="0.4">
      <c r="J3001" s="26"/>
      <c r="N3001" s="26"/>
    </row>
    <row r="3002" spans="10:14" x14ac:dyDescent="0.4">
      <c r="J3002" s="26"/>
      <c r="N3002" s="26"/>
    </row>
    <row r="3003" spans="10:14" x14ac:dyDescent="0.4">
      <c r="J3003" s="26"/>
      <c r="N3003" s="26"/>
    </row>
    <row r="3004" spans="10:14" x14ac:dyDescent="0.4">
      <c r="J3004" s="26"/>
      <c r="N3004" s="26"/>
    </row>
    <row r="3005" spans="10:14" x14ac:dyDescent="0.4">
      <c r="J3005" s="26"/>
      <c r="N3005" s="26"/>
    </row>
    <row r="3006" spans="10:14" x14ac:dyDescent="0.4">
      <c r="J3006" s="26"/>
      <c r="N3006" s="26"/>
    </row>
    <row r="3007" spans="10:14" x14ac:dyDescent="0.4">
      <c r="J3007" s="26"/>
      <c r="N3007" s="26"/>
    </row>
    <row r="3008" spans="10:14" x14ac:dyDescent="0.4">
      <c r="J3008" s="26"/>
      <c r="N3008" s="26"/>
    </row>
    <row r="3009" spans="10:14" x14ac:dyDescent="0.4">
      <c r="J3009" s="26"/>
      <c r="N3009" s="26"/>
    </row>
    <row r="3010" spans="10:14" x14ac:dyDescent="0.4">
      <c r="J3010" s="26"/>
      <c r="N3010" s="26"/>
    </row>
    <row r="3011" spans="10:14" x14ac:dyDescent="0.4">
      <c r="J3011" s="26"/>
      <c r="N3011" s="26"/>
    </row>
    <row r="3012" spans="10:14" x14ac:dyDescent="0.4">
      <c r="J3012" s="26"/>
      <c r="N3012" s="26"/>
    </row>
    <row r="3013" spans="10:14" x14ac:dyDescent="0.4">
      <c r="J3013" s="26"/>
      <c r="N3013" s="26"/>
    </row>
    <row r="3014" spans="10:14" x14ac:dyDescent="0.4">
      <c r="J3014" s="26"/>
      <c r="N3014" s="26"/>
    </row>
    <row r="3015" spans="10:14" x14ac:dyDescent="0.4">
      <c r="J3015" s="26"/>
      <c r="N3015" s="26"/>
    </row>
    <row r="3016" spans="10:14" x14ac:dyDescent="0.4">
      <c r="J3016" s="26"/>
      <c r="N3016" s="26"/>
    </row>
    <row r="3017" spans="10:14" x14ac:dyDescent="0.4">
      <c r="J3017" s="26"/>
      <c r="N3017" s="26"/>
    </row>
    <row r="3018" spans="10:14" x14ac:dyDescent="0.4">
      <c r="J3018" s="26"/>
      <c r="N3018" s="26"/>
    </row>
    <row r="3019" spans="10:14" x14ac:dyDescent="0.4">
      <c r="J3019" s="26"/>
      <c r="N3019" s="26"/>
    </row>
    <row r="3020" spans="10:14" x14ac:dyDescent="0.4">
      <c r="J3020" s="26"/>
      <c r="N3020" s="26"/>
    </row>
    <row r="3021" spans="10:14" x14ac:dyDescent="0.4">
      <c r="J3021" s="26"/>
      <c r="N3021" s="26"/>
    </row>
    <row r="3022" spans="10:14" x14ac:dyDescent="0.4">
      <c r="J3022" s="26"/>
      <c r="N3022" s="26"/>
    </row>
    <row r="3023" spans="10:14" x14ac:dyDescent="0.4">
      <c r="J3023" s="26"/>
      <c r="N3023" s="26"/>
    </row>
    <row r="3024" spans="10:14" x14ac:dyDescent="0.4">
      <c r="J3024" s="26"/>
      <c r="N3024" s="26"/>
    </row>
    <row r="3025" spans="10:14" x14ac:dyDescent="0.4">
      <c r="J3025" s="26"/>
      <c r="N3025" s="26"/>
    </row>
    <row r="3026" spans="10:14" x14ac:dyDescent="0.4">
      <c r="J3026" s="26"/>
      <c r="N3026" s="26"/>
    </row>
    <row r="3027" spans="10:14" x14ac:dyDescent="0.4">
      <c r="J3027" s="26"/>
      <c r="N3027" s="26"/>
    </row>
    <row r="3028" spans="10:14" x14ac:dyDescent="0.4">
      <c r="J3028" s="26"/>
      <c r="N3028" s="26"/>
    </row>
    <row r="3029" spans="10:14" x14ac:dyDescent="0.4">
      <c r="J3029" s="26"/>
      <c r="N3029" s="26"/>
    </row>
    <row r="3030" spans="10:14" x14ac:dyDescent="0.4">
      <c r="J3030" s="26"/>
      <c r="N3030" s="26"/>
    </row>
    <row r="3031" spans="10:14" x14ac:dyDescent="0.4">
      <c r="J3031" s="26"/>
      <c r="N3031" s="26"/>
    </row>
    <row r="3032" spans="10:14" x14ac:dyDescent="0.4">
      <c r="J3032" s="26"/>
      <c r="N3032" s="26"/>
    </row>
    <row r="3033" spans="10:14" x14ac:dyDescent="0.4">
      <c r="J3033" s="26"/>
      <c r="N3033" s="26"/>
    </row>
    <row r="3034" spans="10:14" x14ac:dyDescent="0.4">
      <c r="J3034" s="26"/>
      <c r="N3034" s="26"/>
    </row>
    <row r="3035" spans="10:14" x14ac:dyDescent="0.4">
      <c r="J3035" s="26"/>
      <c r="N3035" s="26"/>
    </row>
    <row r="3036" spans="10:14" x14ac:dyDescent="0.4">
      <c r="J3036" s="26"/>
      <c r="N3036" s="26"/>
    </row>
    <row r="3037" spans="10:14" x14ac:dyDescent="0.4">
      <c r="J3037" s="26"/>
      <c r="N3037" s="26"/>
    </row>
    <row r="3038" spans="10:14" x14ac:dyDescent="0.4">
      <c r="J3038" s="26"/>
      <c r="N3038" s="26"/>
    </row>
    <row r="3039" spans="10:14" x14ac:dyDescent="0.4">
      <c r="J3039" s="26"/>
      <c r="N3039" s="26"/>
    </row>
    <row r="3040" spans="10:14" x14ac:dyDescent="0.4">
      <c r="J3040" s="26"/>
      <c r="N3040" s="26"/>
    </row>
    <row r="3041" spans="10:14" x14ac:dyDescent="0.4">
      <c r="J3041" s="26"/>
      <c r="N3041" s="26"/>
    </row>
    <row r="3042" spans="10:14" x14ac:dyDescent="0.4">
      <c r="J3042" s="26"/>
      <c r="N3042" s="26"/>
    </row>
    <row r="3043" spans="10:14" x14ac:dyDescent="0.4">
      <c r="J3043" s="26"/>
      <c r="N3043" s="26"/>
    </row>
    <row r="3044" spans="10:14" x14ac:dyDescent="0.4">
      <c r="J3044" s="26"/>
      <c r="N3044" s="26"/>
    </row>
    <row r="3045" spans="10:14" x14ac:dyDescent="0.4">
      <c r="J3045" s="26"/>
      <c r="N3045" s="26"/>
    </row>
    <row r="3046" spans="10:14" x14ac:dyDescent="0.4">
      <c r="J3046" s="26"/>
      <c r="N3046" s="26"/>
    </row>
    <row r="3047" spans="10:14" x14ac:dyDescent="0.4">
      <c r="J3047" s="26"/>
      <c r="N3047" s="26"/>
    </row>
    <row r="3048" spans="10:14" x14ac:dyDescent="0.4">
      <c r="J3048" s="26"/>
      <c r="N3048" s="26"/>
    </row>
    <row r="3049" spans="10:14" x14ac:dyDescent="0.4">
      <c r="J3049" s="26"/>
      <c r="N3049" s="26"/>
    </row>
    <row r="3050" spans="10:14" x14ac:dyDescent="0.4">
      <c r="J3050" s="26"/>
      <c r="N3050" s="26"/>
    </row>
    <row r="3051" spans="10:14" x14ac:dyDescent="0.4">
      <c r="J3051" s="26"/>
      <c r="N3051" s="26"/>
    </row>
    <row r="3052" spans="10:14" x14ac:dyDescent="0.4">
      <c r="J3052" s="26"/>
      <c r="N3052" s="26"/>
    </row>
    <row r="3053" spans="10:14" x14ac:dyDescent="0.4">
      <c r="J3053" s="26"/>
      <c r="N3053" s="26"/>
    </row>
    <row r="3054" spans="10:14" x14ac:dyDescent="0.4">
      <c r="J3054" s="26"/>
      <c r="N3054" s="26"/>
    </row>
    <row r="3055" spans="10:14" x14ac:dyDescent="0.4">
      <c r="J3055" s="26"/>
      <c r="N3055" s="26"/>
    </row>
    <row r="3056" spans="10:14" x14ac:dyDescent="0.4">
      <c r="J3056" s="26"/>
      <c r="N3056" s="26"/>
    </row>
    <row r="3057" spans="10:14" x14ac:dyDescent="0.4">
      <c r="J3057" s="26"/>
      <c r="N3057" s="26"/>
    </row>
    <row r="3058" spans="10:14" x14ac:dyDescent="0.4">
      <c r="J3058" s="26"/>
      <c r="N3058" s="26"/>
    </row>
    <row r="3059" spans="10:14" x14ac:dyDescent="0.4">
      <c r="J3059" s="26"/>
      <c r="N3059" s="26"/>
    </row>
    <row r="3060" spans="10:14" x14ac:dyDescent="0.4">
      <c r="J3060" s="26"/>
      <c r="N3060" s="26"/>
    </row>
    <row r="3061" spans="10:14" x14ac:dyDescent="0.4">
      <c r="J3061" s="26"/>
      <c r="N3061" s="26"/>
    </row>
    <row r="3062" spans="10:14" x14ac:dyDescent="0.4">
      <c r="J3062" s="26"/>
      <c r="N3062" s="26"/>
    </row>
    <row r="3063" spans="10:14" x14ac:dyDescent="0.4">
      <c r="J3063" s="26"/>
      <c r="N3063" s="26"/>
    </row>
    <row r="3064" spans="10:14" x14ac:dyDescent="0.4">
      <c r="J3064" s="26"/>
      <c r="N3064" s="26"/>
    </row>
    <row r="3065" spans="10:14" x14ac:dyDescent="0.4">
      <c r="J3065" s="26"/>
      <c r="N3065" s="26"/>
    </row>
    <row r="3066" spans="10:14" x14ac:dyDescent="0.4">
      <c r="J3066" s="26"/>
      <c r="N3066" s="26"/>
    </row>
    <row r="3067" spans="10:14" x14ac:dyDescent="0.4">
      <c r="J3067" s="26"/>
      <c r="N3067" s="26"/>
    </row>
    <row r="3068" spans="10:14" x14ac:dyDescent="0.4">
      <c r="J3068" s="26"/>
      <c r="N3068" s="26"/>
    </row>
    <row r="3069" spans="10:14" x14ac:dyDescent="0.4">
      <c r="J3069" s="26"/>
      <c r="N3069" s="26"/>
    </row>
    <row r="3070" spans="10:14" x14ac:dyDescent="0.4">
      <c r="J3070" s="26"/>
      <c r="N3070" s="26"/>
    </row>
    <row r="3071" spans="10:14" x14ac:dyDescent="0.4">
      <c r="J3071" s="26"/>
      <c r="N3071" s="26"/>
    </row>
    <row r="3072" spans="10:14" x14ac:dyDescent="0.4">
      <c r="J3072" s="26"/>
      <c r="N3072" s="26"/>
    </row>
    <row r="3073" spans="10:14" x14ac:dyDescent="0.4">
      <c r="J3073" s="26"/>
      <c r="N3073" s="26"/>
    </row>
    <row r="3074" spans="10:14" x14ac:dyDescent="0.4">
      <c r="J3074" s="26"/>
      <c r="N3074" s="26"/>
    </row>
    <row r="3075" spans="10:14" x14ac:dyDescent="0.4">
      <c r="J3075" s="26"/>
      <c r="N3075" s="26"/>
    </row>
    <row r="3076" spans="10:14" x14ac:dyDescent="0.4">
      <c r="J3076" s="26"/>
      <c r="N3076" s="26"/>
    </row>
    <row r="3077" spans="10:14" x14ac:dyDescent="0.4">
      <c r="J3077" s="26"/>
      <c r="N3077" s="26"/>
    </row>
    <row r="3078" spans="10:14" x14ac:dyDescent="0.4">
      <c r="J3078" s="26"/>
      <c r="N3078" s="26"/>
    </row>
    <row r="3079" spans="10:14" x14ac:dyDescent="0.4">
      <c r="J3079" s="26"/>
      <c r="N3079" s="26"/>
    </row>
    <row r="3080" spans="10:14" x14ac:dyDescent="0.4">
      <c r="J3080" s="26"/>
      <c r="N3080" s="26"/>
    </row>
    <row r="3081" spans="10:14" x14ac:dyDescent="0.4">
      <c r="J3081" s="26"/>
      <c r="N3081" s="26"/>
    </row>
    <row r="3082" spans="10:14" x14ac:dyDescent="0.4">
      <c r="J3082" s="26"/>
      <c r="N3082" s="26"/>
    </row>
    <row r="3083" spans="10:14" x14ac:dyDescent="0.4">
      <c r="J3083" s="26"/>
      <c r="N3083" s="26"/>
    </row>
    <row r="3084" spans="10:14" x14ac:dyDescent="0.4">
      <c r="J3084" s="26"/>
      <c r="N3084" s="26"/>
    </row>
    <row r="3085" spans="10:14" x14ac:dyDescent="0.4">
      <c r="J3085" s="26"/>
      <c r="N3085" s="26"/>
    </row>
    <row r="3086" spans="10:14" x14ac:dyDescent="0.4">
      <c r="J3086" s="26"/>
      <c r="N3086" s="26"/>
    </row>
    <row r="3087" spans="10:14" x14ac:dyDescent="0.4">
      <c r="J3087" s="26"/>
      <c r="N3087" s="26"/>
    </row>
    <row r="3088" spans="10:14" x14ac:dyDescent="0.4">
      <c r="J3088" s="26"/>
      <c r="N3088" s="26"/>
    </row>
    <row r="3089" spans="10:14" x14ac:dyDescent="0.4">
      <c r="J3089" s="26"/>
      <c r="N3089" s="26"/>
    </row>
    <row r="3090" spans="10:14" x14ac:dyDescent="0.4">
      <c r="J3090" s="26"/>
      <c r="N3090" s="26"/>
    </row>
    <row r="3091" spans="10:14" x14ac:dyDescent="0.4">
      <c r="J3091" s="26"/>
      <c r="N3091" s="26"/>
    </row>
    <row r="3092" spans="10:14" x14ac:dyDescent="0.4">
      <c r="J3092" s="26"/>
      <c r="N3092" s="26"/>
    </row>
    <row r="3093" spans="10:14" x14ac:dyDescent="0.4">
      <c r="J3093" s="26"/>
      <c r="N3093" s="26"/>
    </row>
    <row r="3094" spans="10:14" x14ac:dyDescent="0.4">
      <c r="J3094" s="26"/>
      <c r="N3094" s="26"/>
    </row>
    <row r="3095" spans="10:14" x14ac:dyDescent="0.4">
      <c r="J3095" s="26"/>
      <c r="N3095" s="26"/>
    </row>
    <row r="3096" spans="10:14" x14ac:dyDescent="0.4">
      <c r="J3096" s="26"/>
      <c r="N3096" s="26"/>
    </row>
    <row r="3097" spans="10:14" x14ac:dyDescent="0.4">
      <c r="J3097" s="26"/>
      <c r="N3097" s="26"/>
    </row>
    <row r="3098" spans="10:14" x14ac:dyDescent="0.4">
      <c r="J3098" s="26"/>
      <c r="N3098" s="26"/>
    </row>
    <row r="3099" spans="10:14" x14ac:dyDescent="0.4">
      <c r="J3099" s="26"/>
      <c r="N3099" s="26"/>
    </row>
    <row r="3100" spans="10:14" x14ac:dyDescent="0.4">
      <c r="J3100" s="26"/>
      <c r="N3100" s="26"/>
    </row>
    <row r="3101" spans="10:14" x14ac:dyDescent="0.4">
      <c r="J3101" s="26"/>
      <c r="N3101" s="26"/>
    </row>
    <row r="3102" spans="10:14" x14ac:dyDescent="0.4">
      <c r="J3102" s="26"/>
      <c r="N3102" s="26"/>
    </row>
    <row r="3103" spans="10:14" x14ac:dyDescent="0.4">
      <c r="J3103" s="26"/>
      <c r="N3103" s="26"/>
    </row>
    <row r="3104" spans="10:14" x14ac:dyDescent="0.4">
      <c r="J3104" s="26"/>
      <c r="N3104" s="26"/>
    </row>
    <row r="3105" spans="10:14" x14ac:dyDescent="0.4">
      <c r="J3105" s="26"/>
      <c r="N3105" s="26"/>
    </row>
    <row r="3106" spans="10:14" x14ac:dyDescent="0.4">
      <c r="J3106" s="26"/>
      <c r="N3106" s="26"/>
    </row>
    <row r="3107" spans="10:14" x14ac:dyDescent="0.4">
      <c r="J3107" s="26"/>
      <c r="N3107" s="26"/>
    </row>
    <row r="3108" spans="10:14" x14ac:dyDescent="0.4">
      <c r="J3108" s="26"/>
      <c r="N3108" s="26"/>
    </row>
    <row r="3109" spans="10:14" x14ac:dyDescent="0.4">
      <c r="J3109" s="26"/>
      <c r="N3109" s="26"/>
    </row>
    <row r="3110" spans="10:14" x14ac:dyDescent="0.4">
      <c r="J3110" s="26"/>
      <c r="N3110" s="26"/>
    </row>
    <row r="3111" spans="10:14" x14ac:dyDescent="0.4">
      <c r="J3111" s="26"/>
      <c r="N3111" s="26"/>
    </row>
    <row r="3112" spans="10:14" x14ac:dyDescent="0.4">
      <c r="J3112" s="26"/>
      <c r="N3112" s="26"/>
    </row>
    <row r="3113" spans="10:14" x14ac:dyDescent="0.4">
      <c r="J3113" s="26"/>
      <c r="N3113" s="26"/>
    </row>
    <row r="3114" spans="10:14" x14ac:dyDescent="0.4">
      <c r="J3114" s="26"/>
      <c r="N3114" s="26"/>
    </row>
    <row r="3115" spans="10:14" x14ac:dyDescent="0.4">
      <c r="J3115" s="26"/>
      <c r="N3115" s="26"/>
    </row>
    <row r="3116" spans="10:14" x14ac:dyDescent="0.4">
      <c r="J3116" s="26"/>
      <c r="N3116" s="26"/>
    </row>
    <row r="3117" spans="10:14" x14ac:dyDescent="0.4">
      <c r="J3117" s="26"/>
      <c r="N3117" s="26"/>
    </row>
    <row r="3118" spans="10:14" x14ac:dyDescent="0.4">
      <c r="J3118" s="26"/>
      <c r="N3118" s="26"/>
    </row>
    <row r="3119" spans="10:14" x14ac:dyDescent="0.4">
      <c r="J3119" s="26"/>
      <c r="N3119" s="26"/>
    </row>
    <row r="3120" spans="10:14" x14ac:dyDescent="0.4">
      <c r="J3120" s="26"/>
      <c r="N3120" s="26"/>
    </row>
    <row r="3121" spans="10:14" x14ac:dyDescent="0.4">
      <c r="J3121" s="26"/>
      <c r="N3121" s="26"/>
    </row>
    <row r="3122" spans="10:14" x14ac:dyDescent="0.4">
      <c r="J3122" s="26"/>
      <c r="N3122" s="26"/>
    </row>
    <row r="3123" spans="10:14" x14ac:dyDescent="0.4">
      <c r="J3123" s="26"/>
      <c r="N3123" s="26"/>
    </row>
    <row r="3124" spans="10:14" x14ac:dyDescent="0.4">
      <c r="J3124" s="26"/>
      <c r="N3124" s="26"/>
    </row>
    <row r="3125" spans="10:14" x14ac:dyDescent="0.4">
      <c r="J3125" s="26"/>
      <c r="N3125" s="26"/>
    </row>
    <row r="3126" spans="10:14" x14ac:dyDescent="0.4">
      <c r="J3126" s="26"/>
      <c r="N3126" s="26"/>
    </row>
    <row r="3127" spans="10:14" x14ac:dyDescent="0.4">
      <c r="J3127" s="26"/>
      <c r="N3127" s="26"/>
    </row>
    <row r="3128" spans="10:14" x14ac:dyDescent="0.4">
      <c r="J3128" s="26"/>
      <c r="N3128" s="26"/>
    </row>
    <row r="3129" spans="10:14" x14ac:dyDescent="0.4">
      <c r="J3129" s="26"/>
      <c r="N3129" s="26"/>
    </row>
    <row r="3130" spans="10:14" x14ac:dyDescent="0.4">
      <c r="J3130" s="26"/>
      <c r="N3130" s="26"/>
    </row>
    <row r="3131" spans="10:14" x14ac:dyDescent="0.4">
      <c r="J3131" s="26"/>
      <c r="N3131" s="26"/>
    </row>
    <row r="3132" spans="10:14" x14ac:dyDescent="0.4">
      <c r="J3132" s="26"/>
      <c r="N3132" s="26"/>
    </row>
    <row r="3133" spans="10:14" x14ac:dyDescent="0.4">
      <c r="J3133" s="26"/>
      <c r="N3133" s="26"/>
    </row>
    <row r="3134" spans="10:14" x14ac:dyDescent="0.4">
      <c r="J3134" s="26"/>
      <c r="N3134" s="26"/>
    </row>
    <row r="3135" spans="10:14" x14ac:dyDescent="0.4">
      <c r="J3135" s="26"/>
      <c r="N3135" s="26"/>
    </row>
    <row r="3136" spans="10:14" x14ac:dyDescent="0.4">
      <c r="J3136" s="26"/>
      <c r="N3136" s="26"/>
    </row>
    <row r="3137" spans="10:14" x14ac:dyDescent="0.4">
      <c r="J3137" s="26"/>
      <c r="N3137" s="26"/>
    </row>
    <row r="3138" spans="10:14" x14ac:dyDescent="0.4">
      <c r="J3138" s="26"/>
      <c r="N3138" s="26"/>
    </row>
    <row r="3139" spans="10:14" x14ac:dyDescent="0.4">
      <c r="J3139" s="26"/>
      <c r="N3139" s="26"/>
    </row>
    <row r="3140" spans="10:14" x14ac:dyDescent="0.4">
      <c r="J3140" s="26"/>
      <c r="N3140" s="26"/>
    </row>
    <row r="3141" spans="10:14" x14ac:dyDescent="0.4">
      <c r="J3141" s="26"/>
      <c r="N3141" s="26"/>
    </row>
    <row r="3142" spans="10:14" x14ac:dyDescent="0.4">
      <c r="J3142" s="26"/>
      <c r="N3142" s="26"/>
    </row>
    <row r="3143" spans="10:14" x14ac:dyDescent="0.4">
      <c r="J3143" s="26"/>
      <c r="N3143" s="26"/>
    </row>
    <row r="3144" spans="10:14" x14ac:dyDescent="0.4">
      <c r="J3144" s="26"/>
      <c r="N3144" s="26"/>
    </row>
    <row r="3145" spans="10:14" x14ac:dyDescent="0.4">
      <c r="J3145" s="26"/>
      <c r="N3145" s="26"/>
    </row>
    <row r="3146" spans="10:14" x14ac:dyDescent="0.4">
      <c r="J3146" s="26"/>
      <c r="N3146" s="26"/>
    </row>
    <row r="3147" spans="10:14" x14ac:dyDescent="0.4">
      <c r="J3147" s="26"/>
      <c r="N3147" s="26"/>
    </row>
    <row r="3148" spans="10:14" x14ac:dyDescent="0.4">
      <c r="J3148" s="26"/>
      <c r="N3148" s="26"/>
    </row>
    <row r="3149" spans="10:14" x14ac:dyDescent="0.4">
      <c r="J3149" s="26"/>
      <c r="N3149" s="26"/>
    </row>
    <row r="3150" spans="10:14" x14ac:dyDescent="0.4">
      <c r="J3150" s="26"/>
      <c r="N3150" s="26"/>
    </row>
    <row r="3151" spans="10:14" x14ac:dyDescent="0.4">
      <c r="J3151" s="26"/>
      <c r="N3151" s="26"/>
    </row>
    <row r="3152" spans="10:14" x14ac:dyDescent="0.4">
      <c r="J3152" s="26"/>
      <c r="N3152" s="26"/>
    </row>
    <row r="3153" spans="10:14" x14ac:dyDescent="0.4">
      <c r="J3153" s="26"/>
      <c r="N3153" s="26"/>
    </row>
    <row r="3154" spans="10:14" x14ac:dyDescent="0.4">
      <c r="J3154" s="26"/>
      <c r="N3154" s="26"/>
    </row>
    <row r="3155" spans="10:14" x14ac:dyDescent="0.4">
      <c r="J3155" s="26"/>
      <c r="N3155" s="26"/>
    </row>
    <row r="3156" spans="10:14" x14ac:dyDescent="0.4">
      <c r="J3156" s="26"/>
      <c r="N3156" s="26"/>
    </row>
    <row r="3157" spans="10:14" x14ac:dyDescent="0.4">
      <c r="J3157" s="26"/>
      <c r="N3157" s="26"/>
    </row>
    <row r="3158" spans="10:14" x14ac:dyDescent="0.4">
      <c r="J3158" s="26"/>
      <c r="N3158" s="26"/>
    </row>
    <row r="3159" spans="10:14" x14ac:dyDescent="0.4">
      <c r="J3159" s="26"/>
      <c r="N3159" s="26"/>
    </row>
    <row r="3160" spans="10:14" x14ac:dyDescent="0.4">
      <c r="J3160" s="26"/>
      <c r="N3160" s="26"/>
    </row>
    <row r="3161" spans="10:14" x14ac:dyDescent="0.4">
      <c r="J3161" s="26"/>
      <c r="N3161" s="26"/>
    </row>
    <row r="3162" spans="10:14" x14ac:dyDescent="0.4">
      <c r="J3162" s="26"/>
      <c r="N3162" s="26"/>
    </row>
    <row r="3163" spans="10:14" x14ac:dyDescent="0.4">
      <c r="J3163" s="26"/>
      <c r="N3163" s="26"/>
    </row>
    <row r="3164" spans="10:14" x14ac:dyDescent="0.4">
      <c r="J3164" s="26"/>
      <c r="N3164" s="26"/>
    </row>
    <row r="3165" spans="10:14" x14ac:dyDescent="0.4">
      <c r="J3165" s="26"/>
      <c r="N3165" s="26"/>
    </row>
    <row r="3166" spans="10:14" x14ac:dyDescent="0.4">
      <c r="J3166" s="26"/>
      <c r="N3166" s="26"/>
    </row>
    <row r="3167" spans="10:14" x14ac:dyDescent="0.4">
      <c r="J3167" s="26"/>
      <c r="N3167" s="26"/>
    </row>
    <row r="3168" spans="10:14" x14ac:dyDescent="0.4">
      <c r="J3168" s="26"/>
      <c r="N3168" s="26"/>
    </row>
    <row r="3169" spans="10:14" x14ac:dyDescent="0.4">
      <c r="J3169" s="26"/>
      <c r="N3169" s="26"/>
    </row>
    <row r="3170" spans="10:14" x14ac:dyDescent="0.4">
      <c r="J3170" s="26"/>
      <c r="N3170" s="26"/>
    </row>
    <row r="3171" spans="10:14" x14ac:dyDescent="0.4">
      <c r="J3171" s="26"/>
      <c r="N3171" s="26"/>
    </row>
    <row r="3172" spans="10:14" x14ac:dyDescent="0.4">
      <c r="J3172" s="26"/>
      <c r="N3172" s="26"/>
    </row>
    <row r="3173" spans="10:14" x14ac:dyDescent="0.4">
      <c r="J3173" s="26"/>
      <c r="N3173" s="26"/>
    </row>
    <row r="3174" spans="10:14" x14ac:dyDescent="0.4">
      <c r="J3174" s="26"/>
      <c r="N3174" s="26"/>
    </row>
    <row r="3175" spans="10:14" x14ac:dyDescent="0.4">
      <c r="J3175" s="26"/>
      <c r="N3175" s="26"/>
    </row>
    <row r="3176" spans="10:14" x14ac:dyDescent="0.4">
      <c r="J3176" s="26"/>
      <c r="N3176" s="26"/>
    </row>
    <row r="3177" spans="10:14" x14ac:dyDescent="0.4">
      <c r="J3177" s="26"/>
      <c r="N3177" s="26"/>
    </row>
    <row r="3178" spans="10:14" x14ac:dyDescent="0.4">
      <c r="J3178" s="26"/>
      <c r="N3178" s="26"/>
    </row>
    <row r="3179" spans="10:14" x14ac:dyDescent="0.4">
      <c r="J3179" s="26"/>
      <c r="N3179" s="26"/>
    </row>
    <row r="3180" spans="10:14" x14ac:dyDescent="0.4">
      <c r="J3180" s="26"/>
      <c r="N3180" s="26"/>
    </row>
    <row r="3181" spans="10:14" x14ac:dyDescent="0.4">
      <c r="J3181" s="26"/>
      <c r="N3181" s="26"/>
    </row>
    <row r="3182" spans="10:14" x14ac:dyDescent="0.4">
      <c r="J3182" s="26"/>
      <c r="N3182" s="26"/>
    </row>
    <row r="3183" spans="10:14" x14ac:dyDescent="0.4">
      <c r="J3183" s="26"/>
      <c r="N3183" s="26"/>
    </row>
    <row r="3184" spans="10:14" x14ac:dyDescent="0.4">
      <c r="J3184" s="26"/>
      <c r="N3184" s="26"/>
    </row>
    <row r="3185" spans="10:14" x14ac:dyDescent="0.4">
      <c r="J3185" s="26"/>
      <c r="N3185" s="26"/>
    </row>
    <row r="3186" spans="10:14" x14ac:dyDescent="0.4">
      <c r="J3186" s="26"/>
      <c r="N3186" s="26"/>
    </row>
    <row r="3187" spans="10:14" x14ac:dyDescent="0.4">
      <c r="J3187" s="26"/>
      <c r="N3187" s="26"/>
    </row>
    <row r="3188" spans="10:14" x14ac:dyDescent="0.4">
      <c r="J3188" s="26"/>
      <c r="N3188" s="26"/>
    </row>
    <row r="3189" spans="10:14" x14ac:dyDescent="0.4">
      <c r="J3189" s="26"/>
      <c r="N3189" s="26"/>
    </row>
    <row r="3190" spans="10:14" x14ac:dyDescent="0.4">
      <c r="J3190" s="26"/>
      <c r="N3190" s="26"/>
    </row>
    <row r="3191" spans="10:14" x14ac:dyDescent="0.4">
      <c r="J3191" s="26"/>
      <c r="N3191" s="26"/>
    </row>
    <row r="3192" spans="10:14" x14ac:dyDescent="0.4">
      <c r="J3192" s="26"/>
      <c r="N3192" s="26"/>
    </row>
    <row r="3193" spans="10:14" x14ac:dyDescent="0.4">
      <c r="J3193" s="26"/>
      <c r="N3193" s="26"/>
    </row>
    <row r="3194" spans="10:14" x14ac:dyDescent="0.4">
      <c r="J3194" s="26"/>
      <c r="N3194" s="26"/>
    </row>
    <row r="3195" spans="10:14" x14ac:dyDescent="0.4">
      <c r="J3195" s="26"/>
      <c r="N3195" s="26"/>
    </row>
    <row r="3196" spans="10:14" x14ac:dyDescent="0.4">
      <c r="J3196" s="26"/>
      <c r="N3196" s="26"/>
    </row>
    <row r="3197" spans="10:14" x14ac:dyDescent="0.4">
      <c r="J3197" s="26"/>
      <c r="N3197" s="26"/>
    </row>
    <row r="3198" spans="10:14" x14ac:dyDescent="0.4">
      <c r="J3198" s="26"/>
      <c r="N3198" s="26"/>
    </row>
    <row r="3199" spans="10:14" x14ac:dyDescent="0.4">
      <c r="J3199" s="26"/>
      <c r="N3199" s="26"/>
    </row>
    <row r="3200" spans="10:14" x14ac:dyDescent="0.4">
      <c r="J3200" s="26"/>
      <c r="N3200" s="26"/>
    </row>
    <row r="3201" spans="10:14" x14ac:dyDescent="0.4">
      <c r="J3201" s="26"/>
      <c r="N3201" s="26"/>
    </row>
    <row r="3202" spans="10:14" x14ac:dyDescent="0.4">
      <c r="J3202" s="26"/>
      <c r="N3202" s="26"/>
    </row>
    <row r="3203" spans="10:14" x14ac:dyDescent="0.4">
      <c r="J3203" s="26"/>
      <c r="N3203" s="26"/>
    </row>
    <row r="3204" spans="10:14" x14ac:dyDescent="0.4">
      <c r="J3204" s="26"/>
      <c r="N3204" s="26"/>
    </row>
    <row r="3205" spans="10:14" x14ac:dyDescent="0.4">
      <c r="J3205" s="26"/>
      <c r="N3205" s="26"/>
    </row>
    <row r="3206" spans="10:14" x14ac:dyDescent="0.4">
      <c r="J3206" s="26"/>
      <c r="N3206" s="26"/>
    </row>
    <row r="3207" spans="10:14" x14ac:dyDescent="0.4">
      <c r="J3207" s="26"/>
      <c r="N3207" s="26"/>
    </row>
    <row r="3208" spans="10:14" x14ac:dyDescent="0.4">
      <c r="J3208" s="26"/>
      <c r="N3208" s="26"/>
    </row>
    <row r="3209" spans="10:14" x14ac:dyDescent="0.4">
      <c r="J3209" s="26"/>
      <c r="N3209" s="26"/>
    </row>
    <row r="3210" spans="10:14" x14ac:dyDescent="0.4">
      <c r="J3210" s="26"/>
      <c r="N3210" s="26"/>
    </row>
    <row r="3211" spans="10:14" x14ac:dyDescent="0.4">
      <c r="J3211" s="26"/>
      <c r="N3211" s="26"/>
    </row>
    <row r="3212" spans="10:14" x14ac:dyDescent="0.4">
      <c r="J3212" s="26"/>
      <c r="N3212" s="26"/>
    </row>
    <row r="3213" spans="10:14" x14ac:dyDescent="0.4">
      <c r="J3213" s="26"/>
      <c r="N3213" s="26"/>
    </row>
    <row r="3214" spans="10:14" x14ac:dyDescent="0.4">
      <c r="J3214" s="26"/>
      <c r="N3214" s="26"/>
    </row>
    <row r="3215" spans="10:14" x14ac:dyDescent="0.4">
      <c r="J3215" s="26"/>
      <c r="N3215" s="26"/>
    </row>
    <row r="3216" spans="10:14" x14ac:dyDescent="0.4">
      <c r="J3216" s="26"/>
      <c r="N3216" s="26"/>
    </row>
    <row r="3217" spans="10:14" x14ac:dyDescent="0.4">
      <c r="J3217" s="26"/>
      <c r="N3217" s="26"/>
    </row>
    <row r="3218" spans="10:14" x14ac:dyDescent="0.4">
      <c r="J3218" s="26"/>
      <c r="N3218" s="26"/>
    </row>
    <row r="3219" spans="10:14" x14ac:dyDescent="0.4">
      <c r="J3219" s="26"/>
      <c r="N3219" s="26"/>
    </row>
    <row r="3220" spans="10:14" x14ac:dyDescent="0.4">
      <c r="J3220" s="26"/>
      <c r="N3220" s="26"/>
    </row>
    <row r="3221" spans="10:14" x14ac:dyDescent="0.4">
      <c r="J3221" s="26"/>
      <c r="N3221" s="26"/>
    </row>
    <row r="3222" spans="10:14" x14ac:dyDescent="0.4">
      <c r="J3222" s="26"/>
      <c r="N3222" s="26"/>
    </row>
    <row r="3223" spans="10:14" x14ac:dyDescent="0.4">
      <c r="J3223" s="26"/>
      <c r="N3223" s="26"/>
    </row>
    <row r="3224" spans="10:14" x14ac:dyDescent="0.4">
      <c r="J3224" s="26"/>
      <c r="N3224" s="26"/>
    </row>
    <row r="3225" spans="10:14" x14ac:dyDescent="0.4">
      <c r="J3225" s="26"/>
      <c r="N3225" s="26"/>
    </row>
    <row r="3226" spans="10:14" x14ac:dyDescent="0.4">
      <c r="J3226" s="26"/>
      <c r="N3226" s="26"/>
    </row>
    <row r="3227" spans="10:14" x14ac:dyDescent="0.4">
      <c r="J3227" s="26"/>
      <c r="N3227" s="26"/>
    </row>
    <row r="3228" spans="10:14" x14ac:dyDescent="0.4">
      <c r="J3228" s="26"/>
      <c r="N3228" s="26"/>
    </row>
    <row r="3229" spans="10:14" x14ac:dyDescent="0.4">
      <c r="J3229" s="26"/>
      <c r="N3229" s="26"/>
    </row>
    <row r="3230" spans="10:14" x14ac:dyDescent="0.4">
      <c r="J3230" s="26"/>
      <c r="N3230" s="26"/>
    </row>
    <row r="3231" spans="10:14" x14ac:dyDescent="0.4">
      <c r="J3231" s="26"/>
      <c r="N3231" s="26"/>
    </row>
    <row r="3232" spans="10:14" x14ac:dyDescent="0.4">
      <c r="J3232" s="26"/>
      <c r="N3232" s="26"/>
    </row>
    <row r="3233" spans="10:14" x14ac:dyDescent="0.4">
      <c r="J3233" s="26"/>
      <c r="N3233" s="26"/>
    </row>
    <row r="3234" spans="10:14" x14ac:dyDescent="0.4">
      <c r="J3234" s="26"/>
      <c r="N3234" s="26"/>
    </row>
    <row r="3235" spans="10:14" x14ac:dyDescent="0.4">
      <c r="J3235" s="26"/>
      <c r="N3235" s="26"/>
    </row>
    <row r="3236" spans="10:14" x14ac:dyDescent="0.4">
      <c r="J3236" s="26"/>
      <c r="N3236" s="26"/>
    </row>
    <row r="3237" spans="10:14" x14ac:dyDescent="0.4">
      <c r="J3237" s="26"/>
      <c r="N3237" s="26"/>
    </row>
    <row r="3238" spans="10:14" x14ac:dyDescent="0.4">
      <c r="J3238" s="26"/>
      <c r="N3238" s="26"/>
    </row>
    <row r="3239" spans="10:14" x14ac:dyDescent="0.4">
      <c r="J3239" s="26"/>
      <c r="N3239" s="26"/>
    </row>
    <row r="3240" spans="10:14" x14ac:dyDescent="0.4">
      <c r="J3240" s="26"/>
      <c r="N3240" s="26"/>
    </row>
    <row r="3241" spans="10:14" x14ac:dyDescent="0.4">
      <c r="J3241" s="26"/>
      <c r="N3241" s="26"/>
    </row>
    <row r="3242" spans="10:14" x14ac:dyDescent="0.4">
      <c r="J3242" s="26"/>
      <c r="N3242" s="26"/>
    </row>
    <row r="3243" spans="10:14" x14ac:dyDescent="0.4">
      <c r="J3243" s="26"/>
      <c r="N3243" s="26"/>
    </row>
    <row r="3244" spans="10:14" x14ac:dyDescent="0.4">
      <c r="J3244" s="26"/>
      <c r="N3244" s="26"/>
    </row>
    <row r="3245" spans="10:14" x14ac:dyDescent="0.4">
      <c r="J3245" s="26"/>
      <c r="N3245" s="26"/>
    </row>
    <row r="3246" spans="10:14" x14ac:dyDescent="0.4">
      <c r="J3246" s="26"/>
      <c r="N3246" s="26"/>
    </row>
    <row r="3247" spans="10:14" x14ac:dyDescent="0.4">
      <c r="J3247" s="26"/>
      <c r="N3247" s="26"/>
    </row>
    <row r="3248" spans="10:14" x14ac:dyDescent="0.4">
      <c r="J3248" s="26"/>
      <c r="N3248" s="26"/>
    </row>
    <row r="3249" spans="10:14" x14ac:dyDescent="0.4">
      <c r="J3249" s="26"/>
      <c r="N3249" s="26"/>
    </row>
    <row r="3250" spans="10:14" x14ac:dyDescent="0.4">
      <c r="J3250" s="26"/>
      <c r="N3250" s="26"/>
    </row>
    <row r="3251" spans="10:14" x14ac:dyDescent="0.4">
      <c r="J3251" s="26"/>
      <c r="N3251" s="26"/>
    </row>
    <row r="3252" spans="10:14" x14ac:dyDescent="0.4">
      <c r="J3252" s="26"/>
      <c r="N3252" s="26"/>
    </row>
    <row r="3253" spans="10:14" x14ac:dyDescent="0.4">
      <c r="J3253" s="26"/>
      <c r="N3253" s="26"/>
    </row>
    <row r="3254" spans="10:14" x14ac:dyDescent="0.4">
      <c r="J3254" s="26"/>
      <c r="N3254" s="26"/>
    </row>
    <row r="3255" spans="10:14" x14ac:dyDescent="0.4">
      <c r="J3255" s="26"/>
      <c r="N3255" s="26"/>
    </row>
    <row r="3256" spans="10:14" x14ac:dyDescent="0.4">
      <c r="J3256" s="26"/>
      <c r="N3256" s="26"/>
    </row>
    <row r="3257" spans="10:14" x14ac:dyDescent="0.4">
      <c r="J3257" s="26"/>
      <c r="N3257" s="26"/>
    </row>
    <row r="3258" spans="10:14" x14ac:dyDescent="0.4">
      <c r="J3258" s="26"/>
      <c r="N3258" s="26"/>
    </row>
    <row r="3259" spans="10:14" x14ac:dyDescent="0.4">
      <c r="J3259" s="26"/>
      <c r="N3259" s="26"/>
    </row>
    <row r="3260" spans="10:14" x14ac:dyDescent="0.4">
      <c r="J3260" s="26"/>
      <c r="N3260" s="26"/>
    </row>
    <row r="3261" spans="10:14" x14ac:dyDescent="0.4">
      <c r="J3261" s="26"/>
      <c r="N3261" s="26"/>
    </row>
    <row r="3262" spans="10:14" x14ac:dyDescent="0.4">
      <c r="J3262" s="26"/>
      <c r="N3262" s="26"/>
    </row>
    <row r="3263" spans="10:14" x14ac:dyDescent="0.4">
      <c r="J3263" s="26"/>
      <c r="N3263" s="26"/>
    </row>
    <row r="3264" spans="10:14" x14ac:dyDescent="0.4">
      <c r="J3264" s="26"/>
      <c r="N3264" s="26"/>
    </row>
    <row r="3265" spans="10:14" x14ac:dyDescent="0.4">
      <c r="J3265" s="26"/>
      <c r="N3265" s="26"/>
    </row>
    <row r="3266" spans="10:14" x14ac:dyDescent="0.4">
      <c r="J3266" s="26"/>
      <c r="N3266" s="26"/>
    </row>
    <row r="3267" spans="10:14" x14ac:dyDescent="0.4">
      <c r="J3267" s="26"/>
      <c r="N3267" s="26"/>
    </row>
    <row r="3268" spans="10:14" x14ac:dyDescent="0.4">
      <c r="J3268" s="26"/>
      <c r="N3268" s="26"/>
    </row>
    <row r="3269" spans="10:14" x14ac:dyDescent="0.4">
      <c r="J3269" s="26"/>
      <c r="N3269" s="26"/>
    </row>
    <row r="3270" spans="10:14" x14ac:dyDescent="0.4">
      <c r="J3270" s="26"/>
      <c r="N3270" s="26"/>
    </row>
    <row r="3271" spans="10:14" x14ac:dyDescent="0.4">
      <c r="J3271" s="26"/>
      <c r="N3271" s="26"/>
    </row>
    <row r="3272" spans="10:14" x14ac:dyDescent="0.4">
      <c r="J3272" s="26"/>
      <c r="N3272" s="26"/>
    </row>
    <row r="3273" spans="10:14" x14ac:dyDescent="0.4">
      <c r="J3273" s="26"/>
      <c r="N3273" s="26"/>
    </row>
    <row r="3274" spans="10:14" x14ac:dyDescent="0.4">
      <c r="J3274" s="26"/>
      <c r="N3274" s="26"/>
    </row>
    <row r="3275" spans="10:14" x14ac:dyDescent="0.4">
      <c r="J3275" s="26"/>
      <c r="N3275" s="26"/>
    </row>
    <row r="3276" spans="10:14" x14ac:dyDescent="0.4">
      <c r="J3276" s="26"/>
      <c r="N3276" s="26"/>
    </row>
    <row r="3277" spans="10:14" x14ac:dyDescent="0.4">
      <c r="J3277" s="26"/>
      <c r="N3277" s="26"/>
    </row>
    <row r="3278" spans="10:14" x14ac:dyDescent="0.4">
      <c r="J3278" s="26"/>
      <c r="N3278" s="26"/>
    </row>
    <row r="3279" spans="10:14" x14ac:dyDescent="0.4">
      <c r="J3279" s="26"/>
      <c r="N3279" s="26"/>
    </row>
    <row r="3280" spans="10:14" x14ac:dyDescent="0.4">
      <c r="J3280" s="26"/>
      <c r="N3280" s="26"/>
    </row>
    <row r="3281" spans="10:14" x14ac:dyDescent="0.4">
      <c r="J3281" s="26"/>
      <c r="N3281" s="26"/>
    </row>
    <row r="3282" spans="10:14" x14ac:dyDescent="0.4">
      <c r="J3282" s="26"/>
      <c r="N3282" s="26"/>
    </row>
    <row r="3283" spans="10:14" x14ac:dyDescent="0.4">
      <c r="J3283" s="26"/>
      <c r="N3283" s="26"/>
    </row>
    <row r="3284" spans="10:14" x14ac:dyDescent="0.4">
      <c r="J3284" s="26"/>
      <c r="N3284" s="26"/>
    </row>
    <row r="3285" spans="10:14" x14ac:dyDescent="0.4">
      <c r="J3285" s="26"/>
      <c r="N3285" s="26"/>
    </row>
    <row r="3286" spans="10:14" x14ac:dyDescent="0.4">
      <c r="J3286" s="26"/>
      <c r="N3286" s="26"/>
    </row>
    <row r="3287" spans="10:14" x14ac:dyDescent="0.4">
      <c r="J3287" s="26"/>
      <c r="N3287" s="26"/>
    </row>
    <row r="3288" spans="10:14" x14ac:dyDescent="0.4">
      <c r="J3288" s="26"/>
      <c r="N3288" s="26"/>
    </row>
    <row r="3289" spans="10:14" x14ac:dyDescent="0.4">
      <c r="J3289" s="26"/>
      <c r="N3289" s="26"/>
    </row>
    <row r="3290" spans="10:14" x14ac:dyDescent="0.4">
      <c r="J3290" s="26"/>
      <c r="N3290" s="26"/>
    </row>
    <row r="3291" spans="10:14" x14ac:dyDescent="0.4">
      <c r="J3291" s="26"/>
      <c r="N3291" s="26"/>
    </row>
    <row r="3292" spans="10:14" x14ac:dyDescent="0.4">
      <c r="J3292" s="26"/>
      <c r="N3292" s="26"/>
    </row>
    <row r="3293" spans="10:14" x14ac:dyDescent="0.4">
      <c r="J3293" s="26"/>
      <c r="N3293" s="26"/>
    </row>
    <row r="3294" spans="10:14" x14ac:dyDescent="0.4">
      <c r="J3294" s="26"/>
      <c r="N3294" s="26"/>
    </row>
    <row r="3295" spans="10:14" x14ac:dyDescent="0.4">
      <c r="J3295" s="26"/>
      <c r="N3295" s="26"/>
    </row>
    <row r="3296" spans="10:14" x14ac:dyDescent="0.4">
      <c r="J3296" s="26"/>
      <c r="N3296" s="26"/>
    </row>
    <row r="3297" spans="10:14" x14ac:dyDescent="0.4">
      <c r="J3297" s="26"/>
      <c r="N3297" s="26"/>
    </row>
    <row r="3298" spans="10:14" x14ac:dyDescent="0.4">
      <c r="J3298" s="26"/>
      <c r="N3298" s="26"/>
    </row>
    <row r="3299" spans="10:14" x14ac:dyDescent="0.4">
      <c r="J3299" s="26"/>
      <c r="N3299" s="26"/>
    </row>
    <row r="3300" spans="10:14" x14ac:dyDescent="0.4">
      <c r="J3300" s="26"/>
      <c r="N3300" s="26"/>
    </row>
    <row r="3301" spans="10:14" x14ac:dyDescent="0.4">
      <c r="J3301" s="26"/>
      <c r="N3301" s="26"/>
    </row>
    <row r="3302" spans="10:14" x14ac:dyDescent="0.4">
      <c r="J3302" s="26"/>
      <c r="N3302" s="26"/>
    </row>
    <row r="3303" spans="10:14" x14ac:dyDescent="0.4">
      <c r="J3303" s="26"/>
      <c r="N3303" s="26"/>
    </row>
    <row r="3304" spans="10:14" x14ac:dyDescent="0.4">
      <c r="J3304" s="26"/>
      <c r="N3304" s="26"/>
    </row>
    <row r="3305" spans="10:14" x14ac:dyDescent="0.4">
      <c r="J3305" s="26"/>
      <c r="N3305" s="26"/>
    </row>
    <row r="3306" spans="10:14" x14ac:dyDescent="0.4">
      <c r="J3306" s="26"/>
      <c r="N3306" s="26"/>
    </row>
    <row r="3307" spans="10:14" x14ac:dyDescent="0.4">
      <c r="J3307" s="26"/>
      <c r="N3307" s="26"/>
    </row>
    <row r="3308" spans="10:14" x14ac:dyDescent="0.4">
      <c r="J3308" s="26"/>
      <c r="N3308" s="26"/>
    </row>
    <row r="3309" spans="10:14" x14ac:dyDescent="0.4">
      <c r="J3309" s="26"/>
      <c r="N3309" s="26"/>
    </row>
    <row r="3310" spans="10:14" x14ac:dyDescent="0.4">
      <c r="J3310" s="26"/>
      <c r="N3310" s="26"/>
    </row>
    <row r="3311" spans="10:14" x14ac:dyDescent="0.4">
      <c r="J3311" s="26"/>
      <c r="N3311" s="26"/>
    </row>
    <row r="3312" spans="10:14" x14ac:dyDescent="0.4">
      <c r="J3312" s="26"/>
      <c r="N3312" s="26"/>
    </row>
    <row r="3313" spans="10:14" x14ac:dyDescent="0.4">
      <c r="J3313" s="26"/>
      <c r="N3313" s="26"/>
    </row>
    <row r="3314" spans="10:14" x14ac:dyDescent="0.4">
      <c r="J3314" s="26"/>
      <c r="N3314" s="26"/>
    </row>
    <row r="3315" spans="10:14" x14ac:dyDescent="0.4">
      <c r="J3315" s="26"/>
      <c r="N3315" s="26"/>
    </row>
    <row r="3316" spans="10:14" x14ac:dyDescent="0.4">
      <c r="J3316" s="26"/>
      <c r="N3316" s="26"/>
    </row>
    <row r="3317" spans="10:14" x14ac:dyDescent="0.4">
      <c r="J3317" s="26"/>
      <c r="N3317" s="26"/>
    </row>
    <row r="3318" spans="10:14" x14ac:dyDescent="0.4">
      <c r="J3318" s="26"/>
      <c r="N3318" s="26"/>
    </row>
    <row r="3319" spans="10:14" x14ac:dyDescent="0.4">
      <c r="J3319" s="26"/>
      <c r="N3319" s="26"/>
    </row>
    <row r="3320" spans="10:14" x14ac:dyDescent="0.4">
      <c r="J3320" s="26"/>
      <c r="N3320" s="26"/>
    </row>
    <row r="3321" spans="10:14" x14ac:dyDescent="0.4">
      <c r="J3321" s="26"/>
      <c r="N3321" s="26"/>
    </row>
    <row r="3322" spans="10:14" x14ac:dyDescent="0.4">
      <c r="J3322" s="26"/>
      <c r="N3322" s="26"/>
    </row>
    <row r="3323" spans="10:14" x14ac:dyDescent="0.4">
      <c r="J3323" s="26"/>
      <c r="N3323" s="26"/>
    </row>
    <row r="3324" spans="10:14" x14ac:dyDescent="0.4">
      <c r="J3324" s="26"/>
      <c r="N3324" s="26"/>
    </row>
    <row r="3325" spans="10:14" x14ac:dyDescent="0.4">
      <c r="J3325" s="26"/>
      <c r="N3325" s="26"/>
    </row>
    <row r="3326" spans="10:14" x14ac:dyDescent="0.4">
      <c r="J3326" s="26"/>
      <c r="N3326" s="26"/>
    </row>
    <row r="3327" spans="10:14" x14ac:dyDescent="0.4">
      <c r="J3327" s="26"/>
      <c r="N3327" s="26"/>
    </row>
    <row r="3328" spans="10:14" x14ac:dyDescent="0.4">
      <c r="J3328" s="26"/>
      <c r="N3328" s="26"/>
    </row>
    <row r="3329" spans="10:14" x14ac:dyDescent="0.4">
      <c r="J3329" s="26"/>
      <c r="N3329" s="26"/>
    </row>
    <row r="3330" spans="10:14" x14ac:dyDescent="0.4">
      <c r="J3330" s="26"/>
      <c r="N3330" s="26"/>
    </row>
    <row r="3331" spans="10:14" x14ac:dyDescent="0.4">
      <c r="J3331" s="26"/>
      <c r="N3331" s="26"/>
    </row>
    <row r="3332" spans="10:14" x14ac:dyDescent="0.4">
      <c r="J3332" s="26"/>
      <c r="N3332" s="26"/>
    </row>
    <row r="3333" spans="10:14" x14ac:dyDescent="0.4">
      <c r="J3333" s="26"/>
      <c r="N3333" s="26"/>
    </row>
    <row r="3334" spans="10:14" x14ac:dyDescent="0.4">
      <c r="J3334" s="26"/>
      <c r="N3334" s="26"/>
    </row>
    <row r="3335" spans="10:14" x14ac:dyDescent="0.4">
      <c r="J3335" s="26"/>
      <c r="N3335" s="26"/>
    </row>
    <row r="3336" spans="10:14" x14ac:dyDescent="0.4">
      <c r="J3336" s="26"/>
      <c r="N3336" s="26"/>
    </row>
    <row r="3337" spans="10:14" x14ac:dyDescent="0.4">
      <c r="J3337" s="26"/>
      <c r="N3337" s="26"/>
    </row>
    <row r="3338" spans="10:14" x14ac:dyDescent="0.4">
      <c r="J3338" s="26"/>
      <c r="N3338" s="26"/>
    </row>
    <row r="3339" spans="10:14" x14ac:dyDescent="0.4">
      <c r="J3339" s="26"/>
      <c r="N3339" s="26"/>
    </row>
    <row r="3340" spans="10:14" x14ac:dyDescent="0.4">
      <c r="J3340" s="26"/>
      <c r="N3340" s="26"/>
    </row>
    <row r="3341" spans="10:14" x14ac:dyDescent="0.4">
      <c r="J3341" s="26"/>
      <c r="N3341" s="26"/>
    </row>
    <row r="3342" spans="10:14" x14ac:dyDescent="0.4">
      <c r="J3342" s="26"/>
      <c r="N3342" s="26"/>
    </row>
    <row r="3343" spans="10:14" x14ac:dyDescent="0.4">
      <c r="N3343" s="26"/>
    </row>
    <row r="3344" spans="10:14" x14ac:dyDescent="0.4">
      <c r="N3344" s="26"/>
    </row>
    <row r="3345" spans="14:14" x14ac:dyDescent="0.4">
      <c r="N3345" s="26"/>
    </row>
    <row r="3346" spans="14:14" x14ac:dyDescent="0.4">
      <c r="N3346" s="26"/>
    </row>
    <row r="3347" spans="14:14" x14ac:dyDescent="0.4">
      <c r="N3347" s="26"/>
    </row>
    <row r="3348" spans="14:14" x14ac:dyDescent="0.4">
      <c r="N3348" s="26"/>
    </row>
    <row r="3349" spans="14:14" x14ac:dyDescent="0.4">
      <c r="N3349" s="26"/>
    </row>
    <row r="3350" spans="14:14" x14ac:dyDescent="0.4">
      <c r="N3350" s="26"/>
    </row>
    <row r="3351" spans="14:14" x14ac:dyDescent="0.4">
      <c r="N3351" s="26"/>
    </row>
    <row r="3352" spans="14:14" x14ac:dyDescent="0.4">
      <c r="N3352" s="26"/>
    </row>
    <row r="3353" spans="14:14" x14ac:dyDescent="0.4">
      <c r="N3353" s="26"/>
    </row>
    <row r="3354" spans="14:14" x14ac:dyDescent="0.4">
      <c r="N3354" s="26"/>
    </row>
    <row r="3355" spans="14:14" x14ac:dyDescent="0.4">
      <c r="N3355" s="26"/>
    </row>
    <row r="3356" spans="14:14" x14ac:dyDescent="0.4">
      <c r="N3356" s="26"/>
    </row>
    <row r="3357" spans="14:14" x14ac:dyDescent="0.4">
      <c r="N3357" s="26"/>
    </row>
    <row r="3358" spans="14:14" x14ac:dyDescent="0.4">
      <c r="N3358" s="26"/>
    </row>
    <row r="3359" spans="14:14" x14ac:dyDescent="0.4">
      <c r="N3359" s="26"/>
    </row>
    <row r="3360" spans="14:14" x14ac:dyDescent="0.4">
      <c r="N3360" s="26"/>
    </row>
    <row r="3361" spans="14:14" x14ac:dyDescent="0.4">
      <c r="N3361" s="26"/>
    </row>
    <row r="3362" spans="14:14" x14ac:dyDescent="0.4">
      <c r="N3362" s="26"/>
    </row>
    <row r="3363" spans="14:14" x14ac:dyDescent="0.4">
      <c r="N3363" s="26"/>
    </row>
    <row r="3364" spans="14:14" x14ac:dyDescent="0.4">
      <c r="N3364" s="26"/>
    </row>
    <row r="3365" spans="14:14" x14ac:dyDescent="0.4">
      <c r="N3365" s="26"/>
    </row>
    <row r="3366" spans="14:14" x14ac:dyDescent="0.4">
      <c r="N3366" s="26"/>
    </row>
    <row r="3367" spans="14:14" x14ac:dyDescent="0.4">
      <c r="N3367" s="26"/>
    </row>
    <row r="3368" spans="14:14" x14ac:dyDescent="0.4">
      <c r="N3368" s="26"/>
    </row>
    <row r="3369" spans="14:14" x14ac:dyDescent="0.4">
      <c r="N3369" s="26"/>
    </row>
    <row r="3370" spans="14:14" x14ac:dyDescent="0.4">
      <c r="N3370" s="26"/>
    </row>
    <row r="3371" spans="14:14" x14ac:dyDescent="0.4">
      <c r="N3371" s="26"/>
    </row>
    <row r="3372" spans="14:14" x14ac:dyDescent="0.4">
      <c r="N3372" s="26"/>
    </row>
    <row r="3373" spans="14:14" x14ac:dyDescent="0.4">
      <c r="N3373" s="26"/>
    </row>
    <row r="3374" spans="14:14" x14ac:dyDescent="0.4">
      <c r="N3374" s="26"/>
    </row>
    <row r="3375" spans="14:14" x14ac:dyDescent="0.4">
      <c r="N3375" s="26"/>
    </row>
    <row r="3376" spans="14:14" x14ac:dyDescent="0.4">
      <c r="N3376" s="26"/>
    </row>
    <row r="3377" spans="14:14" x14ac:dyDescent="0.4">
      <c r="N3377" s="26"/>
    </row>
    <row r="3378" spans="14:14" x14ac:dyDescent="0.4">
      <c r="N3378" s="26"/>
    </row>
    <row r="3379" spans="14:14" x14ac:dyDescent="0.4">
      <c r="N3379" s="26"/>
    </row>
    <row r="3380" spans="14:14" x14ac:dyDescent="0.4">
      <c r="N3380" s="26"/>
    </row>
    <row r="3381" spans="14:14" x14ac:dyDescent="0.4">
      <c r="N3381" s="26"/>
    </row>
    <row r="3382" spans="14:14" x14ac:dyDescent="0.4">
      <c r="N3382" s="26"/>
    </row>
    <row r="3383" spans="14:14" x14ac:dyDescent="0.4">
      <c r="N3383" s="26"/>
    </row>
    <row r="3384" spans="14:14" x14ac:dyDescent="0.4">
      <c r="N3384" s="26"/>
    </row>
    <row r="3385" spans="14:14" x14ac:dyDescent="0.4">
      <c r="N3385" s="26"/>
    </row>
    <row r="3386" spans="14:14" x14ac:dyDescent="0.4">
      <c r="N3386" s="26"/>
    </row>
    <row r="3387" spans="14:14" x14ac:dyDescent="0.4">
      <c r="N3387" s="26"/>
    </row>
    <row r="3388" spans="14:14" x14ac:dyDescent="0.4">
      <c r="N3388" s="26"/>
    </row>
    <row r="3389" spans="14:14" x14ac:dyDescent="0.4">
      <c r="N3389" s="26"/>
    </row>
    <row r="3390" spans="14:14" x14ac:dyDescent="0.4">
      <c r="N3390" s="26"/>
    </row>
    <row r="3391" spans="14:14" x14ac:dyDescent="0.4">
      <c r="N3391" s="26"/>
    </row>
    <row r="3392" spans="14:14" x14ac:dyDescent="0.4">
      <c r="N3392" s="26"/>
    </row>
    <row r="3393" spans="14:14" x14ac:dyDescent="0.4">
      <c r="N3393" s="26"/>
    </row>
    <row r="3394" spans="14:14" x14ac:dyDescent="0.4">
      <c r="N3394" s="26"/>
    </row>
    <row r="3395" spans="14:14" x14ac:dyDescent="0.4">
      <c r="N3395" s="26"/>
    </row>
    <row r="3396" spans="14:14" x14ac:dyDescent="0.4">
      <c r="N3396" s="26"/>
    </row>
    <row r="3397" spans="14:14" x14ac:dyDescent="0.4">
      <c r="N3397" s="26"/>
    </row>
    <row r="3398" spans="14:14" x14ac:dyDescent="0.4">
      <c r="N3398" s="26"/>
    </row>
    <row r="3399" spans="14:14" x14ac:dyDescent="0.4">
      <c r="N3399" s="26"/>
    </row>
    <row r="3400" spans="14:14" x14ac:dyDescent="0.4">
      <c r="N3400" s="26"/>
    </row>
    <row r="3401" spans="14:14" x14ac:dyDescent="0.4">
      <c r="N3401" s="26"/>
    </row>
    <row r="3402" spans="14:14" x14ac:dyDescent="0.4">
      <c r="N3402" s="26"/>
    </row>
    <row r="3403" spans="14:14" x14ac:dyDescent="0.4">
      <c r="N3403" s="26"/>
    </row>
    <row r="3404" spans="14:14" x14ac:dyDescent="0.4">
      <c r="N3404" s="26"/>
    </row>
    <row r="3405" spans="14:14" x14ac:dyDescent="0.4">
      <c r="N3405" s="26"/>
    </row>
    <row r="3406" spans="14:14" x14ac:dyDescent="0.4">
      <c r="N3406" s="26"/>
    </row>
    <row r="3407" spans="14:14" x14ac:dyDescent="0.4">
      <c r="N3407" s="26"/>
    </row>
    <row r="3408" spans="14:14" x14ac:dyDescent="0.4">
      <c r="N3408" s="26"/>
    </row>
    <row r="3409" spans="14:14" x14ac:dyDescent="0.4">
      <c r="N3409" s="26"/>
    </row>
    <row r="3410" spans="14:14" x14ac:dyDescent="0.4">
      <c r="N3410" s="26"/>
    </row>
    <row r="3411" spans="14:14" x14ac:dyDescent="0.4">
      <c r="N3411" s="26"/>
    </row>
    <row r="3412" spans="14:14" x14ac:dyDescent="0.4">
      <c r="N3412" s="26"/>
    </row>
    <row r="3413" spans="14:14" x14ac:dyDescent="0.4">
      <c r="N3413" s="26"/>
    </row>
    <row r="3414" spans="14:14" x14ac:dyDescent="0.4">
      <c r="N3414" s="26"/>
    </row>
    <row r="3415" spans="14:14" x14ac:dyDescent="0.4">
      <c r="N3415" s="26"/>
    </row>
    <row r="3416" spans="14:14" x14ac:dyDescent="0.4">
      <c r="N3416" s="26"/>
    </row>
    <row r="3417" spans="14:14" x14ac:dyDescent="0.4">
      <c r="N3417" s="26"/>
    </row>
    <row r="3418" spans="14:14" x14ac:dyDescent="0.4">
      <c r="N3418" s="26"/>
    </row>
    <row r="3419" spans="14:14" x14ac:dyDescent="0.4">
      <c r="N3419" s="26"/>
    </row>
    <row r="3420" spans="14:14" x14ac:dyDescent="0.4">
      <c r="N3420" s="26"/>
    </row>
    <row r="3421" spans="14:14" x14ac:dyDescent="0.4">
      <c r="N3421" s="26"/>
    </row>
    <row r="3422" spans="14:14" x14ac:dyDescent="0.4">
      <c r="N3422" s="26"/>
    </row>
    <row r="3423" spans="14:14" x14ac:dyDescent="0.4">
      <c r="N3423" s="26"/>
    </row>
    <row r="3424" spans="14:14" x14ac:dyDescent="0.4">
      <c r="N3424" s="26"/>
    </row>
    <row r="3425" spans="14:14" x14ac:dyDescent="0.4">
      <c r="N3425" s="26"/>
    </row>
    <row r="3426" spans="14:14" x14ac:dyDescent="0.4">
      <c r="N3426" s="26"/>
    </row>
    <row r="3427" spans="14:14" x14ac:dyDescent="0.4">
      <c r="N3427" s="26"/>
    </row>
    <row r="3428" spans="14:14" x14ac:dyDescent="0.4">
      <c r="N3428" s="26"/>
    </row>
    <row r="3429" spans="14:14" x14ac:dyDescent="0.4">
      <c r="N3429" s="26"/>
    </row>
    <row r="3430" spans="14:14" x14ac:dyDescent="0.4">
      <c r="N3430" s="26"/>
    </row>
    <row r="3431" spans="14:14" x14ac:dyDescent="0.4">
      <c r="N3431" s="26"/>
    </row>
    <row r="3432" spans="14:14" x14ac:dyDescent="0.4">
      <c r="N3432" s="26"/>
    </row>
    <row r="3433" spans="14:14" x14ac:dyDescent="0.4">
      <c r="N3433" s="26"/>
    </row>
    <row r="3434" spans="14:14" x14ac:dyDescent="0.4">
      <c r="N3434" s="26"/>
    </row>
    <row r="3435" spans="14:14" x14ac:dyDescent="0.4">
      <c r="N3435" s="26"/>
    </row>
    <row r="3436" spans="14:14" x14ac:dyDescent="0.4">
      <c r="N3436" s="26"/>
    </row>
    <row r="3437" spans="14:14" x14ac:dyDescent="0.4">
      <c r="N3437" s="26"/>
    </row>
    <row r="3438" spans="14:14" x14ac:dyDescent="0.4">
      <c r="N3438" s="26"/>
    </row>
    <row r="3439" spans="14:14" x14ac:dyDescent="0.4">
      <c r="N3439" s="26"/>
    </row>
    <row r="3440" spans="14:14" x14ac:dyDescent="0.4">
      <c r="N3440" s="26"/>
    </row>
    <row r="3441" spans="14:14" x14ac:dyDescent="0.4">
      <c r="N3441" s="26"/>
    </row>
    <row r="3442" spans="14:14" x14ac:dyDescent="0.4">
      <c r="N3442" s="26"/>
    </row>
    <row r="3443" spans="14:14" x14ac:dyDescent="0.4">
      <c r="N3443" s="26"/>
    </row>
    <row r="3444" spans="14:14" x14ac:dyDescent="0.4">
      <c r="N3444" s="26"/>
    </row>
    <row r="3445" spans="14:14" x14ac:dyDescent="0.4">
      <c r="N3445" s="26"/>
    </row>
    <row r="3446" spans="14:14" x14ac:dyDescent="0.4">
      <c r="N3446" s="26"/>
    </row>
    <row r="3447" spans="14:14" x14ac:dyDescent="0.4">
      <c r="N3447" s="26"/>
    </row>
    <row r="3448" spans="14:14" x14ac:dyDescent="0.4">
      <c r="N3448" s="26"/>
    </row>
    <row r="3449" spans="14:14" x14ac:dyDescent="0.4">
      <c r="N3449" s="26"/>
    </row>
    <row r="3450" spans="14:14" x14ac:dyDescent="0.4">
      <c r="N3450" s="26"/>
    </row>
    <row r="3451" spans="14:14" x14ac:dyDescent="0.4">
      <c r="N3451" s="26"/>
    </row>
    <row r="3452" spans="14:14" x14ac:dyDescent="0.4">
      <c r="N3452" s="26"/>
    </row>
    <row r="3453" spans="14:14" x14ac:dyDescent="0.4">
      <c r="N3453" s="26"/>
    </row>
    <row r="3454" spans="14:14" x14ac:dyDescent="0.4">
      <c r="N3454" s="26"/>
    </row>
    <row r="3455" spans="14:14" x14ac:dyDescent="0.4">
      <c r="N3455" s="26"/>
    </row>
    <row r="3456" spans="14:14" x14ac:dyDescent="0.4">
      <c r="N3456" s="26"/>
    </row>
    <row r="3457" spans="14:14" x14ac:dyDescent="0.4">
      <c r="N3457" s="26"/>
    </row>
    <row r="3458" spans="14:14" x14ac:dyDescent="0.4">
      <c r="N3458" s="26"/>
    </row>
    <row r="3459" spans="14:14" x14ac:dyDescent="0.4">
      <c r="N3459" s="26"/>
    </row>
    <row r="3460" spans="14:14" x14ac:dyDescent="0.4">
      <c r="N3460" s="26"/>
    </row>
    <row r="3461" spans="14:14" x14ac:dyDescent="0.4">
      <c r="N3461" s="26"/>
    </row>
    <row r="3462" spans="14:14" x14ac:dyDescent="0.4">
      <c r="N3462" s="26"/>
    </row>
    <row r="3463" spans="14:14" x14ac:dyDescent="0.4">
      <c r="N3463" s="26"/>
    </row>
    <row r="3464" spans="14:14" x14ac:dyDescent="0.4">
      <c r="N3464" s="26"/>
    </row>
    <row r="3465" spans="14:14" x14ac:dyDescent="0.4">
      <c r="N3465" s="26"/>
    </row>
    <row r="3466" spans="14:14" x14ac:dyDescent="0.4">
      <c r="N3466" s="26"/>
    </row>
    <row r="3467" spans="14:14" x14ac:dyDescent="0.4">
      <c r="N3467" s="26"/>
    </row>
    <row r="3468" spans="14:14" x14ac:dyDescent="0.4">
      <c r="N3468" s="26"/>
    </row>
    <row r="3469" spans="14:14" x14ac:dyDescent="0.4">
      <c r="N3469" s="26"/>
    </row>
    <row r="3470" spans="14:14" x14ac:dyDescent="0.4">
      <c r="N3470" s="26"/>
    </row>
    <row r="3471" spans="14:14" x14ac:dyDescent="0.4">
      <c r="N3471" s="26"/>
    </row>
    <row r="3472" spans="14:14" x14ac:dyDescent="0.4">
      <c r="N3472" s="26"/>
    </row>
    <row r="3473" spans="14:14" x14ac:dyDescent="0.4">
      <c r="N3473" s="26"/>
    </row>
    <row r="3474" spans="14:14" x14ac:dyDescent="0.4">
      <c r="N3474" s="26"/>
    </row>
    <row r="3475" spans="14:14" x14ac:dyDescent="0.4">
      <c r="N3475" s="26"/>
    </row>
    <row r="3476" spans="14:14" x14ac:dyDescent="0.4">
      <c r="N3476" s="26"/>
    </row>
    <row r="3477" spans="14:14" x14ac:dyDescent="0.4">
      <c r="N3477" s="26"/>
    </row>
    <row r="3478" spans="14:14" x14ac:dyDescent="0.4">
      <c r="N3478" s="26"/>
    </row>
    <row r="3479" spans="14:14" x14ac:dyDescent="0.4">
      <c r="N3479" s="26"/>
    </row>
    <row r="3480" spans="14:14" x14ac:dyDescent="0.4">
      <c r="N3480" s="26"/>
    </row>
    <row r="3481" spans="14:14" x14ac:dyDescent="0.4">
      <c r="N3481" s="26"/>
    </row>
    <row r="3482" spans="14:14" x14ac:dyDescent="0.4">
      <c r="N3482" s="26"/>
    </row>
    <row r="3483" spans="14:14" x14ac:dyDescent="0.4">
      <c r="N3483" s="26"/>
    </row>
    <row r="3484" spans="14:14" x14ac:dyDescent="0.4">
      <c r="N3484" s="26"/>
    </row>
    <row r="3485" spans="14:14" x14ac:dyDescent="0.4">
      <c r="N3485" s="26"/>
    </row>
    <row r="3486" spans="14:14" x14ac:dyDescent="0.4">
      <c r="N3486" s="26"/>
    </row>
    <row r="3487" spans="14:14" x14ac:dyDescent="0.4">
      <c r="N3487" s="26"/>
    </row>
    <row r="3488" spans="14:14" x14ac:dyDescent="0.4">
      <c r="N3488" s="26"/>
    </row>
    <row r="3489" spans="14:14" x14ac:dyDescent="0.4">
      <c r="N3489" s="26"/>
    </row>
    <row r="3490" spans="14:14" x14ac:dyDescent="0.4">
      <c r="N3490" s="26"/>
    </row>
    <row r="3491" spans="14:14" x14ac:dyDescent="0.4">
      <c r="N3491" s="26"/>
    </row>
    <row r="3492" spans="14:14" x14ac:dyDescent="0.4">
      <c r="N3492" s="26"/>
    </row>
    <row r="3493" spans="14:14" x14ac:dyDescent="0.4">
      <c r="N3493" s="26"/>
    </row>
    <row r="3494" spans="14:14" x14ac:dyDescent="0.4">
      <c r="N3494" s="26"/>
    </row>
    <row r="3495" spans="14:14" x14ac:dyDescent="0.4">
      <c r="N3495" s="26"/>
    </row>
    <row r="3496" spans="14:14" x14ac:dyDescent="0.4">
      <c r="N3496" s="26"/>
    </row>
    <row r="3497" spans="14:14" x14ac:dyDescent="0.4">
      <c r="N3497" s="26"/>
    </row>
    <row r="3498" spans="14:14" x14ac:dyDescent="0.4">
      <c r="N3498" s="26"/>
    </row>
    <row r="3499" spans="14:14" x14ac:dyDescent="0.4">
      <c r="N3499" s="26"/>
    </row>
    <row r="3500" spans="14:14" x14ac:dyDescent="0.4">
      <c r="N3500" s="26"/>
    </row>
    <row r="3501" spans="14:14" x14ac:dyDescent="0.4">
      <c r="N3501" s="26"/>
    </row>
    <row r="3502" spans="14:14" x14ac:dyDescent="0.4">
      <c r="N3502" s="26"/>
    </row>
    <row r="3503" spans="14:14" x14ac:dyDescent="0.4">
      <c r="N3503" s="26"/>
    </row>
    <row r="3504" spans="14:14" x14ac:dyDescent="0.4">
      <c r="N3504" s="26"/>
    </row>
    <row r="3505" spans="14:14" x14ac:dyDescent="0.4">
      <c r="N3505" s="26"/>
    </row>
    <row r="3506" spans="14:14" x14ac:dyDescent="0.4">
      <c r="N3506" s="26"/>
    </row>
  </sheetData>
  <sheetProtection algorithmName="SHA-512" hashValue="WOZM6fMITllRcVqMaL2peLfObBM6fScBhwqzZVu+W1ocOWjrrliuPKikoBIAPc6YR7sHJ+FI3xvr/cGw+7FU6g==" saltValue="lT7xUTOSSd4h0n8jZM3cQw==" spinCount="100000" sheet="1" objects="1" scenarios="1"/>
  <phoneticPr fontId="0"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157"/>
  <sheetViews>
    <sheetView showGridLines="0" zoomScaleNormal="100" workbookViewId="0"/>
  </sheetViews>
  <sheetFormatPr defaultColWidth="9.109375" defaultRowHeight="12.3" x14ac:dyDescent="0.4"/>
  <cols>
    <col min="1" max="1" width="4" style="27" customWidth="1"/>
    <col min="2" max="2" width="24.6640625" style="27" customWidth="1"/>
    <col min="3" max="3" width="26" style="27" customWidth="1"/>
    <col min="4" max="4" width="14" style="27" bestFit="1" customWidth="1"/>
    <col min="5" max="5" width="12.109375" style="27" customWidth="1"/>
    <col min="6" max="6" width="13.109375" style="27" customWidth="1"/>
    <col min="7" max="7" width="16.5546875" style="27" customWidth="1"/>
    <col min="8" max="8" width="23.6640625" style="27" customWidth="1"/>
    <col min="9" max="9" width="13.33203125" style="27" customWidth="1"/>
    <col min="10" max="10" width="10.33203125" style="27" customWidth="1"/>
    <col min="11" max="16384" width="9.109375" style="27"/>
  </cols>
  <sheetData>
    <row r="2" spans="2:9" ht="15" x14ac:dyDescent="0.5">
      <c r="B2" s="31" t="s">
        <v>245</v>
      </c>
      <c r="C2" s="121"/>
      <c r="D2" s="121"/>
      <c r="E2" s="121"/>
      <c r="F2" s="121"/>
      <c r="G2" s="121"/>
    </row>
    <row r="3" spans="2:9" ht="15" x14ac:dyDescent="0.5">
      <c r="B3" s="31" t="s">
        <v>246</v>
      </c>
    </row>
    <row r="5" spans="2:9" x14ac:dyDescent="0.4">
      <c r="B5" s="164" t="s">
        <v>43</v>
      </c>
    </row>
    <row r="6" spans="2:9" x14ac:dyDescent="0.4">
      <c r="B6" s="28" t="s">
        <v>39</v>
      </c>
      <c r="C6" s="39" t="s">
        <v>62</v>
      </c>
      <c r="G6" s="351" t="s">
        <v>304</v>
      </c>
    </row>
    <row r="7" spans="2:9" x14ac:dyDescent="0.4">
      <c r="B7" s="28" t="s">
        <v>40</v>
      </c>
      <c r="C7" s="39" t="s">
        <v>77</v>
      </c>
      <c r="D7" s="165"/>
      <c r="G7" s="351" t="s">
        <v>306</v>
      </c>
    </row>
    <row r="8" spans="2:9" x14ac:dyDescent="0.4">
      <c r="B8" s="28" t="s">
        <v>128</v>
      </c>
      <c r="C8" s="39" t="s">
        <v>78</v>
      </c>
      <c r="D8" s="165"/>
      <c r="G8" s="351" t="s">
        <v>307</v>
      </c>
      <c r="H8" s="352" t="s">
        <v>305</v>
      </c>
    </row>
    <row r="9" spans="2:9" x14ac:dyDescent="0.4">
      <c r="B9" s="28" t="s">
        <v>42</v>
      </c>
      <c r="C9" s="39" t="s">
        <v>79</v>
      </c>
      <c r="D9" s="165"/>
    </row>
    <row r="10" spans="2:9" x14ac:dyDescent="0.4">
      <c r="B10" s="49"/>
      <c r="D10" s="165"/>
    </row>
    <row r="11" spans="2:9" x14ac:dyDescent="0.4">
      <c r="B11" s="49"/>
      <c r="D11" s="165"/>
    </row>
    <row r="12" spans="2:9" x14ac:dyDescent="0.4">
      <c r="B12" s="28" t="s">
        <v>39</v>
      </c>
      <c r="C12" s="166"/>
      <c r="G12" s="28" t="s">
        <v>40</v>
      </c>
    </row>
    <row r="13" spans="2:9" x14ac:dyDescent="0.4">
      <c r="C13" s="167" t="s">
        <v>72</v>
      </c>
      <c r="D13" s="28" t="s">
        <v>73</v>
      </c>
      <c r="E13" s="28" t="s">
        <v>69</v>
      </c>
      <c r="H13" s="167" t="s">
        <v>72</v>
      </c>
      <c r="I13" s="28" t="s">
        <v>73</v>
      </c>
    </row>
    <row r="14" spans="2:9" x14ac:dyDescent="0.4">
      <c r="B14" s="383" t="s">
        <v>286</v>
      </c>
      <c r="C14" s="382"/>
      <c r="D14" s="240">
        <v>47520</v>
      </c>
      <c r="E14" s="241">
        <v>15000</v>
      </c>
      <c r="G14" s="377"/>
      <c r="H14" s="377"/>
      <c r="I14" s="240"/>
    </row>
    <row r="15" spans="2:9" x14ac:dyDescent="0.4">
      <c r="B15" s="382" t="s">
        <v>288</v>
      </c>
      <c r="C15" s="382"/>
      <c r="D15" s="240">
        <v>4500</v>
      </c>
      <c r="E15" s="241">
        <v>0</v>
      </c>
      <c r="G15" s="377"/>
      <c r="H15" s="377"/>
      <c r="I15" s="240"/>
    </row>
    <row r="16" spans="2:9" x14ac:dyDescent="0.4">
      <c r="B16" s="382" t="s">
        <v>287</v>
      </c>
      <c r="C16" s="382"/>
      <c r="D16" s="240">
        <v>7000</v>
      </c>
      <c r="E16" s="241">
        <v>0</v>
      </c>
      <c r="G16" s="377"/>
      <c r="H16" s="377"/>
      <c r="I16" s="240"/>
    </row>
    <row r="17" spans="2:16" x14ac:dyDescent="0.4">
      <c r="B17" s="382" t="s">
        <v>289</v>
      </c>
      <c r="C17" s="382"/>
      <c r="D17" s="240">
        <v>3500</v>
      </c>
      <c r="E17" s="241">
        <v>0</v>
      </c>
      <c r="G17" s="377"/>
      <c r="H17" s="377"/>
      <c r="I17" s="240"/>
    </row>
    <row r="18" spans="2:16" x14ac:dyDescent="0.4">
      <c r="B18" s="382"/>
      <c r="C18" s="382"/>
      <c r="D18" s="240"/>
      <c r="E18" s="241"/>
      <c r="G18" s="377"/>
      <c r="H18" s="377"/>
      <c r="I18" s="240"/>
    </row>
    <row r="19" spans="2:16" x14ac:dyDescent="0.4">
      <c r="B19" s="28" t="s">
        <v>76</v>
      </c>
      <c r="C19" s="166"/>
      <c r="D19" s="242">
        <f>SUM(D14:D18)</f>
        <v>62520</v>
      </c>
      <c r="E19" s="43">
        <f>SUM(E14:E18)</f>
        <v>15000</v>
      </c>
      <c r="G19" s="28" t="s">
        <v>135</v>
      </c>
      <c r="H19" s="166"/>
      <c r="I19" s="242">
        <f>SUM(I14:I18)</f>
        <v>0</v>
      </c>
    </row>
    <row r="20" spans="2:16" x14ac:dyDescent="0.4">
      <c r="I20" s="40"/>
    </row>
    <row r="21" spans="2:16" x14ac:dyDescent="0.4">
      <c r="G21" s="28" t="s">
        <v>42</v>
      </c>
      <c r="H21" s="166"/>
      <c r="I21" s="40"/>
    </row>
    <row r="22" spans="2:16" x14ac:dyDescent="0.4">
      <c r="B22" s="28" t="s">
        <v>128</v>
      </c>
      <c r="C22" s="167" t="s">
        <v>72</v>
      </c>
      <c r="D22" s="28" t="s">
        <v>73</v>
      </c>
      <c r="H22" s="167" t="s">
        <v>72</v>
      </c>
      <c r="I22" s="46" t="s">
        <v>73</v>
      </c>
    </row>
    <row r="23" spans="2:16" x14ac:dyDescent="0.4">
      <c r="B23" s="384" t="s">
        <v>150</v>
      </c>
      <c r="C23" s="385"/>
      <c r="D23" s="345">
        <f>SUM(D24:D42)</f>
        <v>45123</v>
      </c>
      <c r="G23" s="377"/>
      <c r="H23" s="377"/>
      <c r="I23" s="240"/>
    </row>
    <row r="24" spans="2:16" x14ac:dyDescent="0.4">
      <c r="B24" s="378" t="s">
        <v>290</v>
      </c>
      <c r="C24" s="379"/>
      <c r="D24" s="243">
        <v>18760</v>
      </c>
      <c r="G24" s="377"/>
      <c r="H24" s="377"/>
      <c r="I24" s="240"/>
    </row>
    <row r="25" spans="2:16" x14ac:dyDescent="0.4">
      <c r="B25" s="380" t="s">
        <v>183</v>
      </c>
      <c r="C25" s="381"/>
      <c r="D25" s="244">
        <v>731</v>
      </c>
      <c r="G25" s="377"/>
      <c r="H25" s="377"/>
      <c r="I25" s="240"/>
    </row>
    <row r="26" spans="2:16" x14ac:dyDescent="0.4">
      <c r="B26" s="369" t="s">
        <v>292</v>
      </c>
      <c r="C26" s="370"/>
      <c r="D26" s="244">
        <v>400</v>
      </c>
      <c r="G26" s="377"/>
      <c r="H26" s="377"/>
      <c r="I26" s="240"/>
    </row>
    <row r="27" spans="2:16" x14ac:dyDescent="0.4">
      <c r="B27" s="369" t="s">
        <v>284</v>
      </c>
      <c r="C27" s="370"/>
      <c r="D27" s="244">
        <v>3200</v>
      </c>
      <c r="G27" s="377"/>
      <c r="H27" s="377"/>
      <c r="I27" s="240"/>
    </row>
    <row r="28" spans="2:16" x14ac:dyDescent="0.4">
      <c r="B28" s="376" t="s">
        <v>186</v>
      </c>
      <c r="C28" s="364"/>
      <c r="D28" s="245">
        <v>350</v>
      </c>
      <c r="G28" s="28" t="s">
        <v>136</v>
      </c>
      <c r="H28" s="166"/>
      <c r="I28" s="242">
        <f>SUM(I23:I27)</f>
        <v>0</v>
      </c>
      <c r="J28" s="39"/>
      <c r="K28" s="39"/>
      <c r="L28" s="39"/>
      <c r="M28" s="39"/>
      <c r="N28" s="39"/>
      <c r="O28" s="39"/>
      <c r="P28" s="39"/>
    </row>
    <row r="29" spans="2:16" x14ac:dyDescent="0.4">
      <c r="B29" s="376" t="s">
        <v>293</v>
      </c>
      <c r="C29" s="364"/>
      <c r="D29" s="245">
        <v>3500</v>
      </c>
      <c r="G29" s="39"/>
      <c r="H29" s="169"/>
      <c r="I29" s="39"/>
      <c r="J29" s="39"/>
      <c r="K29" s="39"/>
      <c r="L29" s="39"/>
      <c r="M29" s="39"/>
      <c r="N29" s="39"/>
      <c r="O29" s="39"/>
      <c r="P29" s="39"/>
    </row>
    <row r="30" spans="2:16" x14ac:dyDescent="0.4">
      <c r="B30" s="376" t="s">
        <v>294</v>
      </c>
      <c r="C30" s="364"/>
      <c r="D30" s="245">
        <v>350</v>
      </c>
      <c r="E30" s="30"/>
      <c r="G30" s="39"/>
      <c r="H30" s="39"/>
      <c r="I30" s="39"/>
      <c r="J30" s="39"/>
      <c r="K30" s="39"/>
      <c r="L30" s="39"/>
      <c r="M30" s="39"/>
      <c r="N30" s="39"/>
      <c r="O30" s="39"/>
      <c r="P30" s="39"/>
    </row>
    <row r="31" spans="2:16" x14ac:dyDescent="0.4">
      <c r="B31" s="376" t="s">
        <v>295</v>
      </c>
      <c r="C31" s="364"/>
      <c r="D31" s="245">
        <v>1750</v>
      </c>
      <c r="G31" s="280" t="s">
        <v>147</v>
      </c>
      <c r="H31" s="281" t="s">
        <v>72</v>
      </c>
      <c r="I31" s="276" t="s">
        <v>154</v>
      </c>
      <c r="J31" s="282" t="s">
        <v>155</v>
      </c>
      <c r="K31" s="283" t="s">
        <v>73</v>
      </c>
      <c r="L31" s="39"/>
      <c r="M31" s="39"/>
      <c r="N31" s="39"/>
      <c r="O31" s="39"/>
      <c r="P31" s="39"/>
    </row>
    <row r="32" spans="2:16" x14ac:dyDescent="0.4">
      <c r="B32" s="375" t="s">
        <v>187</v>
      </c>
      <c r="C32" s="364" t="s">
        <v>187</v>
      </c>
      <c r="D32" s="245">
        <v>500</v>
      </c>
      <c r="G32" s="365" t="s">
        <v>298</v>
      </c>
      <c r="H32" s="366"/>
      <c r="I32" s="346">
        <v>1300</v>
      </c>
      <c r="J32" s="290">
        <v>1</v>
      </c>
      <c r="K32" s="288">
        <f t="shared" ref="K32:K41" si="0">I32*J32</f>
        <v>1300</v>
      </c>
      <c r="L32" s="39"/>
      <c r="M32" s="39"/>
      <c r="N32" s="39"/>
      <c r="O32" s="39"/>
      <c r="P32" s="39"/>
    </row>
    <row r="33" spans="2:16" x14ac:dyDescent="0.4">
      <c r="B33" s="375" t="s">
        <v>185</v>
      </c>
      <c r="C33" s="364" t="s">
        <v>185</v>
      </c>
      <c r="D33" s="245">
        <v>750</v>
      </c>
      <c r="G33" s="363"/>
      <c r="H33" s="364"/>
      <c r="I33" s="347"/>
      <c r="J33" s="291"/>
      <c r="K33" s="288">
        <f t="shared" si="0"/>
        <v>0</v>
      </c>
      <c r="L33" s="39"/>
      <c r="M33" s="39"/>
      <c r="N33" s="39"/>
      <c r="O33" s="39"/>
      <c r="P33" s="39"/>
    </row>
    <row r="34" spans="2:16" x14ac:dyDescent="0.4">
      <c r="B34" s="375" t="s">
        <v>190</v>
      </c>
      <c r="C34" s="364" t="s">
        <v>190</v>
      </c>
      <c r="D34" s="245">
        <v>500</v>
      </c>
      <c r="E34" s="170"/>
      <c r="G34" s="363"/>
      <c r="H34" s="364"/>
      <c r="I34" s="347"/>
      <c r="J34" s="291"/>
      <c r="K34" s="288">
        <f t="shared" si="0"/>
        <v>0</v>
      </c>
    </row>
    <row r="35" spans="2:16" x14ac:dyDescent="0.4">
      <c r="B35" s="375" t="s">
        <v>266</v>
      </c>
      <c r="C35" s="364" t="s">
        <v>266</v>
      </c>
      <c r="D35" s="245">
        <v>6480</v>
      </c>
      <c r="G35" s="363"/>
      <c r="H35" s="364"/>
      <c r="I35" s="347"/>
      <c r="J35" s="291"/>
      <c r="K35" s="288">
        <f t="shared" si="0"/>
        <v>0</v>
      </c>
    </row>
    <row r="36" spans="2:16" x14ac:dyDescent="0.4">
      <c r="B36" s="375" t="s">
        <v>283</v>
      </c>
      <c r="C36" s="364" t="s">
        <v>283</v>
      </c>
      <c r="D36" s="245">
        <v>650</v>
      </c>
      <c r="G36" s="363"/>
      <c r="H36" s="364"/>
      <c r="I36" s="347"/>
      <c r="J36" s="291"/>
      <c r="K36" s="288">
        <f t="shared" si="0"/>
        <v>0</v>
      </c>
    </row>
    <row r="37" spans="2:16" x14ac:dyDescent="0.4">
      <c r="B37" s="375" t="s">
        <v>188</v>
      </c>
      <c r="C37" s="364" t="s">
        <v>188</v>
      </c>
      <c r="D37" s="245">
        <v>2600</v>
      </c>
      <c r="G37" s="363"/>
      <c r="H37" s="364"/>
      <c r="I37" s="347"/>
      <c r="J37" s="291"/>
      <c r="K37" s="288">
        <f t="shared" si="0"/>
        <v>0</v>
      </c>
    </row>
    <row r="38" spans="2:16" x14ac:dyDescent="0.4">
      <c r="B38" s="376" t="s">
        <v>296</v>
      </c>
      <c r="C38" s="364" t="s">
        <v>285</v>
      </c>
      <c r="D38" s="245">
        <v>1252</v>
      </c>
      <c r="G38" s="363"/>
      <c r="H38" s="364"/>
      <c r="I38" s="347"/>
      <c r="J38" s="291"/>
      <c r="K38" s="288">
        <f t="shared" si="0"/>
        <v>0</v>
      </c>
    </row>
    <row r="39" spans="2:16" x14ac:dyDescent="0.4">
      <c r="B39" s="375" t="s">
        <v>184</v>
      </c>
      <c r="C39" s="364">
        <v>2500</v>
      </c>
      <c r="D39" s="245">
        <v>2500</v>
      </c>
      <c r="G39" s="363"/>
      <c r="H39" s="364"/>
      <c r="I39" s="347"/>
      <c r="J39" s="291"/>
      <c r="K39" s="288">
        <f t="shared" si="0"/>
        <v>0</v>
      </c>
    </row>
    <row r="40" spans="2:16" x14ac:dyDescent="0.4">
      <c r="B40" s="355" t="s">
        <v>322</v>
      </c>
      <c r="C40" s="356"/>
      <c r="D40" s="245">
        <v>850</v>
      </c>
      <c r="E40" s="26"/>
      <c r="G40" s="363"/>
      <c r="H40" s="364"/>
      <c r="I40" s="347"/>
      <c r="J40" s="291"/>
      <c r="K40" s="288">
        <f t="shared" si="0"/>
        <v>0</v>
      </c>
    </row>
    <row r="41" spans="2:16" x14ac:dyDescent="0.4">
      <c r="B41" s="357"/>
      <c r="C41" s="356"/>
      <c r="D41" s="245"/>
      <c r="G41" s="363"/>
      <c r="H41" s="364"/>
      <c r="I41" s="348"/>
      <c r="J41" s="292"/>
      <c r="K41" s="289">
        <f t="shared" si="0"/>
        <v>0</v>
      </c>
    </row>
    <row r="42" spans="2:16" x14ac:dyDescent="0.4">
      <c r="B42" s="371"/>
      <c r="C42" s="372"/>
      <c r="D42" s="245"/>
      <c r="H42" s="28" t="s">
        <v>144</v>
      </c>
      <c r="J42" s="30"/>
      <c r="K42" s="250">
        <f>SUM(K32:K41)</f>
        <v>1300</v>
      </c>
    </row>
    <row r="43" spans="2:16" x14ac:dyDescent="0.4">
      <c r="B43" s="278" t="s">
        <v>152</v>
      </c>
      <c r="C43" s="276"/>
      <c r="D43" s="277">
        <f>SUM(D44:D50)</f>
        <v>1900</v>
      </c>
      <c r="G43" s="110"/>
      <c r="H43" s="110"/>
      <c r="I43" s="110"/>
      <c r="J43" s="110"/>
      <c r="K43" s="110"/>
    </row>
    <row r="44" spans="2:16" x14ac:dyDescent="0.4">
      <c r="B44" s="373" t="s">
        <v>189</v>
      </c>
      <c r="C44" s="374"/>
      <c r="D44" s="245">
        <v>1200</v>
      </c>
      <c r="G44" s="278" t="s">
        <v>151</v>
      </c>
      <c r="H44" s="276"/>
      <c r="I44" s="276" t="s">
        <v>154</v>
      </c>
      <c r="J44" s="276" t="s">
        <v>155</v>
      </c>
      <c r="K44" s="279" t="s">
        <v>73</v>
      </c>
    </row>
    <row r="45" spans="2:16" x14ac:dyDescent="0.4">
      <c r="B45" s="369" t="s">
        <v>323</v>
      </c>
      <c r="C45" s="370"/>
      <c r="D45" s="245">
        <v>700</v>
      </c>
      <c r="G45" s="367"/>
      <c r="H45" s="368"/>
      <c r="I45" s="297"/>
      <c r="J45" s="298"/>
      <c r="K45" s="287">
        <f>I45*J45</f>
        <v>0</v>
      </c>
    </row>
    <row r="46" spans="2:16" x14ac:dyDescent="0.4">
      <c r="B46" s="369"/>
      <c r="C46" s="370"/>
      <c r="D46" s="245"/>
      <c r="G46" s="363"/>
      <c r="H46" s="364"/>
      <c r="I46" s="299"/>
      <c r="J46" s="300"/>
      <c r="K46" s="287">
        <f>I46*J46</f>
        <v>0</v>
      </c>
    </row>
    <row r="47" spans="2:16" x14ac:dyDescent="0.4">
      <c r="B47" s="369"/>
      <c r="C47" s="370"/>
      <c r="D47" s="245"/>
      <c r="G47" s="363"/>
      <c r="H47" s="364"/>
      <c r="I47" s="299"/>
      <c r="J47" s="300"/>
      <c r="K47" s="287">
        <f>I47*J47</f>
        <v>0</v>
      </c>
    </row>
    <row r="48" spans="2:16" x14ac:dyDescent="0.4">
      <c r="B48" s="369"/>
      <c r="C48" s="370"/>
      <c r="D48" s="245"/>
      <c r="G48" s="363"/>
      <c r="H48" s="364"/>
      <c r="I48" s="299"/>
      <c r="J48" s="300"/>
      <c r="K48" s="287">
        <f>I48*J48</f>
        <v>0</v>
      </c>
    </row>
    <row r="49" spans="2:11" x14ac:dyDescent="0.4">
      <c r="B49" s="369"/>
      <c r="C49" s="370"/>
      <c r="D49" s="245"/>
      <c r="G49" s="363"/>
      <c r="H49" s="364"/>
      <c r="I49" s="301"/>
      <c r="J49" s="302"/>
      <c r="K49" s="287">
        <f>I49*J49</f>
        <v>0</v>
      </c>
    </row>
    <row r="50" spans="2:11" x14ac:dyDescent="0.4">
      <c r="B50" s="371"/>
      <c r="C50" s="372"/>
      <c r="D50" s="245"/>
      <c r="J50" s="28" t="s">
        <v>144</v>
      </c>
      <c r="K50" s="250">
        <f>SUM(K45:K49)</f>
        <v>0</v>
      </c>
    </row>
    <row r="51" spans="2:11" x14ac:dyDescent="0.4">
      <c r="B51" s="278" t="s">
        <v>153</v>
      </c>
      <c r="C51" s="276"/>
      <c r="D51" s="277">
        <f>SUM(D52:D57)</f>
        <v>6000</v>
      </c>
    </row>
    <row r="52" spans="2:11" x14ac:dyDescent="0.4">
      <c r="B52" s="365" t="s">
        <v>297</v>
      </c>
      <c r="C52" s="368"/>
      <c r="D52" s="245">
        <v>6000</v>
      </c>
    </row>
    <row r="53" spans="2:11" x14ac:dyDescent="0.4">
      <c r="B53" s="363"/>
      <c r="C53" s="364"/>
      <c r="D53" s="245"/>
    </row>
    <row r="54" spans="2:11" x14ac:dyDescent="0.4">
      <c r="B54" s="363"/>
      <c r="C54" s="364"/>
      <c r="D54" s="245"/>
    </row>
    <row r="55" spans="2:11" x14ac:dyDescent="0.4">
      <c r="B55" s="363"/>
      <c r="C55" s="364"/>
      <c r="D55" s="245"/>
    </row>
    <row r="56" spans="2:11" x14ac:dyDescent="0.4">
      <c r="B56" s="363"/>
      <c r="C56" s="364"/>
      <c r="D56" s="245"/>
    </row>
    <row r="57" spans="2:11" x14ac:dyDescent="0.4">
      <c r="B57" s="363"/>
      <c r="C57" s="364"/>
      <c r="D57" s="247"/>
    </row>
    <row r="58" spans="2:11" x14ac:dyDescent="0.4">
      <c r="B58" s="28" t="s">
        <v>164</v>
      </c>
      <c r="C58" s="166"/>
      <c r="D58" s="248">
        <f>D23+K42+K50+D43+D51</f>
        <v>54323</v>
      </c>
    </row>
    <row r="59" spans="2:11" x14ac:dyDescent="0.4">
      <c r="B59" s="28" t="s">
        <v>291</v>
      </c>
      <c r="C59" s="166"/>
      <c r="D59" s="193">
        <v>0.2</v>
      </c>
    </row>
    <row r="60" spans="2:11" x14ac:dyDescent="0.4">
      <c r="B60" s="28" t="s">
        <v>178</v>
      </c>
      <c r="C60" s="166"/>
      <c r="D60" s="249">
        <f>D58*D59</f>
        <v>10864.6</v>
      </c>
    </row>
    <row r="61" spans="2:11" x14ac:dyDescent="0.4">
      <c r="B61" s="37" t="s">
        <v>165</v>
      </c>
      <c r="C61" s="166"/>
      <c r="D61" s="246">
        <f>D58+D60</f>
        <v>65187.6</v>
      </c>
    </row>
    <row r="62" spans="2:11" x14ac:dyDescent="0.4">
      <c r="B62" s="171"/>
      <c r="C62" s="166"/>
      <c r="D62" s="246"/>
    </row>
    <row r="63" spans="2:11" x14ac:dyDescent="0.4">
      <c r="B63" s="28" t="s">
        <v>98</v>
      </c>
      <c r="C63" s="166"/>
      <c r="D63" s="240">
        <v>2000</v>
      </c>
    </row>
    <row r="64" spans="2:11" x14ac:dyDescent="0.4">
      <c r="B64" s="28" t="s">
        <v>277</v>
      </c>
      <c r="C64" s="166"/>
      <c r="D64" s="242">
        <f>D19+D61+D63+I19+I28</f>
        <v>129707.6</v>
      </c>
    </row>
    <row r="65" spans="2:12" x14ac:dyDescent="0.4">
      <c r="B65" s="28"/>
      <c r="C65" s="39"/>
      <c r="D65" s="39"/>
      <c r="J65" s="30"/>
      <c r="K65" s="30"/>
    </row>
    <row r="66" spans="2:12" x14ac:dyDescent="0.4">
      <c r="B66" s="28"/>
      <c r="C66" s="39"/>
      <c r="D66" s="39"/>
    </row>
    <row r="67" spans="2:12" x14ac:dyDescent="0.4">
      <c r="B67" s="28"/>
      <c r="C67" s="39"/>
      <c r="D67" s="39"/>
    </row>
    <row r="68" spans="2:12" x14ac:dyDescent="0.4">
      <c r="B68" s="28"/>
      <c r="C68" s="39"/>
      <c r="D68" s="39"/>
    </row>
    <row r="69" spans="2:12" x14ac:dyDescent="0.4">
      <c r="B69" s="28"/>
      <c r="C69" s="39"/>
      <c r="D69" s="39"/>
    </row>
    <row r="70" spans="2:12" x14ac:dyDescent="0.4">
      <c r="B70" s="28"/>
      <c r="C70" s="39"/>
      <c r="D70" s="39"/>
    </row>
    <row r="71" spans="2:12" x14ac:dyDescent="0.4">
      <c r="B71" s="28"/>
      <c r="C71" s="39"/>
      <c r="D71" s="39"/>
    </row>
    <row r="72" spans="2:12" x14ac:dyDescent="0.4">
      <c r="B72" s="28"/>
      <c r="C72" s="39"/>
      <c r="D72" s="39"/>
    </row>
    <row r="73" spans="2:12" x14ac:dyDescent="0.4">
      <c r="B73" s="28"/>
      <c r="C73" s="39"/>
      <c r="D73" s="39"/>
    </row>
    <row r="74" spans="2:12" x14ac:dyDescent="0.4">
      <c r="B74" s="28"/>
      <c r="C74" s="39"/>
      <c r="D74" s="39"/>
    </row>
    <row r="75" spans="2:12" x14ac:dyDescent="0.4">
      <c r="B75" s="49" t="s">
        <v>61</v>
      </c>
    </row>
    <row r="77" spans="2:12" x14ac:dyDescent="0.4">
      <c r="B77" s="27" t="s">
        <v>60</v>
      </c>
      <c r="C77" s="27">
        <v>1</v>
      </c>
      <c r="D77" s="27">
        <v>2</v>
      </c>
      <c r="E77" s="27">
        <v>3</v>
      </c>
      <c r="F77" s="27">
        <v>4</v>
      </c>
      <c r="G77" s="27">
        <v>5</v>
      </c>
      <c r="H77" s="27">
        <v>6</v>
      </c>
      <c r="I77" s="27">
        <v>7</v>
      </c>
      <c r="J77" s="27">
        <v>8</v>
      </c>
      <c r="K77" s="27">
        <v>9</v>
      </c>
      <c r="L77" s="27">
        <v>10</v>
      </c>
    </row>
    <row r="78" spans="2:12" x14ac:dyDescent="0.4">
      <c r="B78" s="27" t="s">
        <v>39</v>
      </c>
      <c r="C78" s="43">
        <f t="shared" ref="C78:L78" si="1">$C$96</f>
        <v>1218.4615384615386</v>
      </c>
      <c r="D78" s="43">
        <f t="shared" si="1"/>
        <v>1218.4615384615386</v>
      </c>
      <c r="E78" s="43">
        <f t="shared" si="1"/>
        <v>1218.4615384615386</v>
      </c>
      <c r="F78" s="43">
        <f t="shared" si="1"/>
        <v>1218.4615384615386</v>
      </c>
      <c r="G78" s="43">
        <f t="shared" si="1"/>
        <v>1218.4615384615386</v>
      </c>
      <c r="H78" s="43">
        <f t="shared" si="1"/>
        <v>1218.4615384615386</v>
      </c>
      <c r="I78" s="43">
        <f t="shared" si="1"/>
        <v>1218.4615384615386</v>
      </c>
      <c r="J78" s="43">
        <f t="shared" si="1"/>
        <v>1218.4615384615386</v>
      </c>
      <c r="K78" s="43">
        <f t="shared" si="1"/>
        <v>1218.4615384615386</v>
      </c>
      <c r="L78" s="43">
        <f t="shared" si="1"/>
        <v>1218.4615384615386</v>
      </c>
    </row>
    <row r="79" spans="2:12" x14ac:dyDescent="0.4">
      <c r="B79" s="27" t="s">
        <v>40</v>
      </c>
      <c r="C79" s="43">
        <f>+C104</f>
        <v>0</v>
      </c>
      <c r="D79" s="43">
        <f>+C105</f>
        <v>0</v>
      </c>
      <c r="E79" s="43">
        <f>+C106</f>
        <v>0</v>
      </c>
      <c r="F79" s="43">
        <f>+C107</f>
        <v>0</v>
      </c>
      <c r="G79" s="43">
        <f>+C108</f>
        <v>0</v>
      </c>
      <c r="H79" s="43">
        <f>+C109</f>
        <v>0</v>
      </c>
      <c r="I79" s="43">
        <f>+C110</f>
        <v>0</v>
      </c>
      <c r="J79" s="43">
        <f>+C111</f>
        <v>0</v>
      </c>
      <c r="K79" s="43">
        <f>C112</f>
        <v>0</v>
      </c>
      <c r="L79" s="43">
        <f>+C113</f>
        <v>0</v>
      </c>
    </row>
    <row r="80" spans="2:12" x14ac:dyDescent="0.4">
      <c r="B80" s="27" t="s">
        <v>128</v>
      </c>
      <c r="C80" s="43">
        <f>+$C$117</f>
        <v>7762.7566999999999</v>
      </c>
      <c r="D80" s="43">
        <f>+$C$118</f>
        <v>13303.7027</v>
      </c>
      <c r="E80" s="43">
        <f>+$C$119</f>
        <v>9501.0926999999992</v>
      </c>
      <c r="F80" s="43">
        <f>+$C$120</f>
        <v>6784.9426999999996</v>
      </c>
      <c r="G80" s="43">
        <f>+$C$121</f>
        <v>4851.0439000000006</v>
      </c>
      <c r="H80" s="43">
        <f>+$C$122</f>
        <v>4845.6116000000002</v>
      </c>
      <c r="I80" s="43">
        <f>+$C$123</f>
        <v>4851.0439000000006</v>
      </c>
      <c r="J80" s="43">
        <f>C124</f>
        <v>2422.8058000000001</v>
      </c>
      <c r="K80" s="43"/>
      <c r="L80" s="43"/>
    </row>
    <row r="81" spans="2:12" x14ac:dyDescent="0.4">
      <c r="B81" s="27" t="s">
        <v>42</v>
      </c>
      <c r="C81" s="43">
        <f>+$C$128</f>
        <v>0</v>
      </c>
      <c r="D81" s="43">
        <f>+$C$129</f>
        <v>0</v>
      </c>
      <c r="E81" s="43">
        <f>+$C$130</f>
        <v>0</v>
      </c>
      <c r="F81" s="43">
        <f>+$C$131</f>
        <v>0</v>
      </c>
      <c r="G81" s="43">
        <f>+$C$132</f>
        <v>0</v>
      </c>
      <c r="H81" s="43">
        <f>+$C$133</f>
        <v>0</v>
      </c>
      <c r="I81" s="43"/>
      <c r="J81" s="43"/>
      <c r="K81" s="43"/>
      <c r="L81" s="43"/>
    </row>
    <row r="82" spans="2:12" x14ac:dyDescent="0.4">
      <c r="C82" s="43"/>
      <c r="D82" s="43"/>
      <c r="E82" s="43"/>
      <c r="F82" s="43"/>
      <c r="G82" s="43"/>
      <c r="H82" s="43"/>
      <c r="I82" s="43"/>
      <c r="J82" s="43"/>
      <c r="K82" s="43"/>
      <c r="L82" s="43"/>
    </row>
    <row r="83" spans="2:12" x14ac:dyDescent="0.4">
      <c r="B83" s="28" t="s">
        <v>63</v>
      </c>
      <c r="C83" s="43">
        <f t="shared" ref="C83:I83" si="2">SUM(C78:C81)</f>
        <v>8981.2182384615389</v>
      </c>
      <c r="D83" s="43">
        <f t="shared" si="2"/>
        <v>14522.164238461539</v>
      </c>
      <c r="E83" s="43">
        <f t="shared" si="2"/>
        <v>10719.554238461538</v>
      </c>
      <c r="F83" s="43">
        <f t="shared" si="2"/>
        <v>8003.4042384615386</v>
      </c>
      <c r="G83" s="43">
        <f t="shared" si="2"/>
        <v>6069.5054384615396</v>
      </c>
      <c r="H83" s="43">
        <f t="shared" si="2"/>
        <v>6064.0731384615392</v>
      </c>
      <c r="I83" s="43">
        <f t="shared" si="2"/>
        <v>6069.5054384615396</v>
      </c>
      <c r="J83" s="43">
        <f>SUM(J78:J80)</f>
        <v>3641.2673384615387</v>
      </c>
      <c r="K83" s="43">
        <f>SUM(K78:K80)</f>
        <v>1218.4615384615386</v>
      </c>
      <c r="L83" s="43">
        <f>SUM(L78:L80)</f>
        <v>1218.4615384615386</v>
      </c>
    </row>
    <row r="84" spans="2:12" x14ac:dyDescent="0.4">
      <c r="B84" s="28"/>
      <c r="C84" s="39"/>
      <c r="E84" s="39"/>
      <c r="F84" s="39"/>
      <c r="J84" s="39"/>
      <c r="K84" s="39"/>
      <c r="L84" s="39"/>
    </row>
    <row r="85" spans="2:12" x14ac:dyDescent="0.4">
      <c r="B85" s="28" t="s">
        <v>39</v>
      </c>
      <c r="C85" s="39" t="s">
        <v>62</v>
      </c>
    </row>
    <row r="86" spans="2:12" x14ac:dyDescent="0.4">
      <c r="B86" s="28" t="s">
        <v>40</v>
      </c>
      <c r="C86" s="39" t="s">
        <v>64</v>
      </c>
    </row>
    <row r="87" spans="2:12" x14ac:dyDescent="0.4">
      <c r="B87" s="28" t="s">
        <v>41</v>
      </c>
      <c r="C87" s="39" t="s">
        <v>65</v>
      </c>
    </row>
    <row r="88" spans="2:12" x14ac:dyDescent="0.4">
      <c r="B88" s="28" t="s">
        <v>42</v>
      </c>
      <c r="C88" s="39" t="s">
        <v>66</v>
      </c>
    </row>
    <row r="90" spans="2:12" x14ac:dyDescent="0.4">
      <c r="C90" s="166"/>
    </row>
    <row r="91" spans="2:12" x14ac:dyDescent="0.4">
      <c r="B91" s="28" t="s">
        <v>39</v>
      </c>
      <c r="C91" s="173"/>
    </row>
    <row r="92" spans="2:12" x14ac:dyDescent="0.4">
      <c r="B92" s="27" t="s">
        <v>67</v>
      </c>
      <c r="C92" s="330">
        <f>+D19</f>
        <v>62520</v>
      </c>
    </row>
    <row r="93" spans="2:12" x14ac:dyDescent="0.4">
      <c r="B93" s="174" t="s">
        <v>68</v>
      </c>
      <c r="C93" s="153">
        <v>39</v>
      </c>
    </row>
    <row r="94" spans="2:12" x14ac:dyDescent="0.4">
      <c r="B94" s="174" t="s">
        <v>69</v>
      </c>
      <c r="C94" s="287">
        <f>+E19</f>
        <v>15000</v>
      </c>
    </row>
    <row r="95" spans="2:12" x14ac:dyDescent="0.4">
      <c r="B95" s="174" t="s">
        <v>70</v>
      </c>
      <c r="C95" s="153">
        <v>39</v>
      </c>
    </row>
    <row r="96" spans="2:12" x14ac:dyDescent="0.4">
      <c r="B96" s="27" t="s">
        <v>122</v>
      </c>
      <c r="C96" s="39">
        <f>(C92-C94)/C95</f>
        <v>1218.4615384615386</v>
      </c>
    </row>
    <row r="98" spans="2:4" x14ac:dyDescent="0.4">
      <c r="B98" s="28" t="s">
        <v>134</v>
      </c>
    </row>
    <row r="99" spans="2:4" x14ac:dyDescent="0.4">
      <c r="B99" s="27" t="s">
        <v>67</v>
      </c>
      <c r="C99" s="168">
        <f>$I$19</f>
        <v>0</v>
      </c>
    </row>
    <row r="100" spans="2:4" x14ac:dyDescent="0.4">
      <c r="B100" s="27" t="s">
        <v>68</v>
      </c>
    </row>
    <row r="101" spans="2:4" x14ac:dyDescent="0.4">
      <c r="C101" s="15"/>
    </row>
    <row r="103" spans="2:4" x14ac:dyDescent="0.4">
      <c r="B103" s="49" t="s">
        <v>60</v>
      </c>
      <c r="C103" s="50" t="s">
        <v>43</v>
      </c>
      <c r="D103" s="49" t="s">
        <v>71</v>
      </c>
    </row>
    <row r="104" spans="2:4" x14ac:dyDescent="0.4">
      <c r="B104" s="27">
        <v>1</v>
      </c>
      <c r="C104" s="43">
        <f>$I$19*D104</f>
        <v>0</v>
      </c>
      <c r="D104" s="175">
        <v>0.1</v>
      </c>
    </row>
    <row r="105" spans="2:4" x14ac:dyDescent="0.4">
      <c r="B105" s="27">
        <v>2</v>
      </c>
      <c r="C105" s="43">
        <f>$I$19*D105</f>
        <v>0</v>
      </c>
      <c r="D105" s="175">
        <v>0.14000000000000001</v>
      </c>
    </row>
    <row r="106" spans="2:4" x14ac:dyDescent="0.4">
      <c r="B106" s="27">
        <v>3</v>
      </c>
      <c r="C106" s="43">
        <f>$I$19*D106</f>
        <v>0</v>
      </c>
      <c r="D106" s="175">
        <v>0.14000000000000001</v>
      </c>
    </row>
    <row r="107" spans="2:4" x14ac:dyDescent="0.4">
      <c r="B107" s="27">
        <v>4</v>
      </c>
      <c r="C107" s="43">
        <f>$I$19*D107</f>
        <v>0</v>
      </c>
      <c r="D107" s="175">
        <v>0.14000000000000001</v>
      </c>
    </row>
    <row r="108" spans="2:4" x14ac:dyDescent="0.4">
      <c r="B108" s="27">
        <v>5</v>
      </c>
      <c r="C108" s="43">
        <f t="shared" ref="C108:C113" si="3">$I$19*D108</f>
        <v>0</v>
      </c>
      <c r="D108" s="175">
        <v>0.14000000000000001</v>
      </c>
    </row>
    <row r="109" spans="2:4" x14ac:dyDescent="0.4">
      <c r="B109" s="27">
        <v>6</v>
      </c>
      <c r="C109" s="43">
        <f t="shared" si="3"/>
        <v>0</v>
      </c>
      <c r="D109" s="175">
        <v>0.14000000000000001</v>
      </c>
    </row>
    <row r="110" spans="2:4" x14ac:dyDescent="0.4">
      <c r="B110" s="27">
        <v>7</v>
      </c>
      <c r="C110" s="43">
        <f t="shared" si="3"/>
        <v>0</v>
      </c>
      <c r="D110" s="175">
        <v>0.14000000000000001</v>
      </c>
    </row>
    <row r="111" spans="2:4" x14ac:dyDescent="0.4">
      <c r="B111" s="27">
        <v>8</v>
      </c>
      <c r="C111" s="43">
        <f t="shared" si="3"/>
        <v>0</v>
      </c>
      <c r="D111" s="175">
        <v>0.14000000000000001</v>
      </c>
    </row>
    <row r="112" spans="2:4" x14ac:dyDescent="0.4">
      <c r="B112" s="27">
        <v>9</v>
      </c>
      <c r="C112" s="43">
        <f t="shared" si="3"/>
        <v>0</v>
      </c>
      <c r="D112" s="175">
        <v>0.14000000000000001</v>
      </c>
    </row>
    <row r="113" spans="2:12" x14ac:dyDescent="0.4">
      <c r="B113" s="27">
        <v>10</v>
      </c>
      <c r="C113" s="43">
        <f t="shared" si="3"/>
        <v>0</v>
      </c>
      <c r="D113" s="175">
        <v>0.14000000000000001</v>
      </c>
    </row>
    <row r="115" spans="2:12" x14ac:dyDescent="0.4">
      <c r="B115" s="28" t="s">
        <v>137</v>
      </c>
      <c r="E115" s="174"/>
      <c r="G115" s="28"/>
      <c r="H115" s="28"/>
      <c r="I115" s="28"/>
    </row>
    <row r="116" spans="2:12" x14ac:dyDescent="0.4">
      <c r="B116" s="49" t="s">
        <v>60</v>
      </c>
      <c r="C116" s="50" t="s">
        <v>43</v>
      </c>
      <c r="D116" s="49" t="s">
        <v>71</v>
      </c>
      <c r="E116" s="174"/>
      <c r="G116" s="153"/>
      <c r="H116" s="153"/>
      <c r="I116" s="153"/>
    </row>
    <row r="117" spans="2:12" x14ac:dyDescent="0.4">
      <c r="B117" s="27">
        <v>1</v>
      </c>
      <c r="C117" s="43">
        <f t="shared" ref="C117:C124" si="4">$D$58*D117</f>
        <v>7762.7566999999999</v>
      </c>
      <c r="D117" s="176">
        <v>0.1429</v>
      </c>
      <c r="E117" s="153"/>
      <c r="F117" s="28"/>
      <c r="J117" s="153"/>
      <c r="K117" s="153"/>
      <c r="L117" s="153"/>
    </row>
    <row r="118" spans="2:12" x14ac:dyDescent="0.4">
      <c r="B118" s="27">
        <v>2</v>
      </c>
      <c r="C118" s="43">
        <f t="shared" si="4"/>
        <v>13303.7027</v>
      </c>
      <c r="D118" s="176">
        <v>0.24490000000000001</v>
      </c>
      <c r="F118" s="153"/>
    </row>
    <row r="119" spans="2:12" x14ac:dyDescent="0.4">
      <c r="B119" s="27">
        <v>3</v>
      </c>
      <c r="C119" s="43">
        <f t="shared" si="4"/>
        <v>9501.0926999999992</v>
      </c>
      <c r="D119" s="176">
        <v>0.1749</v>
      </c>
    </row>
    <row r="120" spans="2:12" x14ac:dyDescent="0.4">
      <c r="B120" s="27">
        <v>4</v>
      </c>
      <c r="C120" s="43">
        <f t="shared" si="4"/>
        <v>6784.9426999999996</v>
      </c>
      <c r="D120" s="176">
        <v>0.1249</v>
      </c>
    </row>
    <row r="121" spans="2:12" x14ac:dyDescent="0.4">
      <c r="B121" s="27">
        <v>5</v>
      </c>
      <c r="C121" s="43">
        <f t="shared" si="4"/>
        <v>4851.0439000000006</v>
      </c>
      <c r="D121" s="176">
        <v>8.9300000000000004E-2</v>
      </c>
    </row>
    <row r="122" spans="2:12" x14ac:dyDescent="0.4">
      <c r="B122" s="27">
        <v>6</v>
      </c>
      <c r="C122" s="43">
        <f t="shared" si="4"/>
        <v>4845.6116000000002</v>
      </c>
      <c r="D122" s="176">
        <v>8.9200000000000002E-2</v>
      </c>
    </row>
    <row r="123" spans="2:12" x14ac:dyDescent="0.4">
      <c r="B123" s="27">
        <v>7</v>
      </c>
      <c r="C123" s="43">
        <f t="shared" si="4"/>
        <v>4851.0439000000006</v>
      </c>
      <c r="D123" s="176">
        <v>8.9300000000000004E-2</v>
      </c>
    </row>
    <row r="124" spans="2:12" x14ac:dyDescent="0.4">
      <c r="B124" s="27">
        <v>8</v>
      </c>
      <c r="C124" s="43">
        <f t="shared" si="4"/>
        <v>2422.8058000000001</v>
      </c>
      <c r="D124" s="176">
        <v>4.4600000000000001E-2</v>
      </c>
    </row>
    <row r="126" spans="2:12" x14ac:dyDescent="0.4">
      <c r="B126" s="28" t="s">
        <v>42</v>
      </c>
    </row>
    <row r="127" spans="2:12" x14ac:dyDescent="0.4">
      <c r="B127" s="49" t="s">
        <v>60</v>
      </c>
      <c r="C127" s="50" t="s">
        <v>43</v>
      </c>
      <c r="D127" s="49" t="s">
        <v>71</v>
      </c>
    </row>
    <row r="128" spans="2:12" x14ac:dyDescent="0.4">
      <c r="B128" s="27">
        <v>1</v>
      </c>
      <c r="C128" s="43">
        <f t="shared" ref="C128:C133" si="5">$I$28*D128</f>
        <v>0</v>
      </c>
      <c r="D128" s="177">
        <v>0.2</v>
      </c>
    </row>
    <row r="129" spans="2:5" x14ac:dyDescent="0.4">
      <c r="B129" s="27">
        <v>2</v>
      </c>
      <c r="C129" s="43">
        <f t="shared" si="5"/>
        <v>0</v>
      </c>
      <c r="D129" s="177">
        <v>0.32</v>
      </c>
    </row>
    <row r="130" spans="2:5" x14ac:dyDescent="0.4">
      <c r="B130" s="27">
        <v>3</v>
      </c>
      <c r="C130" s="43">
        <f t="shared" si="5"/>
        <v>0</v>
      </c>
      <c r="D130" s="177">
        <v>0.192</v>
      </c>
    </row>
    <row r="131" spans="2:5" x14ac:dyDescent="0.4">
      <c r="B131" s="27">
        <v>4</v>
      </c>
      <c r="C131" s="43">
        <f t="shared" si="5"/>
        <v>0</v>
      </c>
      <c r="D131" s="177">
        <v>0.1152</v>
      </c>
    </row>
    <row r="132" spans="2:5" x14ac:dyDescent="0.4">
      <c r="B132" s="27">
        <v>5</v>
      </c>
      <c r="C132" s="43">
        <f t="shared" si="5"/>
        <v>0</v>
      </c>
      <c r="D132" s="177">
        <v>0.1152</v>
      </c>
    </row>
    <row r="133" spans="2:5" x14ac:dyDescent="0.4">
      <c r="B133" s="27">
        <v>6</v>
      </c>
      <c r="C133" s="43">
        <f t="shared" si="5"/>
        <v>0</v>
      </c>
      <c r="D133" s="177">
        <v>5.7599999999999998E-2</v>
      </c>
    </row>
    <row r="135" spans="2:5" x14ac:dyDescent="0.4">
      <c r="E135" s="26"/>
    </row>
    <row r="136" spans="2:5" ht="12.9" x14ac:dyDescent="0.4">
      <c r="E136" s="178"/>
    </row>
    <row r="137" spans="2:5" ht="12.9" x14ac:dyDescent="0.4">
      <c r="E137" s="178"/>
    </row>
    <row r="138" spans="2:5" ht="12.9" x14ac:dyDescent="0.4">
      <c r="E138" s="178"/>
    </row>
    <row r="139" spans="2:5" ht="12.9" x14ac:dyDescent="0.4">
      <c r="E139" s="178"/>
    </row>
    <row r="140" spans="2:5" ht="12.9" x14ac:dyDescent="0.4">
      <c r="E140" s="178"/>
    </row>
    <row r="141" spans="2:5" ht="12.9" x14ac:dyDescent="0.4">
      <c r="E141" s="178"/>
    </row>
    <row r="142" spans="2:5" ht="12.9" x14ac:dyDescent="0.4">
      <c r="E142" s="178"/>
    </row>
    <row r="143" spans="2:5" ht="12.9" x14ac:dyDescent="0.4">
      <c r="E143" s="178"/>
    </row>
    <row r="144" spans="2:5" x14ac:dyDescent="0.4">
      <c r="E144" s="26"/>
    </row>
    <row r="145" spans="5:5" x14ac:dyDescent="0.4">
      <c r="E145" s="26"/>
    </row>
    <row r="152" spans="5:5" ht="12.9" x14ac:dyDescent="0.4">
      <c r="E152" s="179"/>
    </row>
    <row r="153" spans="5:5" ht="12.9" x14ac:dyDescent="0.4">
      <c r="E153" s="179"/>
    </row>
    <row r="154" spans="5:5" ht="12.9" x14ac:dyDescent="0.4">
      <c r="E154" s="179"/>
    </row>
    <row r="155" spans="5:5" ht="12.9" x14ac:dyDescent="0.4">
      <c r="E155" s="179"/>
    </row>
    <row r="156" spans="5:5" ht="12.9" x14ac:dyDescent="0.4">
      <c r="E156" s="179"/>
    </row>
    <row r="157" spans="5:5" ht="12.9" x14ac:dyDescent="0.4">
      <c r="E157" s="179"/>
    </row>
  </sheetData>
  <sheetProtection algorithmName="SHA-512" hashValue="k9/4mLZMWRpEbba++F9PzyFZRdq/HQ7hiK2uF8g+VaYmYf9lOXEhZg24YeYZnHVyt5X9E6xbDm1fpHDqbMlBGA==" saltValue="/91ZO6ZXjefbs/aWTblUsw==" spinCount="100000" sheet="1" objects="1" scenarios="1"/>
  <mergeCells count="61">
    <mergeCell ref="B24:C24"/>
    <mergeCell ref="B25:C25"/>
    <mergeCell ref="B18:C18"/>
    <mergeCell ref="B14:C14"/>
    <mergeCell ref="B15:C15"/>
    <mergeCell ref="B16:C16"/>
    <mergeCell ref="B17:C17"/>
    <mergeCell ref="B23:C23"/>
    <mergeCell ref="G26:H26"/>
    <mergeCell ref="G27:H27"/>
    <mergeCell ref="G14:H14"/>
    <mergeCell ref="G15:H15"/>
    <mergeCell ref="G16:H16"/>
    <mergeCell ref="G17:H17"/>
    <mergeCell ref="G18:H18"/>
    <mergeCell ref="G23:H23"/>
    <mergeCell ref="G24:H24"/>
    <mergeCell ref="G25:H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2:C42"/>
    <mergeCell ref="B44:C44"/>
    <mergeCell ref="B45:C45"/>
    <mergeCell ref="B46:C46"/>
    <mergeCell ref="B47:C47"/>
    <mergeCell ref="B48:C48"/>
    <mergeCell ref="B55:C55"/>
    <mergeCell ref="B56:C56"/>
    <mergeCell ref="B57:C57"/>
    <mergeCell ref="G45:H45"/>
    <mergeCell ref="G46:H46"/>
    <mergeCell ref="G47:H47"/>
    <mergeCell ref="G48:H48"/>
    <mergeCell ref="G49:H49"/>
    <mergeCell ref="B49:C49"/>
    <mergeCell ref="B50:C50"/>
    <mergeCell ref="B52:C52"/>
    <mergeCell ref="B53:C53"/>
    <mergeCell ref="B54:C54"/>
    <mergeCell ref="G32:H32"/>
    <mergeCell ref="G33:H33"/>
    <mergeCell ref="G34:H34"/>
    <mergeCell ref="G35:H35"/>
    <mergeCell ref="G36:H36"/>
    <mergeCell ref="G37:H37"/>
    <mergeCell ref="G38:H38"/>
    <mergeCell ref="G39:H39"/>
    <mergeCell ref="G40:H40"/>
    <mergeCell ref="G41:H41"/>
  </mergeCells>
  <phoneticPr fontId="0" type="noConversion"/>
  <hyperlinks>
    <hyperlink ref="H8" location="'Loan Amortization'!A1" display="Loan Amortization" xr:uid="{B5911A6F-22C5-46EB-A1A6-081B361F3B5B}"/>
  </hyperlink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T36"/>
  <sheetViews>
    <sheetView showGridLines="0" workbookViewId="0"/>
  </sheetViews>
  <sheetFormatPr defaultColWidth="9.109375" defaultRowHeight="12.3" x14ac:dyDescent="0.4"/>
  <cols>
    <col min="1" max="1" width="9.109375" style="27"/>
    <col min="2" max="2" width="34.33203125" style="27" customWidth="1"/>
    <col min="3" max="3" width="4.88671875" style="27" customWidth="1"/>
    <col min="4" max="4" width="20" style="42" customWidth="1"/>
    <col min="5" max="5" width="3.109375" style="42" customWidth="1"/>
    <col min="6" max="6" width="17.5546875" style="42" customWidth="1"/>
    <col min="7" max="7" width="3.33203125" style="42" customWidth="1"/>
    <col min="8" max="8" width="17.44140625" style="42" customWidth="1"/>
    <col min="9" max="9" width="2.88671875" style="42" customWidth="1"/>
    <col min="10" max="10" width="15.6640625" style="27" customWidth="1"/>
    <col min="11" max="11" width="2.33203125" style="27" customWidth="1"/>
    <col min="12" max="12" width="11.6640625" style="27" bestFit="1" customWidth="1"/>
    <col min="13" max="13" width="2.5546875" style="27" customWidth="1"/>
    <col min="14" max="14" width="12.88671875" style="27" customWidth="1"/>
    <col min="15" max="15" width="3" style="27" customWidth="1"/>
    <col min="16" max="16" width="12.5546875" style="27" customWidth="1"/>
    <col min="17" max="17" width="2.109375" style="27" customWidth="1"/>
    <col min="18" max="18" width="11" style="27" customWidth="1"/>
    <col min="19" max="19" width="2" style="27" customWidth="1"/>
    <col min="20" max="20" width="13.44140625" style="27" customWidth="1"/>
    <col min="21" max="16384" width="9.109375" style="27"/>
  </cols>
  <sheetData>
    <row r="2" spans="2:13" ht="15" x14ac:dyDescent="0.5">
      <c r="B2" s="31" t="s">
        <v>247</v>
      </c>
      <c r="C2" s="31"/>
      <c r="D2" s="123"/>
      <c r="E2" s="123"/>
      <c r="F2" s="123"/>
      <c r="G2" s="123"/>
    </row>
    <row r="3" spans="2:13" ht="12.6" thickBot="1" x14ac:dyDescent="0.45">
      <c r="B3" s="28"/>
      <c r="C3" s="28"/>
    </row>
    <row r="4" spans="2:13" ht="12.6" thickBot="1" x14ac:dyDescent="0.45">
      <c r="B4" s="85" t="s">
        <v>84</v>
      </c>
      <c r="C4" s="86"/>
      <c r="D4" s="87"/>
    </row>
    <row r="5" spans="2:13" x14ac:dyDescent="0.4">
      <c r="B5" s="89" t="s">
        <v>32</v>
      </c>
      <c r="C5" s="26"/>
      <c r="D5" s="180">
        <v>0.05</v>
      </c>
    </row>
    <row r="6" spans="2:13" x14ac:dyDescent="0.4">
      <c r="B6" s="89" t="s">
        <v>33</v>
      </c>
      <c r="C6" s="26"/>
      <c r="D6" s="180">
        <v>0.15</v>
      </c>
    </row>
    <row r="7" spans="2:13" x14ac:dyDescent="0.4">
      <c r="B7" s="89" t="s">
        <v>105</v>
      </c>
      <c r="C7" s="26"/>
      <c r="D7" s="180">
        <v>0.1</v>
      </c>
    </row>
    <row r="8" spans="2:13" x14ac:dyDescent="0.4">
      <c r="B8" s="89" t="s">
        <v>180</v>
      </c>
      <c r="C8" s="26"/>
      <c r="D8" s="130">
        <f>SUM(D5:D7)</f>
        <v>0.30000000000000004</v>
      </c>
    </row>
    <row r="9" spans="2:13" x14ac:dyDescent="0.4">
      <c r="B9" s="89" t="s">
        <v>181</v>
      </c>
      <c r="C9" s="26"/>
      <c r="D9" s="130">
        <f>D5+D7</f>
        <v>0.15000000000000002</v>
      </c>
    </row>
    <row r="10" spans="2:13" ht="12.6" thickBot="1" x14ac:dyDescent="0.45">
      <c r="B10" s="90" t="s">
        <v>80</v>
      </c>
      <c r="C10" s="260"/>
      <c r="D10" s="182">
        <v>0.01</v>
      </c>
    </row>
    <row r="11" spans="2:13" x14ac:dyDescent="0.4">
      <c r="B11" s="26"/>
      <c r="C11" s="26"/>
      <c r="D11" s="88"/>
    </row>
    <row r="12" spans="2:13" x14ac:dyDescent="0.4">
      <c r="B12" s="26"/>
      <c r="C12" s="26"/>
      <c r="D12" s="88"/>
    </row>
    <row r="14" spans="2:13" x14ac:dyDescent="0.4">
      <c r="B14" s="28" t="s">
        <v>148</v>
      </c>
      <c r="C14" s="28"/>
    </row>
    <row r="15" spans="2:13" x14ac:dyDescent="0.4">
      <c r="B15" s="28" t="s">
        <v>163</v>
      </c>
      <c r="C15" s="28"/>
    </row>
    <row r="16" spans="2:13" ht="12.6" thickBot="1" x14ac:dyDescent="0.45">
      <c r="B16" s="26"/>
      <c r="C16" s="26"/>
      <c r="D16" s="68"/>
      <c r="E16" s="68"/>
      <c r="F16" s="68"/>
      <c r="G16" s="68"/>
      <c r="H16" s="68"/>
      <c r="I16" s="68"/>
      <c r="J16" s="26"/>
      <c r="K16" s="26"/>
      <c r="L16" s="26"/>
      <c r="M16" s="26"/>
    </row>
    <row r="17" spans="2:20" ht="12.6" thickBot="1" x14ac:dyDescent="0.45">
      <c r="B17" s="81" t="s">
        <v>27</v>
      </c>
      <c r="C17" s="82"/>
      <c r="D17" s="83" t="s">
        <v>28</v>
      </c>
      <c r="E17" s="83"/>
      <c r="F17" s="83" t="s">
        <v>30</v>
      </c>
      <c r="G17" s="83"/>
      <c r="H17" s="83" t="s">
        <v>86</v>
      </c>
      <c r="I17" s="83"/>
      <c r="J17" s="83" t="s">
        <v>29</v>
      </c>
      <c r="K17" s="83"/>
      <c r="L17" s="84" t="s">
        <v>48</v>
      </c>
      <c r="M17" s="66"/>
    </row>
    <row r="18" spans="2:20" x14ac:dyDescent="0.4">
      <c r="B18" s="194" t="s">
        <v>191</v>
      </c>
      <c r="C18" s="25"/>
      <c r="D18" s="196">
        <v>50000</v>
      </c>
      <c r="E18" s="73"/>
      <c r="F18" s="74">
        <f>D18*$D$8</f>
        <v>15000.000000000002</v>
      </c>
      <c r="G18" s="74"/>
      <c r="H18" s="198">
        <v>0</v>
      </c>
      <c r="I18" s="75"/>
      <c r="J18" s="76">
        <f>+(D18+F18)*H18</f>
        <v>0</v>
      </c>
      <c r="K18" s="76"/>
      <c r="L18" s="77">
        <f>+D18+F18+J18</f>
        <v>65000</v>
      </c>
      <c r="M18" s="70"/>
    </row>
    <row r="19" spans="2:20" x14ac:dyDescent="0.4">
      <c r="B19" s="194"/>
      <c r="C19" s="25"/>
      <c r="D19" s="196"/>
      <c r="E19" s="73"/>
      <c r="F19" s="74">
        <f>D19*$D$8</f>
        <v>0</v>
      </c>
      <c r="G19" s="74"/>
      <c r="H19" s="198">
        <v>0</v>
      </c>
      <c r="I19" s="75"/>
      <c r="J19" s="76">
        <f>+(D19+F19)*H19</f>
        <v>0</v>
      </c>
      <c r="K19" s="76"/>
      <c r="L19" s="77">
        <f>+D19+F19+J19</f>
        <v>0</v>
      </c>
      <c r="M19" s="70"/>
    </row>
    <row r="20" spans="2:20" x14ac:dyDescent="0.4">
      <c r="B20" s="194"/>
      <c r="C20" s="25"/>
      <c r="D20" s="196"/>
      <c r="E20" s="73"/>
      <c r="F20" s="74">
        <f>D20*$D$8</f>
        <v>0</v>
      </c>
      <c r="G20" s="74"/>
      <c r="H20" s="198">
        <v>0</v>
      </c>
      <c r="I20" s="75"/>
      <c r="J20" s="76">
        <f>+(D20+F20)*H20</f>
        <v>0</v>
      </c>
      <c r="K20" s="76"/>
      <c r="L20" s="77">
        <f>+D20+F20+J20</f>
        <v>0</v>
      </c>
      <c r="M20" s="70"/>
    </row>
    <row r="21" spans="2:20" x14ac:dyDescent="0.4">
      <c r="B21" s="195"/>
      <c r="C21" s="91"/>
      <c r="D21" s="197"/>
      <c r="E21" s="92"/>
      <c r="F21" s="93">
        <f>D21*$D$8</f>
        <v>0</v>
      </c>
      <c r="G21" s="93"/>
      <c r="H21" s="199">
        <v>0</v>
      </c>
      <c r="I21" s="94"/>
      <c r="J21" s="95">
        <f>+(D21+F21)*H21</f>
        <v>0</v>
      </c>
      <c r="K21" s="95"/>
      <c r="L21" s="96">
        <f>+D21+F21+J21</f>
        <v>0</v>
      </c>
      <c r="M21" s="70"/>
    </row>
    <row r="22" spans="2:20" ht="12.6" thickBot="1" x14ac:dyDescent="0.45">
      <c r="B22" s="72" t="s">
        <v>162</v>
      </c>
      <c r="C22" s="71"/>
      <c r="D22" s="78">
        <f>SUM(D18:D21)</f>
        <v>50000</v>
      </c>
      <c r="E22" s="78"/>
      <c r="F22" s="78">
        <f>SUM(F18:F21)</f>
        <v>15000.000000000002</v>
      </c>
      <c r="G22" s="78"/>
      <c r="H22" s="79"/>
      <c r="I22" s="79"/>
      <c r="J22" s="78">
        <f>SUM(J18:J21)</f>
        <v>0</v>
      </c>
      <c r="K22" s="78"/>
      <c r="L22" s="80">
        <f>SUM(L18:L21)</f>
        <v>65000</v>
      </c>
      <c r="M22" s="70"/>
    </row>
    <row r="23" spans="2:20" x14ac:dyDescent="0.4">
      <c r="B23" s="28"/>
      <c r="C23" s="28"/>
    </row>
    <row r="24" spans="2:20" x14ac:dyDescent="0.4">
      <c r="B24" s="28"/>
      <c r="C24" s="28"/>
      <c r="J24" s="42"/>
      <c r="K24" s="42"/>
      <c r="L24" s="42"/>
      <c r="M24" s="42"/>
      <c r="N24" s="42"/>
      <c r="O24" s="42"/>
      <c r="P24" s="42"/>
      <c r="Q24" s="42"/>
      <c r="R24" s="42"/>
      <c r="S24" s="42"/>
      <c r="T24" s="42"/>
    </row>
    <row r="26" spans="2:20" x14ac:dyDescent="0.4">
      <c r="B26" s="28" t="s">
        <v>193</v>
      </c>
      <c r="C26" s="28"/>
    </row>
    <row r="27" spans="2:20" ht="12.6" thickBot="1" x14ac:dyDescent="0.45"/>
    <row r="28" spans="2:20" ht="12.6" thickBot="1" x14ac:dyDescent="0.45">
      <c r="B28" s="81" t="s">
        <v>27</v>
      </c>
      <c r="C28" s="82"/>
      <c r="D28" s="83" t="s">
        <v>156</v>
      </c>
      <c r="E28" s="83"/>
      <c r="F28" s="83" t="s">
        <v>157</v>
      </c>
      <c r="G28" s="83"/>
      <c r="H28" s="83" t="s">
        <v>158</v>
      </c>
      <c r="I28" s="83"/>
      <c r="J28" s="82" t="s">
        <v>159</v>
      </c>
      <c r="K28" s="82"/>
      <c r="L28" s="82" t="s">
        <v>28</v>
      </c>
      <c r="M28" s="82"/>
      <c r="N28" s="82" t="s">
        <v>30</v>
      </c>
      <c r="O28" s="82"/>
      <c r="P28" s="82" t="s">
        <v>160</v>
      </c>
      <c r="Q28" s="82"/>
      <c r="R28" s="82" t="s">
        <v>29</v>
      </c>
      <c r="S28" s="82"/>
      <c r="T28" s="303" t="s">
        <v>161</v>
      </c>
    </row>
    <row r="29" spans="2:20" x14ac:dyDescent="0.4">
      <c r="B29" s="194" t="s">
        <v>192</v>
      </c>
      <c r="C29" s="26"/>
      <c r="D29" s="200">
        <v>1</v>
      </c>
      <c r="E29" s="304"/>
      <c r="F29" s="202">
        <v>10</v>
      </c>
      <c r="G29" s="305"/>
      <c r="H29" s="200">
        <v>20</v>
      </c>
      <c r="I29" s="304"/>
      <c r="J29" s="204">
        <v>50</v>
      </c>
      <c r="K29" s="306"/>
      <c r="L29" s="305">
        <f>D29*F29*H29*J29</f>
        <v>10000</v>
      </c>
      <c r="M29" s="305"/>
      <c r="N29" s="305">
        <f>L29*$D$9</f>
        <v>1500.0000000000002</v>
      </c>
      <c r="O29" s="305"/>
      <c r="P29" s="206">
        <v>0</v>
      </c>
      <c r="Q29" s="307"/>
      <c r="R29" s="305">
        <f>(L29+N29)*P29</f>
        <v>0</v>
      </c>
      <c r="S29" s="305"/>
      <c r="T29" s="308">
        <f t="shared" ref="T29:T34" si="0">L29+N29+R29</f>
        <v>11500</v>
      </c>
    </row>
    <row r="30" spans="2:20" x14ac:dyDescent="0.4">
      <c r="B30" s="194" t="s">
        <v>241</v>
      </c>
      <c r="C30" s="26"/>
      <c r="D30" s="200">
        <v>1</v>
      </c>
      <c r="E30" s="304"/>
      <c r="F30" s="202">
        <v>10</v>
      </c>
      <c r="G30" s="305"/>
      <c r="H30" s="200">
        <v>40</v>
      </c>
      <c r="I30" s="304"/>
      <c r="J30" s="204">
        <v>50</v>
      </c>
      <c r="K30" s="306"/>
      <c r="L30" s="305">
        <f>D30*F30*H30*J30</f>
        <v>20000</v>
      </c>
      <c r="M30" s="305"/>
      <c r="N30" s="305">
        <f>L30*$D$9</f>
        <v>3000.0000000000005</v>
      </c>
      <c r="O30" s="305"/>
      <c r="P30" s="206">
        <v>0</v>
      </c>
      <c r="Q30" s="307"/>
      <c r="R30" s="305">
        <f>(L30+N30)*P30</f>
        <v>0</v>
      </c>
      <c r="S30" s="305"/>
      <c r="T30" s="308">
        <f t="shared" si="0"/>
        <v>23000</v>
      </c>
    </row>
    <row r="31" spans="2:20" x14ac:dyDescent="0.4">
      <c r="B31" s="194"/>
      <c r="C31" s="26"/>
      <c r="D31" s="200"/>
      <c r="E31" s="304"/>
      <c r="F31" s="202"/>
      <c r="G31" s="305"/>
      <c r="H31" s="200"/>
      <c r="I31" s="304"/>
      <c r="J31" s="204"/>
      <c r="K31" s="306"/>
      <c r="L31" s="305">
        <f>D31*F31*H31*J31</f>
        <v>0</v>
      </c>
      <c r="M31" s="305"/>
      <c r="N31" s="305">
        <f>L31*$D$9</f>
        <v>0</v>
      </c>
      <c r="O31" s="305"/>
      <c r="P31" s="206">
        <v>0</v>
      </c>
      <c r="Q31" s="307"/>
      <c r="R31" s="305">
        <f>(L31+N31)*P31</f>
        <v>0</v>
      </c>
      <c r="S31" s="305"/>
      <c r="T31" s="308">
        <f t="shared" si="0"/>
        <v>0</v>
      </c>
    </row>
    <row r="32" spans="2:20" x14ac:dyDescent="0.4">
      <c r="B32" s="194"/>
      <c r="C32" s="26"/>
      <c r="D32" s="200"/>
      <c r="E32" s="304"/>
      <c r="F32" s="202"/>
      <c r="G32" s="305"/>
      <c r="H32" s="200"/>
      <c r="I32" s="304"/>
      <c r="J32" s="204"/>
      <c r="K32" s="306"/>
      <c r="L32" s="305">
        <f>D32*F32*H32*J32</f>
        <v>0</v>
      </c>
      <c r="M32" s="305"/>
      <c r="N32" s="305">
        <f>L32*$D$9</f>
        <v>0</v>
      </c>
      <c r="O32" s="305"/>
      <c r="P32" s="206">
        <v>0</v>
      </c>
      <c r="Q32" s="307"/>
      <c r="R32" s="305">
        <f>(L32+N32)*P32</f>
        <v>0</v>
      </c>
      <c r="S32" s="305"/>
      <c r="T32" s="308">
        <f t="shared" si="0"/>
        <v>0</v>
      </c>
    </row>
    <row r="33" spans="2:20" x14ac:dyDescent="0.4">
      <c r="B33" s="195"/>
      <c r="C33" s="309"/>
      <c r="D33" s="201"/>
      <c r="E33" s="310"/>
      <c r="F33" s="203"/>
      <c r="G33" s="311"/>
      <c r="H33" s="201"/>
      <c r="I33" s="310"/>
      <c r="J33" s="205"/>
      <c r="K33" s="312"/>
      <c r="L33" s="311">
        <f>D33*F33*H33*J33</f>
        <v>0</v>
      </c>
      <c r="M33" s="311"/>
      <c r="N33" s="311">
        <f>L33*$D$9</f>
        <v>0</v>
      </c>
      <c r="O33" s="311"/>
      <c r="P33" s="207">
        <v>0</v>
      </c>
      <c r="Q33" s="313"/>
      <c r="R33" s="311">
        <f>(L33+N33)*P33</f>
        <v>0</v>
      </c>
      <c r="S33" s="311"/>
      <c r="T33" s="314">
        <f t="shared" si="0"/>
        <v>0</v>
      </c>
    </row>
    <row r="34" spans="2:20" ht="12.6" thickBot="1" x14ac:dyDescent="0.45">
      <c r="B34" s="72" t="s">
        <v>242</v>
      </c>
      <c r="C34" s="260"/>
      <c r="D34" s="315">
        <f>SUM(D29:D33)</f>
        <v>2</v>
      </c>
      <c r="E34" s="79"/>
      <c r="F34" s="316"/>
      <c r="G34" s="317"/>
      <c r="H34" s="315"/>
      <c r="I34" s="79"/>
      <c r="J34" s="318"/>
      <c r="K34" s="319"/>
      <c r="L34" s="317">
        <f>SUM(L29:L33)</f>
        <v>30000</v>
      </c>
      <c r="M34" s="317"/>
      <c r="N34" s="317">
        <f>SUM(N29:N33)</f>
        <v>4500.0000000000009</v>
      </c>
      <c r="O34" s="317"/>
      <c r="P34" s="320"/>
      <c r="Q34" s="320"/>
      <c r="R34" s="317">
        <f>SUM(R29:R33)</f>
        <v>0</v>
      </c>
      <c r="S34" s="317"/>
      <c r="T34" s="321">
        <f t="shared" si="0"/>
        <v>34500</v>
      </c>
    </row>
    <row r="35" spans="2:20" x14ac:dyDescent="0.4">
      <c r="B35" s="25"/>
      <c r="C35" s="26"/>
      <c r="D35" s="322"/>
      <c r="E35" s="304"/>
      <c r="F35" s="323"/>
      <c r="G35" s="305"/>
      <c r="H35" s="322"/>
      <c r="I35" s="304"/>
      <c r="J35" s="324"/>
      <c r="K35" s="306"/>
      <c r="L35" s="305"/>
      <c r="M35" s="305"/>
      <c r="N35" s="305"/>
      <c r="O35" s="305"/>
      <c r="P35" s="307"/>
      <c r="Q35" s="307"/>
      <c r="R35" s="305"/>
      <c r="S35" s="305"/>
      <c r="T35" s="305"/>
    </row>
    <row r="36" spans="2:20" x14ac:dyDescent="0.4">
      <c r="B36" s="25"/>
      <c r="C36" s="26"/>
      <c r="D36" s="322"/>
      <c r="E36" s="304"/>
      <c r="F36" s="323"/>
      <c r="G36" s="305"/>
      <c r="H36" s="322"/>
      <c r="I36" s="304"/>
      <c r="J36" s="324"/>
      <c r="K36" s="306"/>
      <c r="L36" s="305"/>
      <c r="M36" s="305"/>
      <c r="N36" s="305"/>
      <c r="O36" s="305"/>
      <c r="P36" s="307"/>
      <c r="Q36" s="307"/>
      <c r="R36" s="305"/>
      <c r="S36" s="305"/>
      <c r="T36" s="305"/>
    </row>
  </sheetData>
  <sheetProtection algorithmName="SHA-512" hashValue="MeL+JYklS7G/Ni8mququQVc3Hq1MFwp3rrXLpvb3ARGeCmWmpVloL0to07CqLGdJJMlns3AXozB75odnRCfKUw==" saltValue="RJZkFtjqFt28v1h+spx1hg==" spinCount="100000" sheet="1" objects="1" scenarios="1"/>
  <phoneticPr fontId="0"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N68"/>
  <sheetViews>
    <sheetView showGridLines="0" zoomScaleNormal="100" workbookViewId="0"/>
  </sheetViews>
  <sheetFormatPr defaultRowHeight="12.3" x14ac:dyDescent="0.4"/>
  <cols>
    <col min="1" max="1" width="2.33203125" customWidth="1"/>
    <col min="2" max="2" width="23.88671875" customWidth="1"/>
    <col min="3" max="3" width="15.88671875" customWidth="1"/>
    <col min="4" max="4" width="13.5546875" customWidth="1"/>
    <col min="5" max="5" width="13.88671875" customWidth="1"/>
    <col min="6" max="6" width="12" customWidth="1"/>
    <col min="7" max="7" width="12.109375" customWidth="1"/>
    <col min="8" max="8" width="13.109375" customWidth="1"/>
    <col min="9" max="9" width="11.6640625" customWidth="1"/>
    <col min="10" max="10" width="12.88671875" customWidth="1"/>
    <col min="11" max="11" width="13" customWidth="1"/>
    <col min="12" max="12" width="12.5546875" customWidth="1"/>
    <col min="13" max="13" width="11.44140625" customWidth="1"/>
    <col min="14" max="14" width="11.88671875" style="4" bestFit="1" customWidth="1"/>
  </cols>
  <sheetData>
    <row r="2" spans="2:14" ht="15" x14ac:dyDescent="0.5">
      <c r="B2" s="120" t="s">
        <v>248</v>
      </c>
    </row>
    <row r="3" spans="2:14" ht="15" x14ac:dyDescent="0.5">
      <c r="B3" s="120" t="s">
        <v>249</v>
      </c>
    </row>
    <row r="6" spans="2:14" x14ac:dyDescent="0.4">
      <c r="B6" s="28" t="s">
        <v>87</v>
      </c>
      <c r="C6" s="27"/>
      <c r="D6" s="27"/>
      <c r="E6" s="27"/>
      <c r="F6" s="27"/>
      <c r="G6" s="27"/>
      <c r="H6" s="27"/>
      <c r="I6" s="27"/>
      <c r="J6" s="27"/>
      <c r="K6" s="27"/>
      <c r="L6" s="27"/>
      <c r="M6" s="27"/>
    </row>
    <row r="7" spans="2:14" x14ac:dyDescent="0.4">
      <c r="B7" s="27"/>
      <c r="C7" s="27"/>
      <c r="D7" s="33" t="s">
        <v>0</v>
      </c>
      <c r="E7" s="33" t="s">
        <v>1</v>
      </c>
      <c r="F7" s="33" t="s">
        <v>2</v>
      </c>
      <c r="G7" s="33" t="s">
        <v>3</v>
      </c>
      <c r="H7" s="33" t="s">
        <v>4</v>
      </c>
      <c r="I7" s="33" t="s">
        <v>5</v>
      </c>
      <c r="J7" s="33" t="s">
        <v>6</v>
      </c>
      <c r="K7" s="33" t="s">
        <v>7</v>
      </c>
      <c r="L7" s="33" t="s">
        <v>8</v>
      </c>
      <c r="M7" s="33" t="s">
        <v>9</v>
      </c>
      <c r="N7" s="5"/>
    </row>
    <row r="8" spans="2:14" x14ac:dyDescent="0.4">
      <c r="B8" s="27" t="str">
        <f>+'Spirits Production'!H13</f>
        <v>Peach Moonshine</v>
      </c>
      <c r="C8" s="27" t="str">
        <f>+'Spirits Production'!H14</f>
        <v>Bottles</v>
      </c>
      <c r="D8" s="111">
        <f>'Spirits Production'!I15</f>
        <v>10599.12</v>
      </c>
      <c r="E8" s="111">
        <f>'Spirits Production'!J15</f>
        <v>10599.12</v>
      </c>
      <c r="F8" s="111">
        <f>'Spirits Production'!K15</f>
        <v>10599.12</v>
      </c>
      <c r="G8" s="111">
        <f>'Spirits Production'!L15</f>
        <v>10599.12</v>
      </c>
      <c r="H8" s="111">
        <f>'Spirits Production'!M15</f>
        <v>10599.12</v>
      </c>
      <c r="I8" s="111">
        <f>'Spirits Production'!N15</f>
        <v>10599.12</v>
      </c>
      <c r="J8" s="111">
        <f>'Spirits Production'!O15</f>
        <v>10599.12</v>
      </c>
      <c r="K8" s="111">
        <f>'Spirits Production'!P15</f>
        <v>10599.12</v>
      </c>
      <c r="L8" s="111">
        <f>'Spirits Production'!Q15</f>
        <v>10599.12</v>
      </c>
      <c r="M8" s="111">
        <f>'Spirits Production'!R15</f>
        <v>10599.12</v>
      </c>
      <c r="N8" s="10"/>
    </row>
    <row r="9" spans="2:14" x14ac:dyDescent="0.4">
      <c r="B9" s="27" t="str">
        <f>+'Spirits Production'!H22</f>
        <v>Peach Brandy</v>
      </c>
      <c r="C9" s="27" t="str">
        <f>+'Spirits Production'!H23</f>
        <v>Bottles</v>
      </c>
      <c r="D9" s="111">
        <f>'Spirits Production'!I24</f>
        <v>0</v>
      </c>
      <c r="E9" s="111">
        <f>'Spirits Production'!J24</f>
        <v>0</v>
      </c>
      <c r="F9" s="111">
        <f>'Spirits Production'!K24</f>
        <v>3028.3199999999997</v>
      </c>
      <c r="G9" s="111">
        <f>'Spirits Production'!L24</f>
        <v>3028.3199999999997</v>
      </c>
      <c r="H9" s="111">
        <f>'Spirits Production'!M24</f>
        <v>3028.3199999999997</v>
      </c>
      <c r="I9" s="111">
        <f>'Spirits Production'!N24</f>
        <v>3028.3199999999997</v>
      </c>
      <c r="J9" s="111">
        <f>'Spirits Production'!O24</f>
        <v>3028.3199999999997</v>
      </c>
      <c r="K9" s="111">
        <f>'Spirits Production'!P24</f>
        <v>3028.3199999999997</v>
      </c>
      <c r="L9" s="111">
        <f>'Spirits Production'!Q24</f>
        <v>3028.3199999999997</v>
      </c>
      <c r="M9" s="111">
        <f>'Spirits Production'!R24</f>
        <v>3028.3199999999997</v>
      </c>
      <c r="N9" s="10"/>
    </row>
    <row r="10" spans="2:14" x14ac:dyDescent="0.4">
      <c r="B10" s="27" t="str">
        <f>+'Spirits Production'!H31</f>
        <v>Craft Vodka</v>
      </c>
      <c r="C10" s="27" t="str">
        <f>+'Spirits Production'!H32</f>
        <v>Bottles</v>
      </c>
      <c r="D10" s="111">
        <f>'Spirits Production'!I33</f>
        <v>3533.0400000000004</v>
      </c>
      <c r="E10" s="111">
        <f>'Spirits Production'!J33</f>
        <v>3533.0400000000004</v>
      </c>
      <c r="F10" s="111">
        <f>'Spirits Production'!K33</f>
        <v>3533.0400000000004</v>
      </c>
      <c r="G10" s="111">
        <f>'Spirits Production'!L33</f>
        <v>3533.0400000000004</v>
      </c>
      <c r="H10" s="111">
        <f>'Spirits Production'!M33</f>
        <v>3533.0400000000004</v>
      </c>
      <c r="I10" s="111">
        <f>'Spirits Production'!N33</f>
        <v>3533.0400000000004</v>
      </c>
      <c r="J10" s="111">
        <f>'Spirits Production'!O33</f>
        <v>3533.0400000000004</v>
      </c>
      <c r="K10" s="111">
        <f>'Spirits Production'!P33</f>
        <v>3533.0400000000004</v>
      </c>
      <c r="L10" s="111">
        <f>'Spirits Production'!Q33</f>
        <v>3533.0400000000004</v>
      </c>
      <c r="M10" s="111">
        <f>'Spirits Production'!R33</f>
        <v>3533.0400000000004</v>
      </c>
      <c r="N10" s="11"/>
    </row>
    <row r="11" spans="2:14" x14ac:dyDescent="0.4">
      <c r="B11" s="27" t="str">
        <f>+'Spirits Production'!H40</f>
        <v>#4</v>
      </c>
      <c r="C11" s="36" t="str">
        <f>+'Spirits Production'!H41</f>
        <v>Bottles</v>
      </c>
      <c r="D11" s="111">
        <f>'Spirits Production'!I42</f>
        <v>0</v>
      </c>
      <c r="E11" s="111">
        <f>'Spirits Production'!J42</f>
        <v>0</v>
      </c>
      <c r="F11" s="111">
        <f>'Spirits Production'!K42</f>
        <v>0</v>
      </c>
      <c r="G11" s="111">
        <f>'Spirits Production'!L42</f>
        <v>0</v>
      </c>
      <c r="H11" s="111">
        <f>'Spirits Production'!M42</f>
        <v>0</v>
      </c>
      <c r="I11" s="111">
        <f>'Spirits Production'!N42</f>
        <v>0</v>
      </c>
      <c r="J11" s="111">
        <f>'Spirits Production'!O42</f>
        <v>0</v>
      </c>
      <c r="K11" s="111">
        <f>'Spirits Production'!P42</f>
        <v>0</v>
      </c>
      <c r="L11" s="111">
        <f>'Spirits Production'!Q42</f>
        <v>0</v>
      </c>
      <c r="M11" s="111">
        <f>'Spirits Production'!R42</f>
        <v>0</v>
      </c>
      <c r="N11" s="11"/>
    </row>
    <row r="12" spans="2:14" x14ac:dyDescent="0.4">
      <c r="B12" s="27" t="str">
        <f>'Spirits Production'!H49</f>
        <v>#5</v>
      </c>
      <c r="C12" s="36" t="str">
        <f>'Spirits Production'!H50</f>
        <v>Bottles</v>
      </c>
      <c r="D12" s="111">
        <f>'Spirits Production'!I51</f>
        <v>0</v>
      </c>
      <c r="E12" s="111">
        <f>'Spirits Production'!J51</f>
        <v>0</v>
      </c>
      <c r="F12" s="111">
        <f>'Spirits Production'!K51</f>
        <v>0</v>
      </c>
      <c r="G12" s="111">
        <f>'Spirits Production'!L51</f>
        <v>0</v>
      </c>
      <c r="H12" s="111">
        <f>'Spirits Production'!M51</f>
        <v>0</v>
      </c>
      <c r="I12" s="111">
        <f>'Spirits Production'!N51</f>
        <v>0</v>
      </c>
      <c r="J12" s="111">
        <f>'Spirits Production'!O51</f>
        <v>0</v>
      </c>
      <c r="K12" s="111">
        <f>'Spirits Production'!P51</f>
        <v>0</v>
      </c>
      <c r="L12" s="111">
        <f>'Spirits Production'!Q51</f>
        <v>0</v>
      </c>
      <c r="M12" s="111">
        <f>'Spirits Production'!R51</f>
        <v>0</v>
      </c>
      <c r="N12" s="11"/>
    </row>
    <row r="13" spans="2:14" x14ac:dyDescent="0.4">
      <c r="B13" s="27" t="str">
        <f>'Spirits Production'!H58</f>
        <v>#6</v>
      </c>
      <c r="C13" s="36" t="str">
        <f>'Spirits Production'!H59</f>
        <v>Bottles</v>
      </c>
      <c r="D13" s="111">
        <f>'Spirits Production'!I60</f>
        <v>0</v>
      </c>
      <c r="E13" s="111">
        <f>'Spirits Production'!J60</f>
        <v>0</v>
      </c>
      <c r="F13" s="111">
        <f>'Spirits Production'!K60</f>
        <v>0</v>
      </c>
      <c r="G13" s="111">
        <f>'Spirits Production'!L60</f>
        <v>0</v>
      </c>
      <c r="H13" s="111">
        <f>'Spirits Production'!M60</f>
        <v>0</v>
      </c>
      <c r="I13" s="111">
        <f>'Spirits Production'!N60</f>
        <v>0</v>
      </c>
      <c r="J13" s="111">
        <f>'Spirits Production'!O60</f>
        <v>0</v>
      </c>
      <c r="K13" s="111">
        <f>'Spirits Production'!P60</f>
        <v>0</v>
      </c>
      <c r="L13" s="111">
        <f>'Spirits Production'!Q60</f>
        <v>0</v>
      </c>
      <c r="M13" s="111">
        <f>'Spirits Production'!R60</f>
        <v>0</v>
      </c>
      <c r="N13" s="11"/>
    </row>
    <row r="14" spans="2:14" x14ac:dyDescent="0.4">
      <c r="B14" s="174" t="s">
        <v>231</v>
      </c>
      <c r="C14" s="27"/>
      <c r="D14" s="118">
        <f t="shared" ref="D14:M14" si="0">SUM(D8:D13)</f>
        <v>14132.160000000002</v>
      </c>
      <c r="E14" s="118">
        <f t="shared" si="0"/>
        <v>14132.160000000002</v>
      </c>
      <c r="F14" s="118">
        <f t="shared" si="0"/>
        <v>17160.48</v>
      </c>
      <c r="G14" s="118">
        <f t="shared" si="0"/>
        <v>17160.48</v>
      </c>
      <c r="H14" s="118">
        <f t="shared" si="0"/>
        <v>17160.48</v>
      </c>
      <c r="I14" s="118">
        <f t="shared" si="0"/>
        <v>17160.48</v>
      </c>
      <c r="J14" s="118">
        <f t="shared" si="0"/>
        <v>17160.48</v>
      </c>
      <c r="K14" s="118">
        <f t="shared" si="0"/>
        <v>17160.48</v>
      </c>
      <c r="L14" s="118">
        <f t="shared" si="0"/>
        <v>17160.48</v>
      </c>
      <c r="M14" s="118">
        <f t="shared" si="0"/>
        <v>17160.48</v>
      </c>
      <c r="N14" s="11"/>
    </row>
    <row r="15" spans="2:14" x14ac:dyDescent="0.4">
      <c r="B15" s="27"/>
      <c r="C15" s="27"/>
      <c r="D15" s="29"/>
      <c r="E15" s="29"/>
      <c r="F15" s="29"/>
      <c r="G15" s="29"/>
      <c r="H15" s="29"/>
      <c r="I15" s="29"/>
      <c r="J15" s="29"/>
      <c r="K15" s="29"/>
      <c r="L15" s="29"/>
      <c r="M15" s="29"/>
      <c r="N15" s="11"/>
    </row>
    <row r="16" spans="2:14" x14ac:dyDescent="0.4">
      <c r="B16" s="28" t="s">
        <v>107</v>
      </c>
      <c r="C16" s="27"/>
      <c r="D16" s="27"/>
      <c r="E16" s="27"/>
      <c r="F16" s="27"/>
      <c r="G16" s="27"/>
      <c r="H16" s="27"/>
      <c r="I16" s="27"/>
      <c r="J16" s="27"/>
      <c r="K16" s="27"/>
      <c r="L16" s="27"/>
      <c r="M16" s="27"/>
      <c r="N16" s="10"/>
    </row>
    <row r="17" spans="2:14" x14ac:dyDescent="0.4">
      <c r="J17" s="27"/>
      <c r="K17" s="27"/>
      <c r="L17" s="27"/>
      <c r="M17" s="27"/>
      <c r="N17" s="10"/>
    </row>
    <row r="18" spans="2:14" x14ac:dyDescent="0.4">
      <c r="B18" s="28"/>
      <c r="C18" s="27"/>
      <c r="D18" s="27"/>
      <c r="E18" s="27"/>
      <c r="F18" s="27"/>
      <c r="G18" s="27"/>
      <c r="H18" s="27"/>
      <c r="I18" s="27"/>
      <c r="J18" s="27"/>
      <c r="K18" s="27"/>
      <c r="L18" s="27"/>
      <c r="M18" s="27"/>
      <c r="N18" s="10"/>
    </row>
    <row r="19" spans="2:14" x14ac:dyDescent="0.4">
      <c r="B19" s="27"/>
      <c r="C19" s="33"/>
      <c r="D19" s="33" t="s">
        <v>0</v>
      </c>
      <c r="E19" s="33" t="s">
        <v>1</v>
      </c>
      <c r="F19" s="33" t="s">
        <v>2</v>
      </c>
      <c r="G19" s="33" t="s">
        <v>3</v>
      </c>
      <c r="H19" s="33" t="s">
        <v>4</v>
      </c>
      <c r="I19" s="33" t="s">
        <v>5</v>
      </c>
      <c r="J19" s="33" t="s">
        <v>6</v>
      </c>
      <c r="K19" s="33" t="s">
        <v>7</v>
      </c>
      <c r="L19" s="33" t="s">
        <v>8</v>
      </c>
      <c r="M19" s="33" t="s">
        <v>9</v>
      </c>
      <c r="N19" s="10"/>
    </row>
    <row r="20" spans="2:14" x14ac:dyDescent="0.4">
      <c r="B20" s="37" t="str">
        <f>'Market Projection'!B8</f>
        <v>Peach Moonshine</v>
      </c>
      <c r="C20" s="27"/>
      <c r="D20" s="110"/>
      <c r="E20" s="110"/>
      <c r="F20" s="110"/>
      <c r="G20" s="110"/>
      <c r="H20" s="110"/>
      <c r="I20" s="110"/>
      <c r="J20" s="110"/>
      <c r="K20" s="110"/>
      <c r="L20" s="110"/>
      <c r="M20" s="110"/>
      <c r="N20" s="10"/>
    </row>
    <row r="21" spans="2:14" x14ac:dyDescent="0.4">
      <c r="B21" s="28" t="s">
        <v>177</v>
      </c>
      <c r="C21" s="36"/>
      <c r="D21" s="111">
        <f>'Market Projection'!D8</f>
        <v>10599.12</v>
      </c>
      <c r="E21" s="111">
        <f>'Market Projection'!E8</f>
        <v>10599.12</v>
      </c>
      <c r="F21" s="111">
        <f>'Market Projection'!F8</f>
        <v>10599.12</v>
      </c>
      <c r="G21" s="111">
        <f>'Market Projection'!G8</f>
        <v>10599.12</v>
      </c>
      <c r="H21" s="111">
        <f>'Market Projection'!H8</f>
        <v>10599.12</v>
      </c>
      <c r="I21" s="111">
        <f>'Market Projection'!I8</f>
        <v>10599.12</v>
      </c>
      <c r="J21" s="111">
        <f>'Market Projection'!J8</f>
        <v>10599.12</v>
      </c>
      <c r="K21" s="111">
        <f>'Market Projection'!K8</f>
        <v>10599.12</v>
      </c>
      <c r="L21" s="111">
        <f>'Market Projection'!L8</f>
        <v>10599.12</v>
      </c>
      <c r="M21" s="111">
        <f>'Market Projection'!M8</f>
        <v>10599.12</v>
      </c>
      <c r="N21" s="10"/>
    </row>
    <row r="22" spans="2:14" x14ac:dyDescent="0.4">
      <c r="B22" s="28" t="s">
        <v>108</v>
      </c>
      <c r="C22" s="38"/>
      <c r="D22" s="112">
        <f>'Spirits Production'!$H17</f>
        <v>22</v>
      </c>
      <c r="E22" s="112">
        <f>D22*(1+'Op Assumptions'!$F$29)</f>
        <v>22.11</v>
      </c>
      <c r="F22" s="112">
        <f>E22*(1+'Op Assumptions'!$F$29)</f>
        <v>22.220549999999996</v>
      </c>
      <c r="G22" s="112">
        <f>F22*(1+'Op Assumptions'!$F$29)</f>
        <v>22.331652749999993</v>
      </c>
      <c r="H22" s="112">
        <f>G22*(1+'Op Assumptions'!$F$29)</f>
        <v>22.443311013749991</v>
      </c>
      <c r="I22" s="112">
        <f>H22*(1+'Op Assumptions'!$F$29)</f>
        <v>22.555527568818739</v>
      </c>
      <c r="J22" s="112">
        <f>I22*(1+'Op Assumptions'!$F$29)</f>
        <v>22.668305206662829</v>
      </c>
      <c r="K22" s="112">
        <f>J22*(1+'Op Assumptions'!$F$29)</f>
        <v>22.781646732696142</v>
      </c>
      <c r="L22" s="112">
        <f>K22*(1+'Op Assumptions'!$F$29)</f>
        <v>22.895554966359622</v>
      </c>
      <c r="M22" s="112">
        <f>L22*(1+'Op Assumptions'!$F$29)</f>
        <v>23.010032741191417</v>
      </c>
      <c r="N22" s="11"/>
    </row>
    <row r="23" spans="2:14" x14ac:dyDescent="0.4">
      <c r="B23" s="28" t="s">
        <v>109</v>
      </c>
      <c r="C23" s="39"/>
      <c r="D23" s="114">
        <f t="shared" ref="D23:M23" si="1">D21*D22</f>
        <v>233180.64</v>
      </c>
      <c r="E23" s="114">
        <f t="shared" si="1"/>
        <v>234346.54320000001</v>
      </c>
      <c r="F23" s="114">
        <f t="shared" si="1"/>
        <v>235518.27591599998</v>
      </c>
      <c r="G23" s="114">
        <f t="shared" si="1"/>
        <v>236695.86729557996</v>
      </c>
      <c r="H23" s="114">
        <f t="shared" si="1"/>
        <v>237879.34663205783</v>
      </c>
      <c r="I23" s="114">
        <f t="shared" si="1"/>
        <v>239068.74336521811</v>
      </c>
      <c r="J23" s="114">
        <f t="shared" si="1"/>
        <v>240264.08708204413</v>
      </c>
      <c r="K23" s="114">
        <f t="shared" si="1"/>
        <v>241465.40751745435</v>
      </c>
      <c r="L23" s="114">
        <f t="shared" si="1"/>
        <v>242672.73455504162</v>
      </c>
      <c r="M23" s="114">
        <f t="shared" si="1"/>
        <v>243886.09822781678</v>
      </c>
      <c r="N23" s="11"/>
    </row>
    <row r="24" spans="2:14" x14ac:dyDescent="0.4">
      <c r="B24" s="27"/>
      <c r="C24" s="27"/>
      <c r="D24" s="110"/>
      <c r="E24" s="110"/>
      <c r="F24" s="110"/>
      <c r="G24" s="110"/>
      <c r="H24" s="110"/>
      <c r="I24" s="110"/>
      <c r="J24" s="110"/>
      <c r="K24" s="110"/>
      <c r="L24" s="110"/>
      <c r="M24" s="110"/>
      <c r="N24" s="10"/>
    </row>
    <row r="25" spans="2:14" x14ac:dyDescent="0.4">
      <c r="B25" s="28" t="str">
        <f>'Market Projection'!B9</f>
        <v>Peach Brandy</v>
      </c>
      <c r="C25" s="27"/>
      <c r="D25" s="110"/>
      <c r="E25" s="110"/>
      <c r="F25" s="110"/>
      <c r="G25" s="110"/>
      <c r="H25" s="110"/>
      <c r="I25" s="110"/>
      <c r="J25" s="110"/>
      <c r="K25" s="110"/>
      <c r="L25" s="110"/>
      <c r="M25" s="110"/>
      <c r="N25" s="10"/>
    </row>
    <row r="26" spans="2:14" x14ac:dyDescent="0.4">
      <c r="B26" s="28" t="str">
        <f>B21</f>
        <v>Sales Volume</v>
      </c>
      <c r="C26" s="36"/>
      <c r="D26" s="111">
        <f>'Market Projection'!D9</f>
        <v>0</v>
      </c>
      <c r="E26" s="111">
        <f>'Market Projection'!E9</f>
        <v>0</v>
      </c>
      <c r="F26" s="111">
        <f>'Market Projection'!F9</f>
        <v>3028.3199999999997</v>
      </c>
      <c r="G26" s="111">
        <f>'Market Projection'!G9</f>
        <v>3028.3199999999997</v>
      </c>
      <c r="H26" s="111">
        <f>'Market Projection'!H9</f>
        <v>3028.3199999999997</v>
      </c>
      <c r="I26" s="111">
        <f>'Market Projection'!I9</f>
        <v>3028.3199999999997</v>
      </c>
      <c r="J26" s="111">
        <f>'Market Projection'!J9</f>
        <v>3028.3199999999997</v>
      </c>
      <c r="K26" s="111">
        <f>'Market Projection'!K9</f>
        <v>3028.3199999999997</v>
      </c>
      <c r="L26" s="111">
        <f>'Market Projection'!L9</f>
        <v>3028.3199999999997</v>
      </c>
      <c r="M26" s="111">
        <f>'Market Projection'!M9</f>
        <v>3028.3199999999997</v>
      </c>
      <c r="N26" s="10"/>
    </row>
    <row r="27" spans="2:14" x14ac:dyDescent="0.4">
      <c r="B27" s="28" t="str">
        <f>B22</f>
        <v>Price/Unit</v>
      </c>
      <c r="C27" s="38"/>
      <c r="D27" s="112">
        <f>'Spirits Production'!$H26</f>
        <v>28</v>
      </c>
      <c r="E27" s="112">
        <f>D27*(1+'Op Assumptions'!$F$29)</f>
        <v>28.139999999999997</v>
      </c>
      <c r="F27" s="112">
        <f>E27*(1+'Op Assumptions'!$F$29)</f>
        <v>28.280699999999992</v>
      </c>
      <c r="G27" s="112">
        <f>F27*(1+'Op Assumptions'!$F$29)</f>
        <v>28.422103499999988</v>
      </c>
      <c r="H27" s="112">
        <f>G27*(1+'Op Assumptions'!$F$29)</f>
        <v>28.564214017499985</v>
      </c>
      <c r="I27" s="112">
        <f>H27*(1+'Op Assumptions'!$F$29)</f>
        <v>28.707035087587482</v>
      </c>
      <c r="J27" s="112">
        <f>I27*(1+'Op Assumptions'!$F$29)</f>
        <v>28.850570263025414</v>
      </c>
      <c r="K27" s="112">
        <f>J27*(1+'Op Assumptions'!$F$29)</f>
        <v>28.994823114340537</v>
      </c>
      <c r="L27" s="112">
        <f>K27*(1+'Op Assumptions'!$F$29)</f>
        <v>29.139797229912237</v>
      </c>
      <c r="M27" s="112">
        <f>L27*(1+'Op Assumptions'!$F$29)</f>
        <v>29.285496216061794</v>
      </c>
      <c r="N27" s="10"/>
    </row>
    <row r="28" spans="2:14" x14ac:dyDescent="0.4">
      <c r="B28" s="28" t="str">
        <f>B23</f>
        <v>Gross Sales</v>
      </c>
      <c r="C28" s="39"/>
      <c r="D28" s="114">
        <f t="shared" ref="D28:M28" si="2">D26*D27</f>
        <v>0</v>
      </c>
      <c r="E28" s="114">
        <f t="shared" si="2"/>
        <v>0</v>
      </c>
      <c r="F28" s="114">
        <f t="shared" si="2"/>
        <v>85643.009423999974</v>
      </c>
      <c r="G28" s="114">
        <f t="shared" si="2"/>
        <v>86071.22447111996</v>
      </c>
      <c r="H28" s="114">
        <f t="shared" si="2"/>
        <v>86501.580593475548</v>
      </c>
      <c r="I28" s="114">
        <f t="shared" si="2"/>
        <v>86934.088496442913</v>
      </c>
      <c r="J28" s="114">
        <f t="shared" si="2"/>
        <v>87368.758938925108</v>
      </c>
      <c r="K28" s="114">
        <f t="shared" si="2"/>
        <v>87805.602733619729</v>
      </c>
      <c r="L28" s="114">
        <f t="shared" si="2"/>
        <v>88244.630747287811</v>
      </c>
      <c r="M28" s="114">
        <f t="shared" si="2"/>
        <v>88685.853901024238</v>
      </c>
      <c r="N28" s="11"/>
    </row>
    <row r="29" spans="2:14" x14ac:dyDescent="0.4">
      <c r="B29" s="27"/>
      <c r="C29" s="27"/>
      <c r="D29" s="110"/>
      <c r="E29" s="110"/>
      <c r="F29" s="110"/>
      <c r="G29" s="110"/>
      <c r="H29" s="110"/>
      <c r="I29" s="110"/>
      <c r="J29" s="110"/>
      <c r="K29" s="110"/>
      <c r="L29" s="110"/>
      <c r="M29" s="110"/>
      <c r="N29" s="11"/>
    </row>
    <row r="30" spans="2:14" x14ac:dyDescent="0.4">
      <c r="B30" s="28" t="str">
        <f>'Market Projection'!B10</f>
        <v>Craft Vodka</v>
      </c>
      <c r="C30" s="27"/>
      <c r="D30" s="110"/>
      <c r="E30" s="110"/>
      <c r="F30" s="110"/>
      <c r="G30" s="110"/>
      <c r="H30" s="110"/>
      <c r="I30" s="110"/>
      <c r="J30" s="110"/>
      <c r="K30" s="110"/>
      <c r="L30" s="110"/>
      <c r="M30" s="110"/>
      <c r="N30" s="10"/>
    </row>
    <row r="31" spans="2:14" x14ac:dyDescent="0.4">
      <c r="B31" s="28" t="str">
        <f>B21</f>
        <v>Sales Volume</v>
      </c>
      <c r="C31" s="36"/>
      <c r="D31" s="111">
        <f>'Market Projection'!D10</f>
        <v>3533.0400000000004</v>
      </c>
      <c r="E31" s="111">
        <f>'Market Projection'!E10</f>
        <v>3533.0400000000004</v>
      </c>
      <c r="F31" s="111">
        <f>'Market Projection'!F10</f>
        <v>3533.0400000000004</v>
      </c>
      <c r="G31" s="111">
        <f>'Market Projection'!G10</f>
        <v>3533.0400000000004</v>
      </c>
      <c r="H31" s="111">
        <f>'Market Projection'!H10</f>
        <v>3533.0400000000004</v>
      </c>
      <c r="I31" s="111">
        <f>'Market Projection'!I10</f>
        <v>3533.0400000000004</v>
      </c>
      <c r="J31" s="111">
        <f>'Market Projection'!J10</f>
        <v>3533.0400000000004</v>
      </c>
      <c r="K31" s="111">
        <f>'Market Projection'!K10</f>
        <v>3533.0400000000004</v>
      </c>
      <c r="L31" s="111">
        <f>'Market Projection'!L10</f>
        <v>3533.0400000000004</v>
      </c>
      <c r="M31" s="111">
        <f>'Market Projection'!M10</f>
        <v>3533.0400000000004</v>
      </c>
      <c r="N31" s="10"/>
    </row>
    <row r="32" spans="2:14" x14ac:dyDescent="0.4">
      <c r="B32" s="28" t="str">
        <f>B22</f>
        <v>Price/Unit</v>
      </c>
      <c r="C32" s="38"/>
      <c r="D32" s="112">
        <f>'Spirits Production'!$H35</f>
        <v>20</v>
      </c>
      <c r="E32" s="112">
        <f>D32*(1+'Op Assumptions'!$F$29)</f>
        <v>20.099999999999998</v>
      </c>
      <c r="F32" s="112">
        <f>E32*(1+'Op Assumptions'!$F$29)</f>
        <v>20.200499999999995</v>
      </c>
      <c r="G32" s="112">
        <f>F32*(1+'Op Assumptions'!$F$29)</f>
        <v>20.301502499999991</v>
      </c>
      <c r="H32" s="112">
        <f>G32*(1+'Op Assumptions'!$F$29)</f>
        <v>20.40301001249999</v>
      </c>
      <c r="I32" s="112">
        <f>H32*(1+'Op Assumptions'!$F$29)</f>
        <v>20.505025062562488</v>
      </c>
      <c r="J32" s="112">
        <f>I32*(1+'Op Assumptions'!$F$29)</f>
        <v>20.607550187875297</v>
      </c>
      <c r="K32" s="112">
        <f>J32*(1+'Op Assumptions'!$F$29)</f>
        <v>20.710587938814673</v>
      </c>
      <c r="L32" s="112">
        <f>K32*(1+'Op Assumptions'!$F$29)</f>
        <v>20.814140878508745</v>
      </c>
      <c r="M32" s="112">
        <f>L32*(1+'Op Assumptions'!$F$29)</f>
        <v>20.918211582901286</v>
      </c>
      <c r="N32" s="10"/>
    </row>
    <row r="33" spans="2:14" x14ac:dyDescent="0.4">
      <c r="B33" s="28" t="str">
        <f>B23</f>
        <v>Gross Sales</v>
      </c>
      <c r="C33" s="39"/>
      <c r="D33" s="114">
        <f t="shared" ref="D33:M33" si="3">D31*D32</f>
        <v>70660.800000000003</v>
      </c>
      <c r="E33" s="114">
        <f t="shared" si="3"/>
        <v>71014.104000000007</v>
      </c>
      <c r="F33" s="114">
        <f t="shared" si="3"/>
        <v>71369.174519999986</v>
      </c>
      <c r="G33" s="114">
        <f t="shared" si="3"/>
        <v>71726.020392599981</v>
      </c>
      <c r="H33" s="114">
        <f t="shared" si="3"/>
        <v>72084.650494562971</v>
      </c>
      <c r="I33" s="114">
        <f t="shared" si="3"/>
        <v>72445.073747035785</v>
      </c>
      <c r="J33" s="114">
        <f t="shared" si="3"/>
        <v>72807.299115770948</v>
      </c>
      <c r="K33" s="114">
        <f t="shared" si="3"/>
        <v>73171.335611349801</v>
      </c>
      <c r="L33" s="114">
        <f t="shared" si="3"/>
        <v>73537.19228940655</v>
      </c>
      <c r="M33" s="114">
        <f t="shared" si="3"/>
        <v>73904.878250853566</v>
      </c>
      <c r="N33" s="10"/>
    </row>
    <row r="34" spans="2:14" x14ac:dyDescent="0.4">
      <c r="B34" s="27"/>
      <c r="C34" s="27"/>
      <c r="D34" s="110"/>
      <c r="E34" s="110"/>
      <c r="F34" s="110"/>
      <c r="G34" s="110"/>
      <c r="H34" s="110"/>
      <c r="I34" s="110"/>
      <c r="J34" s="110"/>
      <c r="K34" s="110"/>
      <c r="L34" s="110"/>
      <c r="M34" s="110"/>
      <c r="N34" s="11"/>
    </row>
    <row r="35" spans="2:14" x14ac:dyDescent="0.4">
      <c r="B35" s="28" t="str">
        <f>'Market Projection'!B11</f>
        <v>#4</v>
      </c>
      <c r="C35" s="27"/>
      <c r="D35" s="110"/>
      <c r="E35" s="110"/>
      <c r="F35" s="110"/>
      <c r="G35" s="110"/>
      <c r="H35" s="110"/>
      <c r="I35" s="110"/>
      <c r="J35" s="110"/>
      <c r="K35" s="110"/>
      <c r="L35" s="110"/>
      <c r="M35" s="110"/>
      <c r="N35" s="11"/>
    </row>
    <row r="36" spans="2:14" x14ac:dyDescent="0.4">
      <c r="B36" s="28" t="str">
        <f>B21</f>
        <v>Sales Volume</v>
      </c>
      <c r="C36" s="36"/>
      <c r="D36" s="111">
        <f>'Market Projection'!D11</f>
        <v>0</v>
      </c>
      <c r="E36" s="111">
        <f>'Market Projection'!E11</f>
        <v>0</v>
      </c>
      <c r="F36" s="111">
        <f>'Market Projection'!F11</f>
        <v>0</v>
      </c>
      <c r="G36" s="111">
        <f>'Market Projection'!G11</f>
        <v>0</v>
      </c>
      <c r="H36" s="111">
        <f>'Market Projection'!H11</f>
        <v>0</v>
      </c>
      <c r="I36" s="111">
        <f>'Market Projection'!I11</f>
        <v>0</v>
      </c>
      <c r="J36" s="111">
        <f>'Market Projection'!J11</f>
        <v>0</v>
      </c>
      <c r="K36" s="111">
        <f>'Market Projection'!K11</f>
        <v>0</v>
      </c>
      <c r="L36" s="111">
        <f>'Market Projection'!L11</f>
        <v>0</v>
      </c>
      <c r="M36" s="111">
        <f>'Market Projection'!M11</f>
        <v>0</v>
      </c>
    </row>
    <row r="37" spans="2:14" x14ac:dyDescent="0.4">
      <c r="B37" s="28" t="s">
        <v>108</v>
      </c>
      <c r="C37" s="36"/>
      <c r="D37" s="132">
        <f>'Spirits Production'!$H$44</f>
        <v>0</v>
      </c>
      <c r="E37" s="112">
        <f>D37*(1+'Op Assumptions'!$F$29)</f>
        <v>0</v>
      </c>
      <c r="F37" s="112">
        <f>E37*(1+'Op Assumptions'!$F$29)</f>
        <v>0</v>
      </c>
      <c r="G37" s="112">
        <f>F37*(1+'Op Assumptions'!$F$29)</f>
        <v>0</v>
      </c>
      <c r="H37" s="112">
        <f>G37*(1+'Op Assumptions'!$F$29)</f>
        <v>0</v>
      </c>
      <c r="I37" s="112">
        <f>H37*(1+'Op Assumptions'!$F$29)</f>
        <v>0</v>
      </c>
      <c r="J37" s="112">
        <f>I37*(1+'Op Assumptions'!$F$29)</f>
        <v>0</v>
      </c>
      <c r="K37" s="112">
        <f>J37*(1+'Op Assumptions'!$F$29)</f>
        <v>0</v>
      </c>
      <c r="L37" s="112">
        <f>K37*(1+'Op Assumptions'!$F$29)</f>
        <v>0</v>
      </c>
      <c r="M37" s="112">
        <f>L37*(1+'Op Assumptions'!$F$29)</f>
        <v>0</v>
      </c>
    </row>
    <row r="38" spans="2:14" x14ac:dyDescent="0.4">
      <c r="B38" s="28" t="s">
        <v>109</v>
      </c>
      <c r="C38" s="36"/>
      <c r="D38" s="114">
        <f t="shared" ref="D38:M38" si="4">D36*D37</f>
        <v>0</v>
      </c>
      <c r="E38" s="114">
        <f t="shared" si="4"/>
        <v>0</v>
      </c>
      <c r="F38" s="114">
        <f t="shared" si="4"/>
        <v>0</v>
      </c>
      <c r="G38" s="114">
        <f t="shared" si="4"/>
        <v>0</v>
      </c>
      <c r="H38" s="114">
        <f t="shared" si="4"/>
        <v>0</v>
      </c>
      <c r="I38" s="114">
        <f t="shared" si="4"/>
        <v>0</v>
      </c>
      <c r="J38" s="114">
        <f t="shared" si="4"/>
        <v>0</v>
      </c>
      <c r="K38" s="114">
        <f t="shared" si="4"/>
        <v>0</v>
      </c>
      <c r="L38" s="114">
        <f t="shared" si="4"/>
        <v>0</v>
      </c>
      <c r="M38" s="114">
        <f t="shared" si="4"/>
        <v>0</v>
      </c>
    </row>
    <row r="39" spans="2:14" x14ac:dyDescent="0.4">
      <c r="B39" s="28"/>
      <c r="C39" s="36"/>
      <c r="D39" s="111"/>
      <c r="E39" s="111"/>
      <c r="F39" s="111"/>
      <c r="G39" s="111"/>
      <c r="H39" s="111"/>
      <c r="I39" s="111"/>
      <c r="J39" s="111"/>
      <c r="K39" s="111"/>
      <c r="L39" s="111"/>
      <c r="M39" s="111"/>
    </row>
    <row r="40" spans="2:14" x14ac:dyDescent="0.4">
      <c r="B40" s="28" t="str">
        <f>B12</f>
        <v>#5</v>
      </c>
      <c r="C40" s="39"/>
      <c r="D40" s="115"/>
      <c r="E40" s="115"/>
      <c r="F40" s="115"/>
      <c r="G40" s="115"/>
      <c r="H40" s="115"/>
      <c r="I40" s="115"/>
      <c r="J40" s="115"/>
      <c r="K40" s="115"/>
      <c r="L40" s="115"/>
      <c r="M40" s="115"/>
    </row>
    <row r="41" spans="2:14" x14ac:dyDescent="0.4">
      <c r="B41" s="28" t="s">
        <v>172</v>
      </c>
      <c r="C41" s="39"/>
      <c r="D41" s="116">
        <f t="shared" ref="D41:M41" si="5">D12</f>
        <v>0</v>
      </c>
      <c r="E41" s="116">
        <f t="shared" si="5"/>
        <v>0</v>
      </c>
      <c r="F41" s="116">
        <f t="shared" si="5"/>
        <v>0</v>
      </c>
      <c r="G41" s="116">
        <f t="shared" si="5"/>
        <v>0</v>
      </c>
      <c r="H41" s="116">
        <f t="shared" si="5"/>
        <v>0</v>
      </c>
      <c r="I41" s="116">
        <f t="shared" si="5"/>
        <v>0</v>
      </c>
      <c r="J41" s="116">
        <f t="shared" si="5"/>
        <v>0</v>
      </c>
      <c r="K41" s="116">
        <f t="shared" si="5"/>
        <v>0</v>
      </c>
      <c r="L41" s="116">
        <f t="shared" si="5"/>
        <v>0</v>
      </c>
      <c r="M41" s="116">
        <f t="shared" si="5"/>
        <v>0</v>
      </c>
    </row>
    <row r="42" spans="2:14" x14ac:dyDescent="0.4">
      <c r="B42" s="28" t="s">
        <v>108</v>
      </c>
      <c r="C42" s="39"/>
      <c r="D42" s="113">
        <f>'Spirits Production'!$H$53</f>
        <v>0</v>
      </c>
      <c r="E42" s="112">
        <f>D42*(1+'Op Assumptions'!$F$29)</f>
        <v>0</v>
      </c>
      <c r="F42" s="112">
        <f>E42*(1+'Op Assumptions'!$F$29)</f>
        <v>0</v>
      </c>
      <c r="G42" s="112">
        <f>F42*(1+'Op Assumptions'!$F$29)</f>
        <v>0</v>
      </c>
      <c r="H42" s="112">
        <f>G42*(1+'Op Assumptions'!$F$29)</f>
        <v>0</v>
      </c>
      <c r="I42" s="112">
        <f>H42*(1+'Op Assumptions'!$F$29)</f>
        <v>0</v>
      </c>
      <c r="J42" s="112">
        <f>I42*(1+'Op Assumptions'!$F$29)</f>
        <v>0</v>
      </c>
      <c r="K42" s="112">
        <f>J42*(1+'Op Assumptions'!$F$29)</f>
        <v>0</v>
      </c>
      <c r="L42" s="112">
        <f>K42*(1+'Op Assumptions'!$F$29)</f>
        <v>0</v>
      </c>
      <c r="M42" s="112">
        <f>L42*(1+'Op Assumptions'!$F$29)</f>
        <v>0</v>
      </c>
    </row>
    <row r="43" spans="2:14" x14ac:dyDescent="0.4">
      <c r="B43" s="28" t="s">
        <v>109</v>
      </c>
      <c r="C43" s="39"/>
      <c r="D43" s="114">
        <f t="shared" ref="D43:M43" si="6">D41*D42</f>
        <v>0</v>
      </c>
      <c r="E43" s="114">
        <f t="shared" si="6"/>
        <v>0</v>
      </c>
      <c r="F43" s="114">
        <f t="shared" si="6"/>
        <v>0</v>
      </c>
      <c r="G43" s="114">
        <f t="shared" si="6"/>
        <v>0</v>
      </c>
      <c r="H43" s="114">
        <f t="shared" si="6"/>
        <v>0</v>
      </c>
      <c r="I43" s="114">
        <f t="shared" si="6"/>
        <v>0</v>
      </c>
      <c r="J43" s="114">
        <f t="shared" si="6"/>
        <v>0</v>
      </c>
      <c r="K43" s="114">
        <f t="shared" si="6"/>
        <v>0</v>
      </c>
      <c r="L43" s="114">
        <f t="shared" si="6"/>
        <v>0</v>
      </c>
      <c r="M43" s="114">
        <f t="shared" si="6"/>
        <v>0</v>
      </c>
    </row>
    <row r="44" spans="2:14" x14ac:dyDescent="0.4">
      <c r="B44" s="28"/>
      <c r="C44" s="39"/>
      <c r="D44" s="115"/>
      <c r="E44" s="115"/>
      <c r="F44" s="115"/>
      <c r="G44" s="115"/>
      <c r="H44" s="115"/>
      <c r="I44" s="115"/>
      <c r="J44" s="115"/>
      <c r="K44" s="115"/>
      <c r="L44" s="115"/>
      <c r="M44" s="115"/>
    </row>
    <row r="45" spans="2:14" x14ac:dyDescent="0.4">
      <c r="B45" s="28" t="str">
        <f>B13</f>
        <v>#6</v>
      </c>
      <c r="C45" s="39"/>
      <c r="D45" s="115"/>
      <c r="E45" s="115"/>
      <c r="F45" s="115"/>
      <c r="G45" s="115"/>
      <c r="H45" s="115"/>
      <c r="I45" s="115"/>
      <c r="J45" s="115"/>
      <c r="K45" s="115"/>
      <c r="L45" s="115"/>
      <c r="M45" s="115"/>
    </row>
    <row r="46" spans="2:14" x14ac:dyDescent="0.4">
      <c r="B46" s="28" t="s">
        <v>172</v>
      </c>
      <c r="C46" s="39"/>
      <c r="D46" s="116">
        <f t="shared" ref="D46:M46" si="7">D13</f>
        <v>0</v>
      </c>
      <c r="E46" s="116">
        <f t="shared" si="7"/>
        <v>0</v>
      </c>
      <c r="F46" s="116">
        <f t="shared" si="7"/>
        <v>0</v>
      </c>
      <c r="G46" s="116">
        <f t="shared" si="7"/>
        <v>0</v>
      </c>
      <c r="H46" s="116">
        <f t="shared" si="7"/>
        <v>0</v>
      </c>
      <c r="I46" s="116">
        <f t="shared" si="7"/>
        <v>0</v>
      </c>
      <c r="J46" s="116">
        <f t="shared" si="7"/>
        <v>0</v>
      </c>
      <c r="K46" s="116">
        <f t="shared" si="7"/>
        <v>0</v>
      </c>
      <c r="L46" s="116">
        <f t="shared" si="7"/>
        <v>0</v>
      </c>
      <c r="M46" s="116">
        <f t="shared" si="7"/>
        <v>0</v>
      </c>
    </row>
    <row r="47" spans="2:14" x14ac:dyDescent="0.4">
      <c r="B47" s="28" t="s">
        <v>108</v>
      </c>
      <c r="C47" s="39"/>
      <c r="D47" s="113">
        <f>'Spirits Production'!$H$62</f>
        <v>0</v>
      </c>
      <c r="E47" s="112">
        <f>D47*(1+'Op Assumptions'!$F$29)</f>
        <v>0</v>
      </c>
      <c r="F47" s="112">
        <f>E47*(1+'Op Assumptions'!$F$29)</f>
        <v>0</v>
      </c>
      <c r="G47" s="112">
        <f>F47*(1+'Op Assumptions'!$F$29)</f>
        <v>0</v>
      </c>
      <c r="H47" s="112">
        <f>G47*(1+'Op Assumptions'!$F$29)</f>
        <v>0</v>
      </c>
      <c r="I47" s="112">
        <f>H47*(1+'Op Assumptions'!$F$29)</f>
        <v>0</v>
      </c>
      <c r="J47" s="112">
        <f>I47*(1+'Op Assumptions'!$F$29)</f>
        <v>0</v>
      </c>
      <c r="K47" s="112">
        <f>J47*(1+'Op Assumptions'!$F$29)</f>
        <v>0</v>
      </c>
      <c r="L47" s="112">
        <f>K47*(1+'Op Assumptions'!$F$29)</f>
        <v>0</v>
      </c>
      <c r="M47" s="112">
        <f>L47*(1+'Op Assumptions'!$F$29)</f>
        <v>0</v>
      </c>
    </row>
    <row r="48" spans="2:14" x14ac:dyDescent="0.4">
      <c r="B48" s="28" t="s">
        <v>109</v>
      </c>
      <c r="C48" s="39"/>
      <c r="D48" s="114">
        <f t="shared" ref="D48:M48" si="8">D46*D47</f>
        <v>0</v>
      </c>
      <c r="E48" s="114">
        <f t="shared" si="8"/>
        <v>0</v>
      </c>
      <c r="F48" s="114">
        <f t="shared" si="8"/>
        <v>0</v>
      </c>
      <c r="G48" s="114">
        <f t="shared" si="8"/>
        <v>0</v>
      </c>
      <c r="H48" s="114">
        <f t="shared" si="8"/>
        <v>0</v>
      </c>
      <c r="I48" s="114">
        <f t="shared" si="8"/>
        <v>0</v>
      </c>
      <c r="J48" s="114">
        <f t="shared" si="8"/>
        <v>0</v>
      </c>
      <c r="K48" s="114">
        <f t="shared" si="8"/>
        <v>0</v>
      </c>
      <c r="L48" s="114">
        <f t="shared" si="8"/>
        <v>0</v>
      </c>
      <c r="M48" s="114">
        <f t="shared" si="8"/>
        <v>0</v>
      </c>
    </row>
    <row r="49" spans="2:13" x14ac:dyDescent="0.4">
      <c r="B49" s="28"/>
      <c r="C49" s="39"/>
      <c r="D49" s="115"/>
      <c r="E49" s="115"/>
      <c r="F49" s="115"/>
      <c r="G49" s="115"/>
      <c r="H49" s="115"/>
      <c r="I49" s="115"/>
      <c r="J49" s="115"/>
      <c r="K49" s="115"/>
      <c r="L49" s="115"/>
      <c r="M49" s="115"/>
    </row>
    <row r="50" spans="2:13" x14ac:dyDescent="0.4">
      <c r="B50" s="28" t="s">
        <v>264</v>
      </c>
      <c r="C50" s="27"/>
      <c r="D50" s="114">
        <f>+D23+D28+D33+D38+D43+D48</f>
        <v>303841.44</v>
      </c>
      <c r="E50" s="114">
        <f t="shared" ref="E50:M50" si="9">+E23+E28+E33+E38+E43+E48</f>
        <v>305360.64720000001</v>
      </c>
      <c r="F50" s="114">
        <f t="shared" si="9"/>
        <v>392530.45985999994</v>
      </c>
      <c r="G50" s="114">
        <f t="shared" si="9"/>
        <v>394493.1121592999</v>
      </c>
      <c r="H50" s="114">
        <f t="shared" si="9"/>
        <v>396465.57772009639</v>
      </c>
      <c r="I50" s="114">
        <f t="shared" si="9"/>
        <v>398447.90560869686</v>
      </c>
      <c r="J50" s="114">
        <f t="shared" si="9"/>
        <v>400440.14513674018</v>
      </c>
      <c r="K50" s="114">
        <f t="shared" si="9"/>
        <v>402442.34586242388</v>
      </c>
      <c r="L50" s="114">
        <f t="shared" si="9"/>
        <v>404454.55759173597</v>
      </c>
      <c r="M50" s="114">
        <f t="shared" si="9"/>
        <v>406476.83037969458</v>
      </c>
    </row>
    <row r="51" spans="2:13" x14ac:dyDescent="0.4">
      <c r="B51" s="28"/>
      <c r="C51" s="27"/>
      <c r="D51" s="114"/>
      <c r="E51" s="114"/>
      <c r="F51" s="114"/>
      <c r="G51" s="114"/>
      <c r="H51" s="114"/>
      <c r="I51" s="114"/>
      <c r="J51" s="114"/>
      <c r="K51" s="114"/>
      <c r="L51" s="114"/>
      <c r="M51" s="114"/>
    </row>
    <row r="52" spans="2:13" x14ac:dyDescent="0.4">
      <c r="B52" s="28" t="s">
        <v>176</v>
      </c>
      <c r="C52" s="27"/>
      <c r="D52" s="119">
        <f>'Op Assumptions'!$C$37*'Market Projection'!D50</f>
        <v>15192.072</v>
      </c>
      <c r="E52" s="119">
        <f>'Op Assumptions'!$C$37*'Market Projection'!E50</f>
        <v>15268.032360000001</v>
      </c>
      <c r="F52" s="119">
        <f>'Op Assumptions'!$C$37*'Market Projection'!F50</f>
        <v>19626.522992999999</v>
      </c>
      <c r="G52" s="119">
        <f>'Op Assumptions'!$C$37*'Market Projection'!G50</f>
        <v>19724.655607964996</v>
      </c>
      <c r="H52" s="119">
        <f>'Op Assumptions'!$C$37*'Market Projection'!H50</f>
        <v>19823.27888600482</v>
      </c>
      <c r="I52" s="119">
        <f>'Op Assumptions'!$C$37*'Market Projection'!I50</f>
        <v>19922.395280434845</v>
      </c>
      <c r="J52" s="119">
        <f>'Op Assumptions'!$C$37*'Market Projection'!J50</f>
        <v>20022.007256837009</v>
      </c>
      <c r="K52" s="119">
        <f>'Op Assumptions'!$C$37*'Market Projection'!K50</f>
        <v>20122.117293121195</v>
      </c>
      <c r="L52" s="119">
        <f>'Op Assumptions'!$C$37*'Market Projection'!L50</f>
        <v>20222.727879586801</v>
      </c>
      <c r="M52" s="119">
        <f>'Op Assumptions'!$C$37*'Market Projection'!M50</f>
        <v>20323.841518984729</v>
      </c>
    </row>
    <row r="53" spans="2:13" x14ac:dyDescent="0.4">
      <c r="B53" s="28"/>
      <c r="C53" s="27"/>
      <c r="D53" s="117"/>
      <c r="E53" s="117"/>
      <c r="F53" s="117"/>
      <c r="G53" s="117"/>
      <c r="H53" s="117"/>
      <c r="I53" s="117"/>
      <c r="J53" s="117"/>
      <c r="K53" s="117"/>
      <c r="L53" s="117"/>
      <c r="M53" s="117"/>
    </row>
    <row r="54" spans="2:13" x14ac:dyDescent="0.4">
      <c r="B54" s="28" t="s">
        <v>110</v>
      </c>
      <c r="C54" s="27"/>
      <c r="D54" s="114">
        <f>D50+D52</f>
        <v>319033.51199999999</v>
      </c>
      <c r="E54" s="114">
        <f t="shared" ref="E54:M54" si="10">E50+E52</f>
        <v>320628.67956000002</v>
      </c>
      <c r="F54" s="114">
        <f t="shared" si="10"/>
        <v>412156.98285299994</v>
      </c>
      <c r="G54" s="114">
        <f t="shared" si="10"/>
        <v>414217.76776726492</v>
      </c>
      <c r="H54" s="114">
        <f t="shared" si="10"/>
        <v>416288.85660610121</v>
      </c>
      <c r="I54" s="114">
        <f t="shared" si="10"/>
        <v>418370.30088913173</v>
      </c>
      <c r="J54" s="114">
        <f t="shared" si="10"/>
        <v>420462.15239357715</v>
      </c>
      <c r="K54" s="114">
        <f t="shared" si="10"/>
        <v>422564.46315554506</v>
      </c>
      <c r="L54" s="114">
        <f t="shared" si="10"/>
        <v>424677.28547132277</v>
      </c>
      <c r="M54" s="114">
        <f t="shared" si="10"/>
        <v>426800.67189867934</v>
      </c>
    </row>
    <row r="55" spans="2:13" x14ac:dyDescent="0.4">
      <c r="B55" s="27"/>
      <c r="C55" s="27"/>
      <c r="D55" s="110"/>
      <c r="E55" s="110"/>
      <c r="F55" s="110"/>
      <c r="G55" s="110"/>
      <c r="H55" s="110"/>
      <c r="I55" s="110"/>
      <c r="J55" s="110"/>
      <c r="K55" s="110"/>
      <c r="L55" s="110"/>
      <c r="M55" s="110"/>
    </row>
    <row r="56" spans="2:13" x14ac:dyDescent="0.4">
      <c r="B56" s="28" t="s">
        <v>90</v>
      </c>
      <c r="C56" s="27"/>
      <c r="D56" s="110"/>
      <c r="E56" s="110"/>
      <c r="F56" s="110"/>
      <c r="G56" s="110"/>
      <c r="H56" s="110"/>
      <c r="I56" s="110"/>
      <c r="J56" s="110"/>
      <c r="K56" s="110"/>
      <c r="L56" s="110"/>
      <c r="M56" s="110"/>
    </row>
    <row r="57" spans="2:13" x14ac:dyDescent="0.4">
      <c r="B57" s="27" t="str">
        <f t="shared" ref="B57:B62" si="11">B8</f>
        <v>Peach Moonshine</v>
      </c>
      <c r="C57" s="27"/>
      <c r="D57" s="220">
        <f>'Spirits Production'!I17*'Spirits Production'!$H$15</f>
        <v>85613.133600000016</v>
      </c>
      <c r="E57" s="220">
        <f>'Spirits Production'!J17*'Spirits Production'!$H$15</f>
        <v>85613.133600000016</v>
      </c>
      <c r="F57" s="220">
        <f>'Spirits Production'!K17*'Spirits Production'!$H$15</f>
        <v>85613.133600000016</v>
      </c>
      <c r="G57" s="220">
        <f>'Spirits Production'!L17*'Spirits Production'!$H$15</f>
        <v>85613.133600000016</v>
      </c>
      <c r="H57" s="220">
        <f>'Spirits Production'!M17*'Spirits Production'!$H$15</f>
        <v>85613.133600000016</v>
      </c>
      <c r="I57" s="220">
        <f>'Spirits Production'!N17*'Spirits Production'!$H$15</f>
        <v>85613.133600000016</v>
      </c>
      <c r="J57" s="220">
        <f>'Spirits Production'!O17*'Spirits Production'!$H$15</f>
        <v>85613.133600000016</v>
      </c>
      <c r="K57" s="220">
        <f>'Spirits Production'!P17*'Spirits Production'!$H$15</f>
        <v>85613.133600000016</v>
      </c>
      <c r="L57" s="220">
        <f>'Spirits Production'!Q17*'Spirits Production'!$H$15</f>
        <v>85613.133600000016</v>
      </c>
      <c r="M57" s="220">
        <f>'Spirits Production'!R17*'Spirits Production'!$H$15</f>
        <v>85613.133600000016</v>
      </c>
    </row>
    <row r="58" spans="2:13" x14ac:dyDescent="0.4">
      <c r="B58" s="27" t="str">
        <f t="shared" si="11"/>
        <v>Peach Brandy</v>
      </c>
      <c r="C58" s="36"/>
      <c r="D58" s="220">
        <f>'Spirits Production'!I26*'Spirits Production'!$H$24</f>
        <v>28746.609599999996</v>
      </c>
      <c r="E58" s="220">
        <f>'Spirits Production'!J26*'Spirits Production'!$H$24</f>
        <v>28746.609599999996</v>
      </c>
      <c r="F58" s="220">
        <f>'Spirits Production'!K26*'Spirits Production'!$H$24</f>
        <v>28746.609599999996</v>
      </c>
      <c r="G58" s="220">
        <f>'Spirits Production'!L26*'Spirits Production'!$H$24</f>
        <v>28746.609599999996</v>
      </c>
      <c r="H58" s="220">
        <f>'Spirits Production'!M26*'Spirits Production'!$H$24</f>
        <v>28746.609599999996</v>
      </c>
      <c r="I58" s="220">
        <f>'Spirits Production'!N26*'Spirits Production'!$H$24</f>
        <v>28746.609599999996</v>
      </c>
      <c r="J58" s="220">
        <f>'Spirits Production'!O26*'Spirits Production'!$H$24</f>
        <v>28746.609599999996</v>
      </c>
      <c r="K58" s="220">
        <f>'Spirits Production'!P26*'Spirits Production'!$H$24</f>
        <v>28746.609599999996</v>
      </c>
      <c r="L58" s="220">
        <f>'Spirits Production'!Q26*'Spirits Production'!$H$24</f>
        <v>28746.609599999996</v>
      </c>
      <c r="M58" s="220">
        <f>'Spirits Production'!R26*'Spirits Production'!$H$24</f>
        <v>28746.609599999996</v>
      </c>
    </row>
    <row r="59" spans="2:13" x14ac:dyDescent="0.4">
      <c r="B59" s="27" t="str">
        <f t="shared" si="11"/>
        <v>Craft Vodka</v>
      </c>
      <c r="C59" s="36"/>
      <c r="D59" s="220">
        <f>'Spirits Production'!I35*'Spirits Production'!$H$33</f>
        <v>26537.711200000005</v>
      </c>
      <c r="E59" s="220">
        <f>'Spirits Production'!J35*'Spirits Production'!$H$33</f>
        <v>26537.711200000005</v>
      </c>
      <c r="F59" s="220">
        <f>'Spirits Production'!K35*'Spirits Production'!$H$33</f>
        <v>26537.711200000005</v>
      </c>
      <c r="G59" s="220">
        <f>'Spirits Production'!L35*'Spirits Production'!$H$33</f>
        <v>26537.711200000005</v>
      </c>
      <c r="H59" s="220">
        <f>'Spirits Production'!M35*'Spirits Production'!$H$33</f>
        <v>26537.711200000005</v>
      </c>
      <c r="I59" s="220">
        <f>'Spirits Production'!N35*'Spirits Production'!$H$33</f>
        <v>26537.711200000005</v>
      </c>
      <c r="J59" s="220">
        <f>'Spirits Production'!O35*'Spirits Production'!$H$33</f>
        <v>26537.711200000005</v>
      </c>
      <c r="K59" s="220">
        <f>'Spirits Production'!P35*'Spirits Production'!$H$33</f>
        <v>26537.711200000005</v>
      </c>
      <c r="L59" s="220">
        <f>'Spirits Production'!Q35*'Spirits Production'!$H$33</f>
        <v>26537.711200000005</v>
      </c>
      <c r="M59" s="220">
        <f>'Spirits Production'!R35*'Spirits Production'!$H$33</f>
        <v>26537.711200000005</v>
      </c>
    </row>
    <row r="60" spans="2:13" x14ac:dyDescent="0.4">
      <c r="B60" s="27" t="str">
        <f t="shared" si="11"/>
        <v>#4</v>
      </c>
      <c r="C60" s="29"/>
      <c r="D60" s="221">
        <f>'Spirits Production'!I44*'Spirits Production'!$H$42</f>
        <v>0</v>
      </c>
      <c r="E60" s="221">
        <f>'Spirits Production'!J44*'Spirits Production'!$H$42</f>
        <v>0</v>
      </c>
      <c r="F60" s="221">
        <f>'Spirits Production'!K44*'Spirits Production'!$H$42</f>
        <v>0</v>
      </c>
      <c r="G60" s="221">
        <f>'Spirits Production'!L44*'Spirits Production'!$H$42</f>
        <v>0</v>
      </c>
      <c r="H60" s="221">
        <f>'Spirits Production'!M44*'Spirits Production'!$H$42</f>
        <v>0</v>
      </c>
      <c r="I60" s="221">
        <f>'Spirits Production'!N44*'Spirits Production'!$H$42</f>
        <v>0</v>
      </c>
      <c r="J60" s="221">
        <f>'Spirits Production'!O44*'Spirits Production'!$H$42</f>
        <v>0</v>
      </c>
      <c r="K60" s="221">
        <f>'Spirits Production'!P44*'Spirits Production'!$H$42</f>
        <v>0</v>
      </c>
      <c r="L60" s="221">
        <f>'Spirits Production'!Q44*'Spirits Production'!$H$42</f>
        <v>0</v>
      </c>
      <c r="M60" s="221">
        <f>'Spirits Production'!R44*'Spirits Production'!$H$42</f>
        <v>0</v>
      </c>
    </row>
    <row r="61" spans="2:13" x14ac:dyDescent="0.4">
      <c r="B61" s="27" t="str">
        <f t="shared" si="11"/>
        <v>#5</v>
      </c>
      <c r="C61" s="29"/>
      <c r="D61" s="221">
        <f>'Spirits Production'!I53*'Spirits Production'!$H$51</f>
        <v>0</v>
      </c>
      <c r="E61" s="221">
        <f>'Spirits Production'!J53*'Spirits Production'!$H$51</f>
        <v>0</v>
      </c>
      <c r="F61" s="221">
        <f>'Spirits Production'!K53*'Spirits Production'!$H$51</f>
        <v>0</v>
      </c>
      <c r="G61" s="221">
        <f>'Spirits Production'!L53*'Spirits Production'!$H$51</f>
        <v>0</v>
      </c>
      <c r="H61" s="221">
        <f>'Spirits Production'!M53*'Spirits Production'!$H$51</f>
        <v>0</v>
      </c>
      <c r="I61" s="221">
        <f>'Spirits Production'!N53*'Spirits Production'!$H$51</f>
        <v>0</v>
      </c>
      <c r="J61" s="221">
        <f>'Spirits Production'!O53*'Spirits Production'!$H$51</f>
        <v>0</v>
      </c>
      <c r="K61" s="221">
        <f>'Spirits Production'!P53*'Spirits Production'!$H$51</f>
        <v>0</v>
      </c>
      <c r="L61" s="221">
        <f>'Spirits Production'!Q53*'Spirits Production'!$H$51</f>
        <v>0</v>
      </c>
      <c r="M61" s="221">
        <f>'Spirits Production'!R53*'Spirits Production'!$H$51</f>
        <v>0</v>
      </c>
    </row>
    <row r="62" spans="2:13" x14ac:dyDescent="0.4">
      <c r="B62" s="27" t="str">
        <f t="shared" si="11"/>
        <v>#6</v>
      </c>
      <c r="C62" s="29"/>
      <c r="D62" s="221">
        <f>'Spirits Production'!I62*'Spirits Production'!$H$60</f>
        <v>0</v>
      </c>
      <c r="E62" s="221">
        <f>'Spirits Production'!J62*'Spirits Production'!$H$60</f>
        <v>0</v>
      </c>
      <c r="F62" s="221">
        <f>'Spirits Production'!K62*'Spirits Production'!$H$60</f>
        <v>0</v>
      </c>
      <c r="G62" s="221">
        <f>'Spirits Production'!L62*'Spirits Production'!$H$60</f>
        <v>0</v>
      </c>
      <c r="H62" s="221">
        <f>'Spirits Production'!M62*'Spirits Production'!$H$60</f>
        <v>0</v>
      </c>
      <c r="I62" s="221">
        <f>'Spirits Production'!N62*'Spirits Production'!$H$60</f>
        <v>0</v>
      </c>
      <c r="J62" s="221">
        <f>'Spirits Production'!O62*'Spirits Production'!$H$60</f>
        <v>0</v>
      </c>
      <c r="K62" s="221">
        <f>'Spirits Production'!P62*'Spirits Production'!$H$60</f>
        <v>0</v>
      </c>
      <c r="L62" s="221">
        <f>'Spirits Production'!Q62*'Spirits Production'!$H$60</f>
        <v>0</v>
      </c>
      <c r="M62" s="221">
        <f>'Spirits Production'!R62*'Spirits Production'!$H$60</f>
        <v>0</v>
      </c>
    </row>
    <row r="63" spans="2:13" x14ac:dyDescent="0.4">
      <c r="B63" s="28" t="s">
        <v>48</v>
      </c>
      <c r="C63" s="27"/>
      <c r="D63" s="50">
        <f t="shared" ref="D63:M63" si="12">SUM(D57:D62)</f>
        <v>140897.45440000002</v>
      </c>
      <c r="E63" s="50">
        <f t="shared" si="12"/>
        <v>140897.45440000002</v>
      </c>
      <c r="F63" s="50">
        <f t="shared" si="12"/>
        <v>140897.45440000002</v>
      </c>
      <c r="G63" s="50">
        <f t="shared" si="12"/>
        <v>140897.45440000002</v>
      </c>
      <c r="H63" s="50">
        <f t="shared" si="12"/>
        <v>140897.45440000002</v>
      </c>
      <c r="I63" s="50">
        <f t="shared" si="12"/>
        <v>140897.45440000002</v>
      </c>
      <c r="J63" s="50">
        <f t="shared" si="12"/>
        <v>140897.45440000002</v>
      </c>
      <c r="K63" s="50">
        <f t="shared" si="12"/>
        <v>140897.45440000002</v>
      </c>
      <c r="L63" s="50">
        <f t="shared" si="12"/>
        <v>140897.45440000002</v>
      </c>
      <c r="M63" s="50">
        <f t="shared" si="12"/>
        <v>140897.45440000002</v>
      </c>
    </row>
    <row r="64" spans="2:13" x14ac:dyDescent="0.4">
      <c r="B64" s="27"/>
      <c r="C64" s="27"/>
      <c r="D64" s="27"/>
      <c r="E64" s="27"/>
      <c r="F64" s="27"/>
      <c r="G64" s="27"/>
      <c r="H64" s="27"/>
      <c r="I64" s="27"/>
      <c r="J64" s="27"/>
      <c r="K64" s="27"/>
      <c r="L64" s="27"/>
      <c r="M64" s="27"/>
    </row>
    <row r="66" spans="3:12" x14ac:dyDescent="0.4">
      <c r="C66" s="6"/>
      <c r="D66" s="6"/>
      <c r="E66" s="6"/>
      <c r="F66" s="6"/>
      <c r="G66" s="6"/>
      <c r="H66" s="6"/>
      <c r="I66" s="6"/>
      <c r="J66" s="6"/>
      <c r="K66" s="6"/>
      <c r="L66" s="6"/>
    </row>
    <row r="67" spans="3:12" x14ac:dyDescent="0.4">
      <c r="C67" s="6"/>
      <c r="D67" s="6"/>
      <c r="E67" s="6"/>
      <c r="F67" s="6"/>
      <c r="G67" s="6"/>
      <c r="H67" s="6"/>
      <c r="I67" s="6"/>
      <c r="J67" s="6"/>
      <c r="K67" s="6"/>
      <c r="L67" s="6"/>
    </row>
    <row r="68" spans="3:12" x14ac:dyDescent="0.4">
      <c r="C68" s="7"/>
      <c r="D68" s="7"/>
      <c r="E68" s="7"/>
      <c r="F68" s="7"/>
      <c r="G68" s="7"/>
      <c r="H68" s="7"/>
      <c r="I68" s="7"/>
      <c r="J68" s="7"/>
      <c r="K68" s="7"/>
      <c r="L68" s="7"/>
    </row>
  </sheetData>
  <sheetProtection algorithmName="SHA-512" hashValue="HOl4mRPRVpUKujetM1a5RccEmBVx/e/agsBvOwERokxfhmhkrfWUG7v1jQM1jyCI0ZwH4jjGleAX3u1WKjjJpQ==" saltValue="9xyANKZhrpO3dUBGPNtmKQ==" spinCount="100000" sheet="1" objects="1" scenarios="1"/>
  <phoneticPr fontId="0"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L27"/>
  <sheetViews>
    <sheetView showGridLines="0" workbookViewId="0"/>
  </sheetViews>
  <sheetFormatPr defaultColWidth="9.109375" defaultRowHeight="12.3" x14ac:dyDescent="0.4"/>
  <cols>
    <col min="1" max="1" width="4.6640625" style="27" customWidth="1"/>
    <col min="2" max="2" width="23.33203125" style="27" bestFit="1" customWidth="1"/>
    <col min="3" max="3" width="16.6640625" style="27" customWidth="1"/>
    <col min="4" max="4" width="13.44140625" style="27" bestFit="1" customWidth="1"/>
    <col min="5" max="12" width="12.33203125" style="27" bestFit="1" customWidth="1"/>
    <col min="13" max="16384" width="9.109375" style="27"/>
  </cols>
  <sheetData>
    <row r="2" spans="2:12" ht="15" x14ac:dyDescent="0.5">
      <c r="B2" s="31" t="s">
        <v>250</v>
      </c>
      <c r="C2" s="121"/>
      <c r="D2" s="121"/>
      <c r="E2" s="121"/>
      <c r="F2" s="121"/>
      <c r="G2" s="121"/>
    </row>
    <row r="4" spans="2:12" x14ac:dyDescent="0.4">
      <c r="B4" s="28" t="s">
        <v>12</v>
      </c>
      <c r="C4" s="15">
        <f>'PPE &amp; Depreciation'!D64</f>
        <v>129707.6</v>
      </c>
    </row>
    <row r="5" spans="2:12" x14ac:dyDescent="0.4">
      <c r="B5" s="28" t="s">
        <v>15</v>
      </c>
      <c r="C5" s="22">
        <f>'Op Assumptions'!C6</f>
        <v>0.06</v>
      </c>
    </row>
    <row r="6" spans="2:12" x14ac:dyDescent="0.4">
      <c r="B6" s="28" t="s">
        <v>16</v>
      </c>
      <c r="C6" s="22">
        <f>'Op Assumptions'!C5</f>
        <v>0.5</v>
      </c>
    </row>
    <row r="7" spans="2:12" x14ac:dyDescent="0.4">
      <c r="B7" s="28" t="s">
        <v>13</v>
      </c>
      <c r="C7" s="15">
        <f>+C4*C6</f>
        <v>64853.8</v>
      </c>
    </row>
    <row r="8" spans="2:12" x14ac:dyDescent="0.4">
      <c r="B8" s="28" t="s">
        <v>14</v>
      </c>
      <c r="C8" s="41">
        <f>'Op Assumptions'!C7</f>
        <v>15</v>
      </c>
    </row>
    <row r="10" spans="2:12" x14ac:dyDescent="0.4">
      <c r="C10" s="42"/>
    </row>
    <row r="12" spans="2:12" x14ac:dyDescent="0.4">
      <c r="C12" s="126" t="s">
        <v>0</v>
      </c>
      <c r="D12" s="126" t="s">
        <v>1</v>
      </c>
      <c r="E12" s="126" t="s">
        <v>2</v>
      </c>
      <c r="F12" s="126" t="s">
        <v>3</v>
      </c>
      <c r="G12" s="126" t="s">
        <v>4</v>
      </c>
      <c r="H12" s="126" t="s">
        <v>5</v>
      </c>
      <c r="I12" s="126" t="s">
        <v>6</v>
      </c>
      <c r="J12" s="126" t="s">
        <v>7</v>
      </c>
      <c r="K12" s="126" t="s">
        <v>8</v>
      </c>
      <c r="L12" s="126" t="s">
        <v>9</v>
      </c>
    </row>
    <row r="13" spans="2:12" x14ac:dyDescent="0.4">
      <c r="B13" s="28" t="s">
        <v>18</v>
      </c>
      <c r="C13" s="43">
        <f>$C$7</f>
        <v>64853.8</v>
      </c>
      <c r="D13" s="43">
        <f t="shared" ref="D13:L13" si="0">C20</f>
        <v>62067.501498994941</v>
      </c>
      <c r="E13" s="43">
        <f t="shared" si="0"/>
        <v>59114.025087929578</v>
      </c>
      <c r="F13" s="43">
        <f t="shared" si="0"/>
        <v>55983.340092200291</v>
      </c>
      <c r="G13" s="43">
        <f t="shared" si="0"/>
        <v>52664.813996727251</v>
      </c>
      <c r="H13" s="43">
        <f t="shared" si="0"/>
        <v>49147.17633552583</v>
      </c>
      <c r="I13" s="43">
        <f t="shared" si="0"/>
        <v>45418.480414652324</v>
      </c>
      <c r="J13" s="43">
        <f t="shared" si="0"/>
        <v>41466.062738526402</v>
      </c>
      <c r="K13" s="43">
        <f t="shared" si="0"/>
        <v>37276.50000183293</v>
      </c>
      <c r="L13" s="43">
        <f t="shared" si="0"/>
        <v>32835.563500937846</v>
      </c>
    </row>
    <row r="14" spans="2:12" x14ac:dyDescent="0.4">
      <c r="B14" s="28" t="s">
        <v>19</v>
      </c>
      <c r="C14" s="44">
        <f t="shared" ref="C14:L14" si="1">$C$5</f>
        <v>0.06</v>
      </c>
      <c r="D14" s="44">
        <f t="shared" si="1"/>
        <v>0.06</v>
      </c>
      <c r="E14" s="44">
        <f t="shared" si="1"/>
        <v>0.06</v>
      </c>
      <c r="F14" s="44">
        <f t="shared" si="1"/>
        <v>0.06</v>
      </c>
      <c r="G14" s="44">
        <f t="shared" si="1"/>
        <v>0.06</v>
      </c>
      <c r="H14" s="44">
        <f t="shared" si="1"/>
        <v>0.06</v>
      </c>
      <c r="I14" s="44">
        <f t="shared" si="1"/>
        <v>0.06</v>
      </c>
      <c r="J14" s="44">
        <f t="shared" si="1"/>
        <v>0.06</v>
      </c>
      <c r="K14" s="44">
        <f t="shared" si="1"/>
        <v>0.06</v>
      </c>
      <c r="L14" s="44">
        <f t="shared" si="1"/>
        <v>0.06</v>
      </c>
    </row>
    <row r="15" spans="2:12" x14ac:dyDescent="0.4">
      <c r="B15" s="28" t="s">
        <v>20</v>
      </c>
      <c r="C15" s="43">
        <f t="shared" ref="C15:L15" si="2">C13*C14</f>
        <v>3891.2280000000001</v>
      </c>
      <c r="D15" s="43">
        <f t="shared" si="2"/>
        <v>3724.0500899396961</v>
      </c>
      <c r="E15" s="43">
        <f t="shared" si="2"/>
        <v>3546.8415052757746</v>
      </c>
      <c r="F15" s="43">
        <f t="shared" si="2"/>
        <v>3359.0004055320173</v>
      </c>
      <c r="G15" s="43">
        <f t="shared" si="2"/>
        <v>3159.8888398036352</v>
      </c>
      <c r="H15" s="43">
        <f t="shared" si="2"/>
        <v>2948.8305801315496</v>
      </c>
      <c r="I15" s="43">
        <f t="shared" si="2"/>
        <v>2725.1088248791393</v>
      </c>
      <c r="J15" s="43">
        <f t="shared" si="2"/>
        <v>2487.9637643115839</v>
      </c>
      <c r="K15" s="43">
        <f t="shared" si="2"/>
        <v>2236.5900001099758</v>
      </c>
      <c r="L15" s="43">
        <f t="shared" si="2"/>
        <v>1970.1338100562707</v>
      </c>
    </row>
    <row r="16" spans="2:12" x14ac:dyDescent="0.4">
      <c r="B16" s="28"/>
    </row>
    <row r="17" spans="2:12" x14ac:dyDescent="0.4">
      <c r="B17" s="28" t="s">
        <v>21</v>
      </c>
      <c r="C17" s="43">
        <f t="shared" ref="C17:L17" si="3">PMT(C14,$C$8,-$C$7)</f>
        <v>6677.5265010050589</v>
      </c>
      <c r="D17" s="43">
        <f t="shared" si="3"/>
        <v>6677.5265010050589</v>
      </c>
      <c r="E17" s="43">
        <f t="shared" si="3"/>
        <v>6677.5265010050589</v>
      </c>
      <c r="F17" s="43">
        <f t="shared" si="3"/>
        <v>6677.5265010050589</v>
      </c>
      <c r="G17" s="43">
        <f t="shared" si="3"/>
        <v>6677.5265010050589</v>
      </c>
      <c r="H17" s="43">
        <f t="shared" si="3"/>
        <v>6677.5265010050589</v>
      </c>
      <c r="I17" s="43">
        <f t="shared" si="3"/>
        <v>6677.5265010050589</v>
      </c>
      <c r="J17" s="43">
        <f t="shared" si="3"/>
        <v>6677.5265010050589</v>
      </c>
      <c r="K17" s="43">
        <f t="shared" si="3"/>
        <v>6677.5265010050589</v>
      </c>
      <c r="L17" s="43">
        <f t="shared" si="3"/>
        <v>6677.5265010050589</v>
      </c>
    </row>
    <row r="18" spans="2:12" x14ac:dyDescent="0.4">
      <c r="B18" s="28" t="s">
        <v>22</v>
      </c>
      <c r="C18" s="43">
        <f t="shared" ref="C18:L18" si="4">C17-C15</f>
        <v>2786.2985010050588</v>
      </c>
      <c r="D18" s="43">
        <f t="shared" si="4"/>
        <v>2953.4764110653628</v>
      </c>
      <c r="E18" s="43">
        <f t="shared" si="4"/>
        <v>3130.6849957292843</v>
      </c>
      <c r="F18" s="43">
        <f t="shared" si="4"/>
        <v>3318.5260954730416</v>
      </c>
      <c r="G18" s="43">
        <f t="shared" si="4"/>
        <v>3517.6376612014237</v>
      </c>
      <c r="H18" s="43">
        <f t="shared" si="4"/>
        <v>3728.6959208735093</v>
      </c>
      <c r="I18" s="43">
        <f t="shared" si="4"/>
        <v>3952.4176761259196</v>
      </c>
      <c r="J18" s="43">
        <f t="shared" si="4"/>
        <v>4189.562736693475</v>
      </c>
      <c r="K18" s="43">
        <f t="shared" si="4"/>
        <v>4440.9365008950826</v>
      </c>
      <c r="L18" s="43">
        <f t="shared" si="4"/>
        <v>4707.3926909487882</v>
      </c>
    </row>
    <row r="19" spans="2:12" x14ac:dyDescent="0.4">
      <c r="B19" s="28"/>
    </row>
    <row r="20" spans="2:12" x14ac:dyDescent="0.4">
      <c r="B20" s="28" t="s">
        <v>23</v>
      </c>
      <c r="C20" s="43">
        <f t="shared" ref="C20:L20" si="5">C13-C18</f>
        <v>62067.501498994941</v>
      </c>
      <c r="D20" s="43">
        <f t="shared" si="5"/>
        <v>59114.025087929578</v>
      </c>
      <c r="E20" s="43">
        <f t="shared" si="5"/>
        <v>55983.340092200291</v>
      </c>
      <c r="F20" s="43">
        <f t="shared" si="5"/>
        <v>52664.813996727251</v>
      </c>
      <c r="G20" s="43">
        <f t="shared" si="5"/>
        <v>49147.17633552583</v>
      </c>
      <c r="H20" s="43">
        <f t="shared" si="5"/>
        <v>45418.480414652324</v>
      </c>
      <c r="I20" s="43">
        <f t="shared" si="5"/>
        <v>41466.062738526402</v>
      </c>
      <c r="J20" s="43">
        <f t="shared" si="5"/>
        <v>37276.50000183293</v>
      </c>
      <c r="K20" s="43">
        <f t="shared" si="5"/>
        <v>32835.563500937846</v>
      </c>
      <c r="L20" s="43">
        <f t="shared" si="5"/>
        <v>28128.170809989057</v>
      </c>
    </row>
    <row r="23" spans="2:12" x14ac:dyDescent="0.4">
      <c r="B23" s="28" t="s">
        <v>17</v>
      </c>
      <c r="C23" s="15">
        <f>'Op Assumptions'!C10</f>
        <v>41903.351200000005</v>
      </c>
    </row>
    <row r="24" spans="2:12" x14ac:dyDescent="0.4">
      <c r="B24" s="28" t="s">
        <v>24</v>
      </c>
      <c r="C24" s="22">
        <f>'Op Assumptions'!C11</f>
        <v>7.0000000000000007E-2</v>
      </c>
    </row>
    <row r="25" spans="2:12" x14ac:dyDescent="0.4">
      <c r="B25" s="28" t="s">
        <v>25</v>
      </c>
      <c r="C25" s="39">
        <f>C23*C24</f>
        <v>2933.2345840000007</v>
      </c>
    </row>
    <row r="27" spans="2:12" x14ac:dyDescent="0.4">
      <c r="B27" s="28" t="s">
        <v>26</v>
      </c>
      <c r="C27" s="43">
        <f t="shared" ref="C27:L27" si="6">C15+$C$25</f>
        <v>6824.4625840000008</v>
      </c>
      <c r="D27" s="43">
        <f t="shared" si="6"/>
        <v>6657.2846739396973</v>
      </c>
      <c r="E27" s="43">
        <f t="shared" si="6"/>
        <v>6480.0760892757753</v>
      </c>
      <c r="F27" s="43">
        <f t="shared" si="6"/>
        <v>6292.2349895320185</v>
      </c>
      <c r="G27" s="43">
        <f t="shared" si="6"/>
        <v>6093.1234238036359</v>
      </c>
      <c r="H27" s="43">
        <f t="shared" si="6"/>
        <v>5882.0651641315508</v>
      </c>
      <c r="I27" s="43">
        <f t="shared" si="6"/>
        <v>5658.34340887914</v>
      </c>
      <c r="J27" s="43">
        <f t="shared" si="6"/>
        <v>5421.1983483115846</v>
      </c>
      <c r="K27" s="43">
        <f t="shared" si="6"/>
        <v>5169.8245841099761</v>
      </c>
      <c r="L27" s="43">
        <f t="shared" si="6"/>
        <v>4903.3683940562714</v>
      </c>
    </row>
  </sheetData>
  <sheetProtection algorithmName="SHA-512" hashValue="fe0nBHmd4l6pmxCQiusoXcpAM4iOZVcErjhMRt91GHYSawNhHyHNWXmOvjJdTDcfrx8g1nGPM1PFhFtCrOV/AA==" saltValue="+22vvcQvufjky3wjYxLvmQ==" spinCount="100000" sheet="1" objects="1" scenarios="1"/>
  <phoneticPr fontId="0"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N54"/>
  <sheetViews>
    <sheetView showGridLines="0" workbookViewId="0"/>
  </sheetViews>
  <sheetFormatPr defaultColWidth="9.109375" defaultRowHeight="12.3" x14ac:dyDescent="0.4"/>
  <cols>
    <col min="1" max="1" width="5.109375" style="27" customWidth="1"/>
    <col min="2" max="2" width="25.6640625" style="28" customWidth="1"/>
    <col min="3" max="3" width="15.33203125" style="27" customWidth="1"/>
    <col min="4" max="4" width="14" style="27" customWidth="1"/>
    <col min="5" max="5" width="11.5546875" style="27" customWidth="1"/>
    <col min="6" max="6" width="11.109375" style="27" customWidth="1"/>
    <col min="7" max="7" width="11.88671875" style="27" customWidth="1"/>
    <col min="8" max="8" width="12.88671875" style="27" customWidth="1"/>
    <col min="9" max="9" width="12.109375" style="27" customWidth="1"/>
    <col min="10" max="10" width="11.6640625" style="27" customWidth="1"/>
    <col min="11" max="11" width="11" style="27" customWidth="1"/>
    <col min="12" max="12" width="11.5546875" style="27" customWidth="1"/>
    <col min="13" max="13" width="12" style="44" customWidth="1"/>
    <col min="14" max="16384" width="9.109375" style="27"/>
  </cols>
  <sheetData>
    <row r="2" spans="2:14" ht="15" x14ac:dyDescent="0.5">
      <c r="B2" s="31" t="s">
        <v>251</v>
      </c>
      <c r="C2" s="121"/>
      <c r="D2" s="121"/>
      <c r="E2" s="121"/>
      <c r="F2" s="121"/>
      <c r="G2" s="121"/>
      <c r="H2" s="121"/>
    </row>
    <row r="3" spans="2:14" ht="15" x14ac:dyDescent="0.5">
      <c r="B3" s="31" t="s">
        <v>252</v>
      </c>
      <c r="C3" s="121"/>
      <c r="D3" s="121"/>
      <c r="E3" s="121"/>
      <c r="F3" s="121"/>
      <c r="G3" s="121"/>
      <c r="H3" s="121"/>
    </row>
    <row r="5" spans="2:14" x14ac:dyDescent="0.4">
      <c r="B5" s="33" t="s">
        <v>167</v>
      </c>
      <c r="C5" s="33" t="s">
        <v>11</v>
      </c>
      <c r="D5" s="33" t="s">
        <v>0</v>
      </c>
      <c r="E5" s="33" t="s">
        <v>1</v>
      </c>
      <c r="F5" s="33" t="s">
        <v>2</v>
      </c>
      <c r="G5" s="33" t="s">
        <v>3</v>
      </c>
      <c r="H5" s="33" t="s">
        <v>4</v>
      </c>
      <c r="I5" s="33" t="s">
        <v>5</v>
      </c>
      <c r="J5" s="33" t="s">
        <v>6</v>
      </c>
      <c r="K5" s="33" t="s">
        <v>7</v>
      </c>
      <c r="L5" s="33" t="s">
        <v>8</v>
      </c>
      <c r="M5" s="33" t="s">
        <v>9</v>
      </c>
    </row>
    <row r="6" spans="2:14" x14ac:dyDescent="0.4">
      <c r="B6" s="28" t="s">
        <v>31</v>
      </c>
      <c r="C6" s="40"/>
      <c r="D6" s="40">
        <f>'Personnel Expenses'!D22</f>
        <v>50000</v>
      </c>
      <c r="E6" s="40">
        <f>D6*(1+'Personnel Expenses'!$D$10)</f>
        <v>50500</v>
      </c>
      <c r="F6" s="40">
        <f>E6*(1+'Personnel Expenses'!$D$10)</f>
        <v>51005</v>
      </c>
      <c r="G6" s="40">
        <f>F6*(1+'Personnel Expenses'!$D$10)</f>
        <v>51515.05</v>
      </c>
      <c r="H6" s="40">
        <f>G6*(1+'Personnel Expenses'!$D$10)</f>
        <v>52030.200500000006</v>
      </c>
      <c r="I6" s="40">
        <f>H6*(1+'Personnel Expenses'!$D$10)</f>
        <v>52550.502505000004</v>
      </c>
      <c r="J6" s="40">
        <f>I6*(1+'Personnel Expenses'!$D$10)</f>
        <v>53076.007530050003</v>
      </c>
      <c r="K6" s="40">
        <f>J6*(1+'Personnel Expenses'!$D$10)</f>
        <v>53606.767605350506</v>
      </c>
      <c r="L6" s="40">
        <f>K6*(1+'Personnel Expenses'!$D$10)</f>
        <v>54142.835281404012</v>
      </c>
      <c r="M6" s="40">
        <f>L6*(1+'Personnel Expenses'!$D$10)</f>
        <v>54684.263634218056</v>
      </c>
      <c r="N6" s="40"/>
    </row>
    <row r="7" spans="2:14" x14ac:dyDescent="0.4">
      <c r="B7" s="28" t="s">
        <v>30</v>
      </c>
      <c r="C7" s="40"/>
      <c r="D7" s="40">
        <f>'Personnel Expenses'!F22</f>
        <v>15000.000000000002</v>
      </c>
      <c r="E7" s="40">
        <f>D7*(1+'Personnel Expenses'!$D$10)</f>
        <v>15150.000000000002</v>
      </c>
      <c r="F7" s="40">
        <f>E7*(1+'Personnel Expenses'!$D$10)</f>
        <v>15301.500000000002</v>
      </c>
      <c r="G7" s="40">
        <f>F7*(1+'Personnel Expenses'!$D$10)</f>
        <v>15454.515000000001</v>
      </c>
      <c r="H7" s="40">
        <f>G7*(1+'Personnel Expenses'!$D$10)</f>
        <v>15609.060150000001</v>
      </c>
      <c r="I7" s="40">
        <f>H7*(1+'Personnel Expenses'!$D$10)</f>
        <v>15765.150751500001</v>
      </c>
      <c r="J7" s="40">
        <f>I7*(1+'Personnel Expenses'!$D$10)</f>
        <v>15922.802259015001</v>
      </c>
      <c r="K7" s="40">
        <f>J7*(1+'Personnel Expenses'!$D$10)</f>
        <v>16082.030281605152</v>
      </c>
      <c r="L7" s="40">
        <f>K7*(1+'Personnel Expenses'!$D$10)</f>
        <v>16242.850584421203</v>
      </c>
      <c r="M7" s="40">
        <f>L7*(1+'Personnel Expenses'!$D$10)</f>
        <v>16405.279090265416</v>
      </c>
      <c r="N7" s="40"/>
    </row>
    <row r="8" spans="2:14" x14ac:dyDescent="0.4">
      <c r="B8" s="28" t="s">
        <v>29</v>
      </c>
      <c r="C8" s="40"/>
      <c r="D8" s="40">
        <f>'Personnel Expenses'!J22</f>
        <v>0</v>
      </c>
      <c r="E8" s="40">
        <f>D8*(1+'Personnel Expenses'!$D$10)</f>
        <v>0</v>
      </c>
      <c r="F8" s="40">
        <f>E8*(1+'Personnel Expenses'!$D$10)</f>
        <v>0</v>
      </c>
      <c r="G8" s="40">
        <f>F8*(1+'Personnel Expenses'!$D$10)</f>
        <v>0</v>
      </c>
      <c r="H8" s="40">
        <f>G8*(1+'Personnel Expenses'!$D$10)</f>
        <v>0</v>
      </c>
      <c r="I8" s="40">
        <f>H8*(1+'Personnel Expenses'!$D$10)</f>
        <v>0</v>
      </c>
      <c r="J8" s="40">
        <f>I8*(1+'Personnel Expenses'!$D$10)</f>
        <v>0</v>
      </c>
      <c r="K8" s="40">
        <f>J8*(1+'Personnel Expenses'!$D$10)</f>
        <v>0</v>
      </c>
      <c r="L8" s="40">
        <f>K8*(1+'Personnel Expenses'!$D$10)</f>
        <v>0</v>
      </c>
      <c r="M8" s="40">
        <f>L8*(1+'Personnel Expenses'!$D$10)</f>
        <v>0</v>
      </c>
      <c r="N8" s="40"/>
    </row>
    <row r="9" spans="2:14" x14ac:dyDescent="0.4">
      <c r="C9" s="40"/>
      <c r="D9" s="40"/>
      <c r="E9" s="40"/>
      <c r="F9" s="40"/>
      <c r="G9" s="40"/>
      <c r="H9" s="40"/>
      <c r="I9" s="40"/>
      <c r="J9" s="40"/>
      <c r="K9" s="40"/>
      <c r="L9" s="40"/>
      <c r="M9" s="40"/>
      <c r="N9" s="40"/>
    </row>
    <row r="10" spans="2:14" x14ac:dyDescent="0.4">
      <c r="B10" s="33" t="s">
        <v>194</v>
      </c>
      <c r="C10" s="40"/>
      <c r="D10" s="40"/>
      <c r="E10" s="40"/>
      <c r="F10" s="40"/>
      <c r="G10" s="40"/>
      <c r="H10" s="40"/>
      <c r="I10" s="40"/>
      <c r="J10" s="40"/>
      <c r="K10" s="40"/>
      <c r="L10" s="40"/>
      <c r="M10" s="40"/>
      <c r="N10" s="40"/>
    </row>
    <row r="11" spans="2:14" x14ac:dyDescent="0.4">
      <c r="B11" s="28" t="s">
        <v>31</v>
      </c>
      <c r="C11" s="40"/>
      <c r="D11" s="40">
        <f>'Personnel Expenses'!L34</f>
        <v>30000</v>
      </c>
      <c r="E11" s="40">
        <f>D11*(1+'Personnel Expenses'!$D$10)</f>
        <v>30300</v>
      </c>
      <c r="F11" s="40">
        <f>E11*(1+'Personnel Expenses'!$D$10)</f>
        <v>30603</v>
      </c>
      <c r="G11" s="40">
        <f>F11*(1+'Personnel Expenses'!$D$10)</f>
        <v>30909.03</v>
      </c>
      <c r="H11" s="40">
        <f>G11*(1+'Personnel Expenses'!$D$10)</f>
        <v>31218.120299999999</v>
      </c>
      <c r="I11" s="40">
        <f>H11*(1+'Personnel Expenses'!$D$10)</f>
        <v>31530.301502999999</v>
      </c>
      <c r="J11" s="40">
        <f>I11*(1+'Personnel Expenses'!$D$10)</f>
        <v>31845.604518029999</v>
      </c>
      <c r="K11" s="40">
        <f>J11*(1+'Personnel Expenses'!$D$10)</f>
        <v>32164.0605632103</v>
      </c>
      <c r="L11" s="40">
        <f>K11*(1+'Personnel Expenses'!$D$10)</f>
        <v>32485.701168842403</v>
      </c>
      <c r="M11" s="40">
        <f>L11*(1+'Personnel Expenses'!$D$10)</f>
        <v>32810.558180530825</v>
      </c>
      <c r="N11" s="40"/>
    </row>
    <row r="12" spans="2:14" x14ac:dyDescent="0.4">
      <c r="B12" s="28" t="s">
        <v>30</v>
      </c>
      <c r="C12" s="40"/>
      <c r="D12" s="40">
        <f>'Personnel Expenses'!N34</f>
        <v>4500.0000000000009</v>
      </c>
      <c r="E12" s="40">
        <f>D12*(1+'Personnel Expenses'!$D$10)</f>
        <v>4545.0000000000009</v>
      </c>
      <c r="F12" s="40">
        <f>E12*(1+'Personnel Expenses'!$D$10)</f>
        <v>4590.4500000000007</v>
      </c>
      <c r="G12" s="40">
        <f>F12*(1+'Personnel Expenses'!$D$10)</f>
        <v>4636.3545000000004</v>
      </c>
      <c r="H12" s="40">
        <f>G12*(1+'Personnel Expenses'!$D$10)</f>
        <v>4682.7180450000005</v>
      </c>
      <c r="I12" s="40">
        <f>H12*(1+'Personnel Expenses'!$D$10)</f>
        <v>4729.5452254500005</v>
      </c>
      <c r="J12" s="40">
        <f>I12*(1+'Personnel Expenses'!$D$10)</f>
        <v>4776.8406777045002</v>
      </c>
      <c r="K12" s="40">
        <f>J12*(1+'Personnel Expenses'!$D$10)</f>
        <v>4824.6090844815453</v>
      </c>
      <c r="L12" s="40">
        <f>K12*(1+'Personnel Expenses'!$D$10)</f>
        <v>4872.8551753263609</v>
      </c>
      <c r="M12" s="40">
        <f>L12*(1+'Personnel Expenses'!$D$10)</f>
        <v>4921.5837270796246</v>
      </c>
      <c r="N12" s="40"/>
    </row>
    <row r="13" spans="2:14" x14ac:dyDescent="0.4">
      <c r="B13" s="28" t="s">
        <v>29</v>
      </c>
      <c r="C13" s="40"/>
      <c r="D13" s="40">
        <f>'Personnel Expenses'!R34</f>
        <v>0</v>
      </c>
      <c r="E13" s="40">
        <f>D13*(1+'Personnel Expenses'!$D$10)</f>
        <v>0</v>
      </c>
      <c r="F13" s="40">
        <f>E13*(1+'Personnel Expenses'!$D$10)</f>
        <v>0</v>
      </c>
      <c r="G13" s="40">
        <f>F13*(1+'Personnel Expenses'!$D$10)</f>
        <v>0</v>
      </c>
      <c r="H13" s="40">
        <f>G13*(1+'Personnel Expenses'!$D$10)</f>
        <v>0</v>
      </c>
      <c r="I13" s="40">
        <f>H13*(1+'Personnel Expenses'!$D$10)</f>
        <v>0</v>
      </c>
      <c r="J13" s="40">
        <f>I13*(1+'Personnel Expenses'!$D$10)</f>
        <v>0</v>
      </c>
      <c r="K13" s="40">
        <f>J13*(1+'Personnel Expenses'!$D$10)</f>
        <v>0</v>
      </c>
      <c r="L13" s="40">
        <f>K13*(1+'Personnel Expenses'!$D$10)</f>
        <v>0</v>
      </c>
      <c r="M13" s="40">
        <f>L13*(1+'Personnel Expenses'!$D$10)</f>
        <v>0</v>
      </c>
      <c r="N13" s="40"/>
    </row>
    <row r="14" spans="2:14" x14ac:dyDescent="0.4">
      <c r="C14" s="40"/>
      <c r="D14" s="40"/>
      <c r="E14" s="40"/>
      <c r="F14" s="40"/>
      <c r="G14" s="40"/>
      <c r="H14" s="40"/>
      <c r="I14" s="40"/>
      <c r="J14" s="40"/>
      <c r="K14" s="40"/>
      <c r="L14" s="40"/>
      <c r="M14" s="40"/>
      <c r="N14" s="40"/>
    </row>
    <row r="15" spans="2:14" x14ac:dyDescent="0.4">
      <c r="B15" s="28" t="s">
        <v>34</v>
      </c>
      <c r="C15" s="46">
        <f>SUM(C6,C7,C8)</f>
        <v>0</v>
      </c>
      <c r="D15" s="46">
        <f>SUM(D6,D7,D8,D11,D12,D13)</f>
        <v>99500</v>
      </c>
      <c r="E15" s="46">
        <f t="shared" ref="E15:M15" si="0">SUM(E6,E7,E8,E11,E12,E13)</f>
        <v>100495</v>
      </c>
      <c r="F15" s="46">
        <f t="shared" si="0"/>
        <v>101499.95</v>
      </c>
      <c r="G15" s="46">
        <f t="shared" si="0"/>
        <v>102514.9495</v>
      </c>
      <c r="H15" s="46">
        <f t="shared" si="0"/>
        <v>103540.09899500001</v>
      </c>
      <c r="I15" s="46">
        <f t="shared" si="0"/>
        <v>104575.49998495</v>
      </c>
      <c r="J15" s="46">
        <f t="shared" si="0"/>
        <v>105621.25498479951</v>
      </c>
      <c r="K15" s="46">
        <f t="shared" si="0"/>
        <v>106677.4675346475</v>
      </c>
      <c r="L15" s="46">
        <f t="shared" si="0"/>
        <v>107744.24220999399</v>
      </c>
      <c r="M15" s="46">
        <f t="shared" si="0"/>
        <v>108821.68463209391</v>
      </c>
      <c r="N15" s="40"/>
    </row>
    <row r="16" spans="2:14" x14ac:dyDescent="0.4">
      <c r="C16" s="40"/>
      <c r="D16" s="40"/>
      <c r="E16" s="40"/>
      <c r="F16" s="40"/>
      <c r="G16" s="40"/>
      <c r="H16" s="40"/>
      <c r="I16" s="40"/>
      <c r="J16" s="40"/>
      <c r="K16" s="40"/>
      <c r="L16" s="40"/>
      <c r="M16" s="40"/>
      <c r="N16" s="40"/>
    </row>
    <row r="17" spans="2:14" x14ac:dyDescent="0.4">
      <c r="B17" s="28" t="s">
        <v>91</v>
      </c>
      <c r="C17" s="40"/>
      <c r="D17" s="40">
        <f>+'Market Projection'!D63</f>
        <v>140897.45440000002</v>
      </c>
      <c r="E17" s="40">
        <f>+'Market Projection'!E63</f>
        <v>140897.45440000002</v>
      </c>
      <c r="F17" s="40">
        <f>+'Market Projection'!F63</f>
        <v>140897.45440000002</v>
      </c>
      <c r="G17" s="40">
        <f>+'Market Projection'!G63</f>
        <v>140897.45440000002</v>
      </c>
      <c r="H17" s="40">
        <f>+'Market Projection'!H63</f>
        <v>140897.45440000002</v>
      </c>
      <c r="I17" s="40">
        <f>+'Market Projection'!I63</f>
        <v>140897.45440000002</v>
      </c>
      <c r="J17" s="40">
        <f>+'Market Projection'!J63</f>
        <v>140897.45440000002</v>
      </c>
      <c r="K17" s="40">
        <f>+'Market Projection'!K63</f>
        <v>140897.45440000002</v>
      </c>
      <c r="L17" s="40">
        <f>+'Market Projection'!L63</f>
        <v>140897.45440000002</v>
      </c>
      <c r="M17" s="40">
        <f>+'Market Projection'!M63</f>
        <v>140897.45440000002</v>
      </c>
      <c r="N17" s="40"/>
    </row>
    <row r="18" spans="2:14" x14ac:dyDescent="0.4">
      <c r="C18" s="40"/>
      <c r="D18" s="40"/>
      <c r="E18" s="40"/>
      <c r="F18" s="40"/>
      <c r="G18" s="40"/>
      <c r="H18" s="40"/>
      <c r="I18" s="40"/>
      <c r="J18" s="40"/>
      <c r="K18" s="40"/>
      <c r="L18" s="40"/>
      <c r="M18" s="40"/>
      <c r="N18" s="40"/>
    </row>
    <row r="19" spans="2:14" x14ac:dyDescent="0.4">
      <c r="B19" s="28" t="s">
        <v>234</v>
      </c>
      <c r="C19" s="40"/>
      <c r="D19" s="40">
        <f>'Spirits Production'!I74*('Op Assumptions'!$F$36+'Op Assumptions'!$F$37)</f>
        <v>5711.1450278400007</v>
      </c>
      <c r="E19" s="40">
        <f>'Spirits Production'!J74*('Op Assumptions'!$F$36+'Op Assumptions'!$F$37)</f>
        <v>5711.1450278400007</v>
      </c>
      <c r="F19" s="40">
        <f>'Spirits Production'!K74*('Op Assumptions'!$F$36+'Op Assumptions'!$F$37)</f>
        <v>7546.8702153599997</v>
      </c>
      <c r="G19" s="40">
        <f>'Spirits Production'!L74*('Op Assumptions'!$F$36+'Op Assumptions'!$F$37)</f>
        <v>7546.8702153599997</v>
      </c>
      <c r="H19" s="40">
        <f>'Spirits Production'!M74*('Op Assumptions'!$F$36+'Op Assumptions'!$F$37)</f>
        <v>7546.8702153599997</v>
      </c>
      <c r="I19" s="40">
        <f>'Spirits Production'!N74*('Op Assumptions'!$F$36+'Op Assumptions'!$F$37)</f>
        <v>7546.8702153599997</v>
      </c>
      <c r="J19" s="40">
        <f>'Spirits Production'!O74*('Op Assumptions'!$F$36+'Op Assumptions'!$F$37)</f>
        <v>7546.8702153599997</v>
      </c>
      <c r="K19" s="40">
        <f>'Spirits Production'!P74*('Op Assumptions'!$F$36+'Op Assumptions'!$F$37)</f>
        <v>7546.8702153599997</v>
      </c>
      <c r="L19" s="40">
        <f>'Spirits Production'!Q74*('Op Assumptions'!$F$36+'Op Assumptions'!$F$37)</f>
        <v>7546.8702153599997</v>
      </c>
      <c r="M19" s="40">
        <f>'Spirits Production'!R74*('Op Assumptions'!$F$36+'Op Assumptions'!$F$37)</f>
        <v>7546.8702153599997</v>
      </c>
      <c r="N19" s="40"/>
    </row>
    <row r="20" spans="2:14" x14ac:dyDescent="0.4">
      <c r="C20" s="40"/>
      <c r="D20" s="40"/>
      <c r="E20" s="40"/>
      <c r="F20" s="40"/>
      <c r="G20" s="40"/>
      <c r="H20" s="40"/>
      <c r="I20" s="40"/>
      <c r="J20" s="40"/>
      <c r="K20" s="40"/>
      <c r="L20" s="40"/>
      <c r="M20" s="40"/>
      <c r="N20" s="40"/>
    </row>
    <row r="21" spans="2:14" x14ac:dyDescent="0.4">
      <c r="B21" s="28" t="s">
        <v>169</v>
      </c>
      <c r="C21" s="40"/>
      <c r="D21" s="40">
        <f>+'Op Assumptions'!F9*12</f>
        <v>11700</v>
      </c>
      <c r="E21" s="40">
        <f>D21*(1+'Op Assumptions'!$F$28)</f>
        <v>11817</v>
      </c>
      <c r="F21" s="40">
        <f>E21*(1+'Op Assumptions'!$F$28)</f>
        <v>11935.17</v>
      </c>
      <c r="G21" s="40">
        <f>F21*(1+'Op Assumptions'!$F$28)</f>
        <v>12054.521699999999</v>
      </c>
      <c r="H21" s="40">
        <f>G21*(1+'Op Assumptions'!$F$28)</f>
        <v>12175.066917</v>
      </c>
      <c r="I21" s="40">
        <f>H21*(1+'Op Assumptions'!$F$28)</f>
        <v>12296.81758617</v>
      </c>
      <c r="J21" s="40">
        <f>I21*(1+'Op Assumptions'!$F$28)</f>
        <v>12419.785762031701</v>
      </c>
      <c r="K21" s="40">
        <f>J21*(1+'Op Assumptions'!$F$28)</f>
        <v>12543.983619652017</v>
      </c>
      <c r="L21" s="40">
        <f>K21*(1+'Op Assumptions'!$F$28)</f>
        <v>12669.423455848537</v>
      </c>
      <c r="M21" s="40">
        <f>L21*(1+'Op Assumptions'!$F$28)</f>
        <v>12796.117690407022</v>
      </c>
      <c r="N21" s="40"/>
    </row>
    <row r="22" spans="2:14" x14ac:dyDescent="0.4">
      <c r="C22" s="40"/>
      <c r="D22" s="40"/>
      <c r="E22" s="40"/>
      <c r="F22" s="40"/>
      <c r="G22" s="40"/>
      <c r="H22" s="40"/>
      <c r="I22" s="40"/>
      <c r="J22" s="40"/>
      <c r="K22" s="40"/>
      <c r="L22" s="40"/>
      <c r="M22" s="40"/>
      <c r="N22" s="40"/>
    </row>
    <row r="23" spans="2:14" x14ac:dyDescent="0.4">
      <c r="B23" s="28" t="s">
        <v>175</v>
      </c>
      <c r="C23" s="40">
        <f>'Profit-Loss'!C15/(1+'Op Assumptions'!$C$38)</f>
        <v>0</v>
      </c>
      <c r="D23" s="40">
        <f>'Market Projection'!D52/(1+'Op Assumptions'!$C$38)</f>
        <v>7596.0360000000001</v>
      </c>
      <c r="E23" s="40">
        <f>'Market Projection'!E52/(1+'Op Assumptions'!$C$38)</f>
        <v>7634.0161800000005</v>
      </c>
      <c r="F23" s="40">
        <f>'Market Projection'!F52/(1+'Op Assumptions'!$C$38)</f>
        <v>9813.2614964999993</v>
      </c>
      <c r="G23" s="40">
        <f>'Market Projection'!G52/(1+'Op Assumptions'!$C$38)</f>
        <v>9862.3278039824982</v>
      </c>
      <c r="H23" s="40">
        <f>'Market Projection'!H52/(1+'Op Assumptions'!$C$38)</f>
        <v>9911.6394430024102</v>
      </c>
      <c r="I23" s="40">
        <f>'Market Projection'!I52/(1+'Op Assumptions'!$C$38)</f>
        <v>9961.1976402174223</v>
      </c>
      <c r="J23" s="40">
        <f>'Market Projection'!J52/(1+'Op Assumptions'!$C$38)</f>
        <v>10011.003628418504</v>
      </c>
      <c r="K23" s="40">
        <f>'Market Projection'!K52/(1+'Op Assumptions'!$C$38)</f>
        <v>10061.058646560597</v>
      </c>
      <c r="L23" s="40">
        <f>'Market Projection'!L52/(1+'Op Assumptions'!$C$38)</f>
        <v>10111.3639397934</v>
      </c>
      <c r="M23" s="40">
        <f>'Market Projection'!M52/(1+'Op Assumptions'!$C$38)</f>
        <v>10161.920759492365</v>
      </c>
      <c r="N23" s="40"/>
    </row>
    <row r="24" spans="2:14" x14ac:dyDescent="0.4">
      <c r="C24" s="40"/>
      <c r="D24" s="40"/>
      <c r="E24" s="40"/>
      <c r="F24" s="40"/>
      <c r="G24" s="40"/>
      <c r="H24" s="40"/>
      <c r="I24" s="40"/>
      <c r="J24" s="40"/>
      <c r="K24" s="40"/>
      <c r="L24" s="40"/>
      <c r="M24" s="40"/>
      <c r="N24" s="40"/>
    </row>
    <row r="25" spans="2:14" x14ac:dyDescent="0.4">
      <c r="B25" s="28" t="s">
        <v>232</v>
      </c>
      <c r="C25" s="46">
        <f>+C15+C17+C21</f>
        <v>0</v>
      </c>
      <c r="D25" s="46">
        <f>SUM(D15:D23)</f>
        <v>265404.63542784005</v>
      </c>
      <c r="E25" s="46">
        <f t="shared" ref="E25:M25" si="1">SUM(E15:E23)</f>
        <v>266554.61560784001</v>
      </c>
      <c r="F25" s="46">
        <f t="shared" si="1"/>
        <v>271692.70611186</v>
      </c>
      <c r="G25" s="46">
        <f t="shared" si="1"/>
        <v>272876.12361934251</v>
      </c>
      <c r="H25" s="46">
        <f t="shared" si="1"/>
        <v>274071.12997036241</v>
      </c>
      <c r="I25" s="46">
        <f t="shared" si="1"/>
        <v>275277.83982669743</v>
      </c>
      <c r="J25" s="46">
        <f t="shared" si="1"/>
        <v>276496.36899060971</v>
      </c>
      <c r="K25" s="46">
        <f t="shared" si="1"/>
        <v>277726.83441622008</v>
      </c>
      <c r="L25" s="46">
        <f t="shared" si="1"/>
        <v>278969.35422099591</v>
      </c>
      <c r="M25" s="46">
        <f t="shared" si="1"/>
        <v>280224.04769735329</v>
      </c>
      <c r="N25" s="40"/>
    </row>
    <row r="26" spans="2:14" x14ac:dyDescent="0.4">
      <c r="C26" s="40"/>
      <c r="D26" s="40"/>
      <c r="E26" s="40"/>
      <c r="F26" s="40"/>
      <c r="G26" s="40"/>
      <c r="H26" s="40"/>
      <c r="I26" s="40"/>
      <c r="J26" s="40"/>
      <c r="K26" s="40"/>
      <c r="L26" s="40"/>
      <c r="M26" s="40"/>
      <c r="N26" s="40"/>
    </row>
    <row r="27" spans="2:14" x14ac:dyDescent="0.4">
      <c r="B27" s="33" t="s">
        <v>35</v>
      </c>
      <c r="C27" s="40"/>
      <c r="D27" s="40"/>
      <c r="E27" s="40"/>
      <c r="F27" s="40"/>
      <c r="G27" s="40"/>
      <c r="H27" s="40"/>
      <c r="I27" s="40"/>
      <c r="J27" s="40"/>
      <c r="K27" s="40"/>
      <c r="L27" s="40"/>
      <c r="M27" s="40"/>
      <c r="N27" s="40"/>
    </row>
    <row r="28" spans="2:14" x14ac:dyDescent="0.4">
      <c r="B28" s="28" t="s">
        <v>36</v>
      </c>
      <c r="C28" s="40"/>
      <c r="D28" s="40">
        <f>+'Op Assumptions'!F30*'PPE &amp; Depreciation'!D64</f>
        <v>3891.2280000000001</v>
      </c>
      <c r="E28" s="40">
        <f>D28*(1+'Op Assumptions'!$F$28)</f>
        <v>3930.1402800000001</v>
      </c>
      <c r="F28" s="40">
        <f>E28*(1+'Op Assumptions'!$F$28)</f>
        <v>3969.4416828000003</v>
      </c>
      <c r="G28" s="40">
        <f>F28*(1+'Op Assumptions'!$F$28)</f>
        <v>4009.1360996280005</v>
      </c>
      <c r="H28" s="40">
        <f>G28*(1+'Op Assumptions'!$F$28)</f>
        <v>4049.2274606242804</v>
      </c>
      <c r="I28" s="40">
        <f>H28*(1+'Op Assumptions'!$F$28)</f>
        <v>4089.7197352305234</v>
      </c>
      <c r="J28" s="40">
        <f>I28*(1+'Op Assumptions'!$F$28)</f>
        <v>4130.6169325828287</v>
      </c>
      <c r="K28" s="40">
        <f>J28*(1+'Op Assumptions'!$F$28)</f>
        <v>4171.9231019086574</v>
      </c>
      <c r="L28" s="40">
        <f>K28*(1+'Op Assumptions'!$F$28)</f>
        <v>4213.6423329277441</v>
      </c>
      <c r="M28" s="40">
        <f>L28*(1+'Op Assumptions'!$F$28)</f>
        <v>4255.778756257022</v>
      </c>
      <c r="N28" s="40"/>
    </row>
    <row r="29" spans="2:14" x14ac:dyDescent="0.4">
      <c r="C29" s="40"/>
      <c r="D29" s="40"/>
      <c r="E29" s="40"/>
      <c r="F29" s="40"/>
      <c r="G29" s="40"/>
      <c r="H29" s="40"/>
      <c r="I29" s="40"/>
      <c r="J29" s="40"/>
      <c r="K29" s="40"/>
      <c r="L29" s="40"/>
      <c r="M29" s="40"/>
      <c r="N29" s="40"/>
    </row>
    <row r="30" spans="2:14" x14ac:dyDescent="0.4">
      <c r="B30" s="28" t="s">
        <v>38</v>
      </c>
      <c r="C30" s="40"/>
      <c r="D30" s="40">
        <f>+'Op Assumptions'!F31*'PPE &amp; Depreciation'!D64</f>
        <v>2594.152</v>
      </c>
      <c r="E30" s="40">
        <f>D30*(1+'Op Assumptions'!$F$28)</f>
        <v>2620.0935199999999</v>
      </c>
      <c r="F30" s="40">
        <f>E30*(1+'Op Assumptions'!$F$28)</f>
        <v>2646.2944551999999</v>
      </c>
      <c r="G30" s="40">
        <f>F30*(1+'Op Assumptions'!$F$28)</f>
        <v>2672.7573997519999</v>
      </c>
      <c r="H30" s="40">
        <f>G30*(1+'Op Assumptions'!$F$28)</f>
        <v>2699.4849737495197</v>
      </c>
      <c r="I30" s="40">
        <f>H30*(1+'Op Assumptions'!$F$28)</f>
        <v>2726.479823487015</v>
      </c>
      <c r="J30" s="40">
        <f>I30*(1+'Op Assumptions'!$F$28)</f>
        <v>2753.7446217218853</v>
      </c>
      <c r="K30" s="40">
        <f>J30*(1+'Op Assumptions'!$F$28)</f>
        <v>2781.2820679391043</v>
      </c>
      <c r="L30" s="40">
        <f>K30*(1+'Op Assumptions'!$F$28)</f>
        <v>2809.0948886184956</v>
      </c>
      <c r="M30" s="40">
        <f>L30*(1+'Op Assumptions'!$F$28)</f>
        <v>2837.1858375046804</v>
      </c>
      <c r="N30" s="40"/>
    </row>
    <row r="31" spans="2:14" x14ac:dyDescent="0.4">
      <c r="C31" s="40"/>
      <c r="D31" s="40"/>
      <c r="E31" s="40"/>
      <c r="F31" s="40"/>
      <c r="G31" s="40"/>
      <c r="H31" s="40"/>
      <c r="I31" s="40"/>
      <c r="J31" s="40"/>
      <c r="K31" s="40"/>
      <c r="L31" s="40"/>
      <c r="M31" s="40"/>
      <c r="N31" s="40"/>
    </row>
    <row r="32" spans="2:14" x14ac:dyDescent="0.4">
      <c r="B32" s="28" t="s">
        <v>37</v>
      </c>
      <c r="C32" s="40"/>
      <c r="D32" s="40">
        <f>'Op Assumptions'!C15*'PPE &amp; Depreciation'!D64</f>
        <v>648.53800000000001</v>
      </c>
      <c r="E32" s="40">
        <f>D32*(1+'Op Assumptions'!$F$28)</f>
        <v>655.02337999999997</v>
      </c>
      <c r="F32" s="40">
        <f>E32*(1+'Op Assumptions'!$F$28)</f>
        <v>661.57361379999998</v>
      </c>
      <c r="G32" s="40">
        <f>F32*(1+'Op Assumptions'!$F$28)</f>
        <v>668.18934993799996</v>
      </c>
      <c r="H32" s="40">
        <f>G32*(1+'Op Assumptions'!$F$28)</f>
        <v>674.87124343737992</v>
      </c>
      <c r="I32" s="40">
        <f>H32*(1+'Op Assumptions'!$F$28)</f>
        <v>681.61995587175375</v>
      </c>
      <c r="J32" s="40">
        <f>I32*(1+'Op Assumptions'!$F$28)</f>
        <v>688.43615543047133</v>
      </c>
      <c r="K32" s="40">
        <f>J32*(1+'Op Assumptions'!$F$28)</f>
        <v>695.32051698477608</v>
      </c>
      <c r="L32" s="40">
        <f>K32*(1+'Op Assumptions'!$F$28)</f>
        <v>702.2737221546239</v>
      </c>
      <c r="M32" s="40">
        <f>L32*(1+'Op Assumptions'!$F$28)</f>
        <v>709.29645937617011</v>
      </c>
      <c r="N32" s="40"/>
    </row>
    <row r="33" spans="2:14" x14ac:dyDescent="0.4">
      <c r="C33" s="40"/>
      <c r="D33" s="40"/>
      <c r="E33" s="40"/>
      <c r="F33" s="40"/>
      <c r="G33" s="40"/>
      <c r="H33" s="40"/>
      <c r="I33" s="40"/>
      <c r="J33" s="40"/>
      <c r="K33" s="40"/>
      <c r="L33" s="40"/>
      <c r="M33" s="40"/>
      <c r="N33" s="40"/>
    </row>
    <row r="34" spans="2:14" x14ac:dyDescent="0.4">
      <c r="B34" s="28" t="s">
        <v>43</v>
      </c>
      <c r="C34" s="40"/>
      <c r="D34" s="40">
        <f>'PPE &amp; Depreciation'!C83</f>
        <v>8981.2182384615389</v>
      </c>
      <c r="E34" s="40">
        <f>'PPE &amp; Depreciation'!D83</f>
        <v>14522.164238461539</v>
      </c>
      <c r="F34" s="40">
        <f>'PPE &amp; Depreciation'!E83</f>
        <v>10719.554238461538</v>
      </c>
      <c r="G34" s="40">
        <f>'PPE &amp; Depreciation'!F83</f>
        <v>8003.4042384615386</v>
      </c>
      <c r="H34" s="40">
        <f>'PPE &amp; Depreciation'!G83</f>
        <v>6069.5054384615396</v>
      </c>
      <c r="I34" s="40">
        <f>'PPE &amp; Depreciation'!H83</f>
        <v>6064.0731384615392</v>
      </c>
      <c r="J34" s="40">
        <f>'PPE &amp; Depreciation'!I83</f>
        <v>6069.5054384615396</v>
      </c>
      <c r="K34" s="40">
        <f>'PPE &amp; Depreciation'!J83</f>
        <v>3641.2673384615387</v>
      </c>
      <c r="L34" s="40">
        <f>'PPE &amp; Depreciation'!K83</f>
        <v>1218.4615384615386</v>
      </c>
      <c r="M34" s="40">
        <f>'PPE &amp; Depreciation'!L83</f>
        <v>1218.4615384615386</v>
      </c>
      <c r="N34" s="40"/>
    </row>
    <row r="35" spans="2:14" x14ac:dyDescent="0.4">
      <c r="C35" s="40"/>
      <c r="D35" s="40"/>
      <c r="E35" s="40"/>
      <c r="F35" s="40"/>
      <c r="G35" s="40"/>
      <c r="H35" s="40"/>
      <c r="I35" s="40"/>
      <c r="J35" s="40"/>
      <c r="K35" s="40"/>
      <c r="L35" s="40"/>
      <c r="M35" s="40"/>
      <c r="N35" s="40"/>
    </row>
    <row r="36" spans="2:14" x14ac:dyDescent="0.4">
      <c r="B36" s="28" t="s">
        <v>20</v>
      </c>
      <c r="C36" s="40"/>
      <c r="D36" s="40">
        <f>+'Loan Amortization'!C27</f>
        <v>6824.4625840000008</v>
      </c>
      <c r="E36" s="40">
        <f>+'Loan Amortization'!D27</f>
        <v>6657.2846739396973</v>
      </c>
      <c r="F36" s="40">
        <f>+'Loan Amortization'!E27</f>
        <v>6480.0760892757753</v>
      </c>
      <c r="G36" s="40">
        <f>+'Loan Amortization'!F27</f>
        <v>6292.2349895320185</v>
      </c>
      <c r="H36" s="40">
        <f>+'Loan Amortization'!G27</f>
        <v>6093.1234238036359</v>
      </c>
      <c r="I36" s="40">
        <f>+'Loan Amortization'!H27</f>
        <v>5882.0651641315508</v>
      </c>
      <c r="J36" s="40">
        <f>+'Loan Amortization'!I27</f>
        <v>5658.34340887914</v>
      </c>
      <c r="K36" s="40">
        <f>+'Loan Amortization'!J27</f>
        <v>5421.1983483115846</v>
      </c>
      <c r="L36" s="40">
        <f>+'Loan Amortization'!K27</f>
        <v>5169.8245841099761</v>
      </c>
      <c r="M36" s="40">
        <f>+'Loan Amortization'!L27</f>
        <v>4903.3683940562714</v>
      </c>
      <c r="N36" s="40"/>
    </row>
    <row r="37" spans="2:14" x14ac:dyDescent="0.4">
      <c r="C37" s="40"/>
      <c r="D37" s="40"/>
      <c r="E37" s="40"/>
      <c r="F37" s="40"/>
      <c r="G37" s="40"/>
      <c r="H37" s="40"/>
      <c r="I37" s="40"/>
      <c r="J37" s="40"/>
      <c r="K37" s="40"/>
      <c r="L37" s="40"/>
      <c r="M37" s="40"/>
      <c r="N37" s="40"/>
    </row>
    <row r="38" spans="2:14" x14ac:dyDescent="0.4">
      <c r="B38" s="28" t="s">
        <v>46</v>
      </c>
      <c r="C38" s="46">
        <f t="shared" ref="C38:M38" si="2">SUM(C28,C30,C32,C34,C36)</f>
        <v>0</v>
      </c>
      <c r="D38" s="46">
        <f t="shared" si="2"/>
        <v>22939.598822461539</v>
      </c>
      <c r="E38" s="46">
        <f t="shared" si="2"/>
        <v>28384.706092401233</v>
      </c>
      <c r="F38" s="46">
        <f t="shared" si="2"/>
        <v>24476.940079537315</v>
      </c>
      <c r="G38" s="46">
        <f t="shared" si="2"/>
        <v>21645.722077311559</v>
      </c>
      <c r="H38" s="46">
        <f t="shared" si="2"/>
        <v>19586.212540076354</v>
      </c>
      <c r="I38" s="46">
        <f t="shared" si="2"/>
        <v>19443.957817182381</v>
      </c>
      <c r="J38" s="46">
        <f t="shared" si="2"/>
        <v>19300.646557075866</v>
      </c>
      <c r="K38" s="46">
        <f t="shared" si="2"/>
        <v>16710.991373605662</v>
      </c>
      <c r="L38" s="46">
        <f t="shared" si="2"/>
        <v>14113.297066272378</v>
      </c>
      <c r="M38" s="46">
        <f t="shared" si="2"/>
        <v>13924.090985655683</v>
      </c>
      <c r="N38" s="40"/>
    </row>
    <row r="39" spans="2:14" x14ac:dyDescent="0.4">
      <c r="C39" s="40"/>
      <c r="D39" s="40"/>
      <c r="E39" s="40"/>
      <c r="F39" s="40"/>
      <c r="G39" s="40"/>
      <c r="H39" s="40"/>
      <c r="I39" s="40"/>
      <c r="J39" s="40"/>
      <c r="K39" s="40"/>
      <c r="L39" s="40"/>
      <c r="M39" s="40"/>
      <c r="N39" s="40"/>
    </row>
    <row r="40" spans="2:14" x14ac:dyDescent="0.4">
      <c r="B40" s="33" t="s">
        <v>44</v>
      </c>
      <c r="C40" s="40"/>
      <c r="D40" s="40"/>
      <c r="E40" s="40"/>
      <c r="F40" s="40"/>
      <c r="G40" s="40"/>
      <c r="H40" s="40"/>
      <c r="I40" s="40"/>
      <c r="J40" s="40"/>
      <c r="K40" s="40"/>
      <c r="L40" s="40"/>
      <c r="M40" s="40"/>
      <c r="N40" s="40"/>
    </row>
    <row r="41" spans="2:14" x14ac:dyDescent="0.4">
      <c r="B41" s="28" t="s">
        <v>265</v>
      </c>
      <c r="C41" s="192">
        <v>1500</v>
      </c>
      <c r="D41" s="47">
        <f>'Op Assumptions'!C30+'Op Assumptions'!C31</f>
        <v>26260</v>
      </c>
      <c r="E41" s="47">
        <f>+D41*(1+'Op Assumptions'!$F$28)</f>
        <v>26522.6</v>
      </c>
      <c r="F41" s="47">
        <f>+E41*(1+'Op Assumptions'!$F$28)</f>
        <v>26787.825999999997</v>
      </c>
      <c r="G41" s="47">
        <f>+F41*(1+'Op Assumptions'!$F$28)</f>
        <v>27055.704259999999</v>
      </c>
      <c r="H41" s="47">
        <f>+G41*(1+'Op Assumptions'!$F$28)</f>
        <v>27326.2613026</v>
      </c>
      <c r="I41" s="47">
        <f>+H41*(1+'Op Assumptions'!$F$28)</f>
        <v>27599.523915626</v>
      </c>
      <c r="J41" s="47">
        <f>+I41*(1+'Op Assumptions'!$F$28)</f>
        <v>27875.519154782261</v>
      </c>
      <c r="K41" s="47">
        <f>+J41*(1+'Op Assumptions'!$F$28)</f>
        <v>28154.274346330083</v>
      </c>
      <c r="L41" s="47">
        <f>+K41*(1+'Op Assumptions'!$F$28)</f>
        <v>28435.817089793385</v>
      </c>
      <c r="M41" s="47">
        <f>+L41*(1+'Op Assumptions'!$F$28)</f>
        <v>28720.175260691318</v>
      </c>
      <c r="N41" s="40"/>
    </row>
    <row r="42" spans="2:14" x14ac:dyDescent="0.4">
      <c r="C42" s="63"/>
      <c r="D42" s="63"/>
      <c r="E42" s="47"/>
      <c r="F42" s="47"/>
      <c r="G42" s="47"/>
      <c r="H42" s="47"/>
      <c r="I42" s="47"/>
      <c r="J42" s="47"/>
      <c r="K42" s="47"/>
      <c r="L42" s="47"/>
      <c r="M42" s="47"/>
      <c r="N42" s="40"/>
    </row>
    <row r="43" spans="2:14" ht="12" customHeight="1" x14ac:dyDescent="0.4">
      <c r="B43" s="28" t="s">
        <v>121</v>
      </c>
      <c r="C43" s="192">
        <v>500</v>
      </c>
      <c r="D43" s="192">
        <v>500</v>
      </c>
      <c r="E43" s="47">
        <f>+D43*(1+'Op Assumptions'!$F$28)</f>
        <v>505</v>
      </c>
      <c r="F43" s="47">
        <f>+E43*(1+'Op Assumptions'!$F$28)</f>
        <v>510.05</v>
      </c>
      <c r="G43" s="47">
        <f>+F43*(1+'Op Assumptions'!$F$28)</f>
        <v>515.15049999999997</v>
      </c>
      <c r="H43" s="47">
        <f>+G43*(1+'Op Assumptions'!$F$28)</f>
        <v>520.30200500000001</v>
      </c>
      <c r="I43" s="47">
        <f>+H43*(1+'Op Assumptions'!$F$28)</f>
        <v>525.50502504999997</v>
      </c>
      <c r="J43" s="47">
        <f>+I43*(1+'Op Assumptions'!$F$28)</f>
        <v>530.76007530049992</v>
      </c>
      <c r="K43" s="47">
        <f>+J43*(1+'Op Assumptions'!$F$28)</f>
        <v>536.0676760535049</v>
      </c>
      <c r="L43" s="47">
        <f>+K43*(1+'Op Assumptions'!$F$28)</f>
        <v>541.42835281403995</v>
      </c>
      <c r="M43" s="47">
        <f>+L43*(1+'Op Assumptions'!$F$28)</f>
        <v>546.84263634218041</v>
      </c>
      <c r="N43" s="40"/>
    </row>
    <row r="44" spans="2:14" ht="12" customHeight="1" x14ac:dyDescent="0.4">
      <c r="C44" s="47"/>
      <c r="D44" s="47"/>
      <c r="E44" s="47"/>
      <c r="F44" s="47"/>
      <c r="G44" s="47"/>
      <c r="H44" s="47"/>
      <c r="I44" s="47"/>
      <c r="J44" s="47"/>
      <c r="K44" s="47"/>
      <c r="L44" s="47"/>
      <c r="M44" s="47"/>
      <c r="N44" s="40"/>
    </row>
    <row r="45" spans="2:14" ht="12" customHeight="1" x14ac:dyDescent="0.4">
      <c r="B45" s="28" t="s">
        <v>166</v>
      </c>
      <c r="C45" s="47">
        <f>'Op Assumptions'!C22+'Op Assumptions'!C26+'Op Assumptions'!C27+'Op Assumptions'!C28+'Op Assumptions'!C29</f>
        <v>21415</v>
      </c>
      <c r="D45" s="47">
        <f>'Op Assumptions'!$C$26+'Op Assumptions'!$C$27+'Op Assumptions'!$C$28+'Op Assumptions'!$C$29</f>
        <v>11415</v>
      </c>
      <c r="E45" s="47">
        <f>'Op Assumptions'!$C$26+'Op Assumptions'!$C$27+'Op Assumptions'!$C$28+'Op Assumptions'!$C$29</f>
        <v>11415</v>
      </c>
      <c r="F45" s="47">
        <f>'Op Assumptions'!$C$26+'Op Assumptions'!$C$27+'Op Assumptions'!$C$28+'Op Assumptions'!$C$29</f>
        <v>11415</v>
      </c>
      <c r="G45" s="47">
        <f>'Op Assumptions'!$C$26+'Op Assumptions'!$C$27+'Op Assumptions'!$C$28+'Op Assumptions'!$C$29</f>
        <v>11415</v>
      </c>
      <c r="H45" s="47">
        <f>'Op Assumptions'!$C$26+'Op Assumptions'!$C$27+'Op Assumptions'!$C$28+'Op Assumptions'!$C$29</f>
        <v>11415</v>
      </c>
      <c r="I45" s="47">
        <f>'Op Assumptions'!$C$26+'Op Assumptions'!$C$27+'Op Assumptions'!$C$28+'Op Assumptions'!$C$29</f>
        <v>11415</v>
      </c>
      <c r="J45" s="47">
        <f>'Op Assumptions'!$C$26+'Op Assumptions'!$C$27+'Op Assumptions'!$C$28+'Op Assumptions'!$C$29</f>
        <v>11415</v>
      </c>
      <c r="K45" s="47">
        <f>'Op Assumptions'!$C$26+'Op Assumptions'!$C$27+'Op Assumptions'!$C$28+'Op Assumptions'!$C$29</f>
        <v>11415</v>
      </c>
      <c r="L45" s="47">
        <f>'Op Assumptions'!$C$26+'Op Assumptions'!$C$27+'Op Assumptions'!$C$28+'Op Assumptions'!$C$29</f>
        <v>11415</v>
      </c>
      <c r="M45" s="47">
        <f>'Op Assumptions'!$C$26+'Op Assumptions'!$C$27+'Op Assumptions'!$C$28+'Op Assumptions'!$C$29</f>
        <v>11415</v>
      </c>
      <c r="N45" s="40"/>
    </row>
    <row r="46" spans="2:14" x14ac:dyDescent="0.4">
      <c r="C46" s="40"/>
      <c r="D46" s="40"/>
      <c r="E46" s="40"/>
      <c r="F46" s="40"/>
      <c r="G46" s="40"/>
      <c r="H46" s="40"/>
      <c r="I46" s="40"/>
      <c r="J46" s="40"/>
      <c r="K46" s="40"/>
      <c r="L46" s="40"/>
      <c r="M46" s="40"/>
      <c r="N46" s="40"/>
    </row>
    <row r="47" spans="2:14" x14ac:dyDescent="0.4">
      <c r="B47" s="28" t="s">
        <v>45</v>
      </c>
      <c r="C47" s="46">
        <f>SUM(C45,C43,C45)</f>
        <v>43330</v>
      </c>
      <c r="D47" s="46">
        <f t="shared" ref="D47:M47" si="3">SUM(D41,D43,D45)</f>
        <v>38175</v>
      </c>
      <c r="E47" s="46">
        <f t="shared" si="3"/>
        <v>38442.6</v>
      </c>
      <c r="F47" s="46">
        <f t="shared" si="3"/>
        <v>38712.875999999997</v>
      </c>
      <c r="G47" s="46">
        <f t="shared" si="3"/>
        <v>38985.854760000002</v>
      </c>
      <c r="H47" s="46">
        <f t="shared" si="3"/>
        <v>39261.563307600001</v>
      </c>
      <c r="I47" s="46">
        <f t="shared" si="3"/>
        <v>39540.028940675998</v>
      </c>
      <c r="J47" s="46">
        <f t="shared" si="3"/>
        <v>39821.279230082757</v>
      </c>
      <c r="K47" s="46">
        <f t="shared" si="3"/>
        <v>40105.342022383586</v>
      </c>
      <c r="L47" s="46">
        <f t="shared" si="3"/>
        <v>40392.245442607426</v>
      </c>
      <c r="M47" s="46">
        <f t="shared" si="3"/>
        <v>40682.017897033496</v>
      </c>
      <c r="N47" s="40"/>
    </row>
    <row r="48" spans="2:14" x14ac:dyDescent="0.4">
      <c r="C48" s="40"/>
      <c r="D48" s="40"/>
      <c r="E48" s="40"/>
      <c r="F48" s="40"/>
      <c r="G48" s="40"/>
      <c r="H48" s="40"/>
      <c r="I48" s="40"/>
      <c r="J48" s="40"/>
      <c r="K48" s="40"/>
      <c r="L48" s="40"/>
      <c r="M48" s="40"/>
      <c r="N48" s="40"/>
    </row>
    <row r="49" spans="2:14" x14ac:dyDescent="0.4">
      <c r="B49" s="28" t="s">
        <v>47</v>
      </c>
      <c r="C49" s="46">
        <f t="shared" ref="C49:M49" si="4">SUM(C25,C38,C47)</f>
        <v>43330</v>
      </c>
      <c r="D49" s="46">
        <f t="shared" si="4"/>
        <v>326519.23425030161</v>
      </c>
      <c r="E49" s="46">
        <f t="shared" si="4"/>
        <v>333381.92170024122</v>
      </c>
      <c r="F49" s="46">
        <f t="shared" si="4"/>
        <v>334882.52219139732</v>
      </c>
      <c r="G49" s="46">
        <f t="shared" si="4"/>
        <v>333507.70045665407</v>
      </c>
      <c r="H49" s="46">
        <f t="shared" si="4"/>
        <v>332918.90581803874</v>
      </c>
      <c r="I49" s="46">
        <f t="shared" si="4"/>
        <v>334261.82658455579</v>
      </c>
      <c r="J49" s="46">
        <f t="shared" si="4"/>
        <v>335618.29477776831</v>
      </c>
      <c r="K49" s="46">
        <f t="shared" si="4"/>
        <v>334543.16781220934</v>
      </c>
      <c r="L49" s="46">
        <f t="shared" si="4"/>
        <v>333474.89672987571</v>
      </c>
      <c r="M49" s="46">
        <f t="shared" si="4"/>
        <v>334830.15658004244</v>
      </c>
      <c r="N49" s="40"/>
    </row>
    <row r="51" spans="2:14" x14ac:dyDescent="0.4">
      <c r="B51" s="48" t="s">
        <v>168</v>
      </c>
    </row>
    <row r="52" spans="2:14" x14ac:dyDescent="0.4">
      <c r="M52" s="44">
        <f>'Op Assumptions'!V45</f>
        <v>0</v>
      </c>
    </row>
    <row r="54" spans="2:14" x14ac:dyDescent="0.4">
      <c r="M54" s="44">
        <f>'Op Assumptions'!V46</f>
        <v>0</v>
      </c>
    </row>
  </sheetData>
  <sheetProtection algorithmName="SHA-512" hashValue="hw358H+t+3ORt2SOnQtuCLZo55ZH9JLGYcrRD62IauYaTclePF4uZyleI1xdRxZmjIDwGmMbQhBNyVMnRJld6Q==" saltValue="rSbs+LxOHev1vM3WRCgRXg==" spinCount="100000" sheet="1" objects="1" scenarios="1"/>
  <phoneticPr fontId="0"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M44"/>
  <sheetViews>
    <sheetView showGridLines="0" workbookViewId="0"/>
  </sheetViews>
  <sheetFormatPr defaultRowHeight="12.3" x14ac:dyDescent="0.4"/>
  <cols>
    <col min="1" max="1" width="4.44140625" customWidth="1"/>
    <col min="2" max="2" width="25" customWidth="1"/>
    <col min="3" max="3" width="14.109375" customWidth="1"/>
    <col min="4" max="13" width="12.6640625" customWidth="1"/>
  </cols>
  <sheetData>
    <row r="1" spans="2:13" x14ac:dyDescent="0.4">
      <c r="B1" s="386"/>
      <c r="C1" s="386"/>
      <c r="D1" s="386"/>
    </row>
    <row r="2" spans="2:13" ht="15" x14ac:dyDescent="0.5">
      <c r="B2" s="120" t="s">
        <v>253</v>
      </c>
      <c r="C2" s="122"/>
      <c r="D2" s="122"/>
      <c r="E2" s="122"/>
      <c r="F2" s="122"/>
      <c r="G2" s="122"/>
    </row>
    <row r="4" spans="2:13" x14ac:dyDescent="0.4">
      <c r="B4" s="3" t="s">
        <v>109</v>
      </c>
    </row>
    <row r="5" spans="2:13" x14ac:dyDescent="0.4">
      <c r="C5" s="3" t="s">
        <v>11</v>
      </c>
      <c r="D5" s="2" t="s">
        <v>0</v>
      </c>
      <c r="E5" s="2" t="s">
        <v>1</v>
      </c>
      <c r="F5" s="2" t="s">
        <v>2</v>
      </c>
      <c r="G5" s="2" t="s">
        <v>3</v>
      </c>
      <c r="H5" s="2" t="s">
        <v>4</v>
      </c>
      <c r="I5" s="2" t="s">
        <v>5</v>
      </c>
      <c r="J5" s="2" t="s">
        <v>6</v>
      </c>
      <c r="K5" s="2" t="s">
        <v>7</v>
      </c>
      <c r="L5" s="2" t="s">
        <v>8</v>
      </c>
      <c r="M5" s="2" t="s">
        <v>9</v>
      </c>
    </row>
    <row r="6" spans="2:13" x14ac:dyDescent="0.4">
      <c r="B6" s="1" t="str">
        <f>'Market Projection'!B20</f>
        <v>Peach Moonshine</v>
      </c>
      <c r="C6" s="6">
        <f>'Market Projection'!C23</f>
        <v>0</v>
      </c>
      <c r="D6" s="6">
        <f>'Market Projection'!D23</f>
        <v>233180.64</v>
      </c>
      <c r="E6" s="6">
        <f>'Market Projection'!E23</f>
        <v>234346.54320000001</v>
      </c>
      <c r="F6" s="6">
        <f>'Market Projection'!F23</f>
        <v>235518.27591599998</v>
      </c>
      <c r="G6" s="6">
        <f>'Market Projection'!G23</f>
        <v>236695.86729557996</v>
      </c>
      <c r="H6" s="6">
        <f>'Market Projection'!H23</f>
        <v>237879.34663205783</v>
      </c>
      <c r="I6" s="6">
        <f>'Market Projection'!I23</f>
        <v>239068.74336521811</v>
      </c>
      <c r="J6" s="6">
        <f>'Market Projection'!J23</f>
        <v>240264.08708204413</v>
      </c>
      <c r="K6" s="6">
        <f>'Market Projection'!K23</f>
        <v>241465.40751745435</v>
      </c>
      <c r="L6" s="6">
        <f>'Market Projection'!L23</f>
        <v>242672.73455504162</v>
      </c>
      <c r="M6" s="6">
        <f>'Market Projection'!M23</f>
        <v>243886.09822781678</v>
      </c>
    </row>
    <row r="7" spans="2:13" x14ac:dyDescent="0.4">
      <c r="B7" s="1" t="str">
        <f>'Market Projection'!B25</f>
        <v>Peach Brandy</v>
      </c>
      <c r="C7" s="8">
        <f>'Market Projection'!C28</f>
        <v>0</v>
      </c>
      <c r="D7" s="8">
        <f>'Market Projection'!D28</f>
        <v>0</v>
      </c>
      <c r="E7" s="8">
        <f>'Market Projection'!E28</f>
        <v>0</v>
      </c>
      <c r="F7" s="8">
        <f>'Market Projection'!F28</f>
        <v>85643.009423999974</v>
      </c>
      <c r="G7" s="8">
        <f>'Market Projection'!G28</f>
        <v>86071.22447111996</v>
      </c>
      <c r="H7" s="8">
        <f>'Market Projection'!H28</f>
        <v>86501.580593475548</v>
      </c>
      <c r="I7" s="8">
        <f>'Market Projection'!I28</f>
        <v>86934.088496442913</v>
      </c>
      <c r="J7" s="8">
        <f>'Market Projection'!J28</f>
        <v>87368.758938925108</v>
      </c>
      <c r="K7" s="8">
        <f>'Market Projection'!K28</f>
        <v>87805.602733619729</v>
      </c>
      <c r="L7" s="8">
        <f>'Market Projection'!L28</f>
        <v>88244.630747287811</v>
      </c>
      <c r="M7" s="8">
        <f>'Market Projection'!M28</f>
        <v>88685.853901024238</v>
      </c>
    </row>
    <row r="8" spans="2:13" x14ac:dyDescent="0.4">
      <c r="B8" s="1" t="str">
        <f>'Market Projection'!B30</f>
        <v>Craft Vodka</v>
      </c>
      <c r="C8" s="8">
        <f>'Market Projection'!C33</f>
        <v>0</v>
      </c>
      <c r="D8" s="8">
        <f>'Market Projection'!D33</f>
        <v>70660.800000000003</v>
      </c>
      <c r="E8" s="8">
        <f>'Market Projection'!E33</f>
        <v>71014.104000000007</v>
      </c>
      <c r="F8" s="8">
        <f>'Market Projection'!F33</f>
        <v>71369.174519999986</v>
      </c>
      <c r="G8" s="8">
        <f>'Market Projection'!G33</f>
        <v>71726.020392599981</v>
      </c>
      <c r="H8" s="8">
        <f>'Market Projection'!H33</f>
        <v>72084.650494562971</v>
      </c>
      <c r="I8" s="8">
        <f>'Market Projection'!I33</f>
        <v>72445.073747035785</v>
      </c>
      <c r="J8" s="8">
        <f>'Market Projection'!J33</f>
        <v>72807.299115770948</v>
      </c>
      <c r="K8" s="8">
        <f>'Market Projection'!K33</f>
        <v>73171.335611349801</v>
      </c>
      <c r="L8" s="8">
        <f>'Market Projection'!L33</f>
        <v>73537.19228940655</v>
      </c>
      <c r="M8" s="8">
        <f>'Market Projection'!M33</f>
        <v>73904.878250853566</v>
      </c>
    </row>
    <row r="9" spans="2:13" x14ac:dyDescent="0.4">
      <c r="B9" s="1" t="str">
        <f>'Market Projection'!B35</f>
        <v>#4</v>
      </c>
      <c r="C9" s="8">
        <f>'Market Projection'!D38</f>
        <v>0</v>
      </c>
      <c r="D9" s="8">
        <f>'Market Projection'!E38</f>
        <v>0</v>
      </c>
      <c r="E9" s="8">
        <f>'Market Projection'!F38</f>
        <v>0</v>
      </c>
      <c r="F9" s="8">
        <f>'Market Projection'!G38</f>
        <v>0</v>
      </c>
      <c r="G9" s="8">
        <f>'Market Projection'!H38</f>
        <v>0</v>
      </c>
      <c r="H9" s="8">
        <f>'Market Projection'!I38</f>
        <v>0</v>
      </c>
      <c r="I9" s="8">
        <f>'Market Projection'!J38</f>
        <v>0</v>
      </c>
      <c r="J9" s="8">
        <f>'Market Projection'!K38</f>
        <v>0</v>
      </c>
      <c r="K9" s="8">
        <f>'Market Projection'!L38</f>
        <v>0</v>
      </c>
      <c r="L9" s="8">
        <f>'Market Projection'!M38</f>
        <v>0</v>
      </c>
      <c r="M9" s="8">
        <f>'Market Projection'!N38</f>
        <v>0</v>
      </c>
    </row>
    <row r="10" spans="2:13" x14ac:dyDescent="0.4">
      <c r="B10" s="1" t="str">
        <f>'Market Projection'!B40</f>
        <v>#5</v>
      </c>
      <c r="C10" s="8">
        <f>'Market Projection'!C43</f>
        <v>0</v>
      </c>
      <c r="D10" s="8">
        <f>'Market Projection'!D43</f>
        <v>0</v>
      </c>
      <c r="E10" s="8">
        <f>'Market Projection'!E43</f>
        <v>0</v>
      </c>
      <c r="F10" s="8">
        <f>'Market Projection'!F43</f>
        <v>0</v>
      </c>
      <c r="G10" s="8">
        <f>'Market Projection'!G43</f>
        <v>0</v>
      </c>
      <c r="H10" s="8">
        <f>'Market Projection'!H43</f>
        <v>0</v>
      </c>
      <c r="I10" s="8">
        <f>'Market Projection'!I43</f>
        <v>0</v>
      </c>
      <c r="J10" s="8">
        <f>'Market Projection'!J43</f>
        <v>0</v>
      </c>
      <c r="K10" s="8">
        <f>'Market Projection'!K43</f>
        <v>0</v>
      </c>
      <c r="L10" s="8">
        <f>'Market Projection'!L43</f>
        <v>0</v>
      </c>
      <c r="M10" s="8">
        <f>'Market Projection'!M43</f>
        <v>0</v>
      </c>
    </row>
    <row r="11" spans="2:13" x14ac:dyDescent="0.4">
      <c r="B11" s="1" t="str">
        <f>'Market Projection'!B45</f>
        <v>#6</v>
      </c>
      <c r="C11" s="8">
        <f>'Market Projection'!C48</f>
        <v>0</v>
      </c>
      <c r="D11" s="8">
        <f>'Market Projection'!D48</f>
        <v>0</v>
      </c>
      <c r="E11" s="8">
        <f>'Market Projection'!E48</f>
        <v>0</v>
      </c>
      <c r="F11" s="8">
        <f>'Market Projection'!F48</f>
        <v>0</v>
      </c>
      <c r="G11" s="8">
        <f>'Market Projection'!G48</f>
        <v>0</v>
      </c>
      <c r="H11" s="8">
        <f>'Market Projection'!H48</f>
        <v>0</v>
      </c>
      <c r="I11" s="8">
        <f>'Market Projection'!I48</f>
        <v>0</v>
      </c>
      <c r="J11" s="8">
        <f>'Market Projection'!J48</f>
        <v>0</v>
      </c>
      <c r="K11" s="8">
        <f>'Market Projection'!K48</f>
        <v>0</v>
      </c>
      <c r="L11" s="8">
        <f>'Market Projection'!L48</f>
        <v>0</v>
      </c>
      <c r="M11" s="8">
        <f>'Market Projection'!M48</f>
        <v>0</v>
      </c>
    </row>
    <row r="12" spans="2:13" x14ac:dyDescent="0.4">
      <c r="B12" s="1"/>
      <c r="C12" s="8"/>
      <c r="D12" s="59"/>
      <c r="E12" s="59"/>
      <c r="F12" s="59"/>
      <c r="G12" s="59"/>
      <c r="H12" s="59"/>
      <c r="I12" s="59"/>
      <c r="J12" s="59"/>
      <c r="K12" s="59"/>
      <c r="L12" s="59"/>
      <c r="M12" s="59"/>
    </row>
    <row r="13" spans="2:13" x14ac:dyDescent="0.4">
      <c r="B13" s="1" t="s">
        <v>215</v>
      </c>
      <c r="C13" s="8">
        <f t="shared" ref="C13:M13" si="0">SUM(C6:C11)</f>
        <v>0</v>
      </c>
      <c r="D13" s="8">
        <f t="shared" si="0"/>
        <v>303841.44</v>
      </c>
      <c r="E13" s="8">
        <f t="shared" si="0"/>
        <v>305360.64720000001</v>
      </c>
      <c r="F13" s="8">
        <f t="shared" si="0"/>
        <v>392530.45985999994</v>
      </c>
      <c r="G13" s="8">
        <f t="shared" si="0"/>
        <v>394493.1121592999</v>
      </c>
      <c r="H13" s="8">
        <f t="shared" si="0"/>
        <v>396465.57772009639</v>
      </c>
      <c r="I13" s="8">
        <f t="shared" si="0"/>
        <v>398447.90560869686</v>
      </c>
      <c r="J13" s="8">
        <f t="shared" si="0"/>
        <v>400440.14513674018</v>
      </c>
      <c r="K13" s="8">
        <f t="shared" si="0"/>
        <v>402442.34586242388</v>
      </c>
      <c r="L13" s="8">
        <f t="shared" si="0"/>
        <v>404454.55759173597</v>
      </c>
      <c r="M13" s="8">
        <f t="shared" si="0"/>
        <v>406476.83037969458</v>
      </c>
    </row>
    <row r="14" spans="2:13" x14ac:dyDescent="0.4">
      <c r="B14" s="1"/>
      <c r="C14" s="8"/>
      <c r="D14" s="59"/>
      <c r="E14" s="59"/>
      <c r="F14" s="59"/>
      <c r="G14" s="59"/>
      <c r="H14" s="59"/>
      <c r="I14" s="59"/>
      <c r="J14" s="59"/>
      <c r="K14" s="59"/>
      <c r="L14" s="59"/>
      <c r="M14" s="59"/>
    </row>
    <row r="15" spans="2:13" x14ac:dyDescent="0.4">
      <c r="B15" s="1" t="s">
        <v>176</v>
      </c>
      <c r="C15" s="8">
        <f>'Market Projection'!C52</f>
        <v>0</v>
      </c>
      <c r="D15" s="8">
        <f>'Market Projection'!D52</f>
        <v>15192.072</v>
      </c>
      <c r="E15" s="8">
        <f>'Market Projection'!E52</f>
        <v>15268.032360000001</v>
      </c>
      <c r="F15" s="8">
        <f>'Market Projection'!F52</f>
        <v>19626.522992999999</v>
      </c>
      <c r="G15" s="8">
        <f>'Market Projection'!G52</f>
        <v>19724.655607964996</v>
      </c>
      <c r="H15" s="8">
        <f>'Market Projection'!H52</f>
        <v>19823.27888600482</v>
      </c>
      <c r="I15" s="8">
        <f>'Market Projection'!I52</f>
        <v>19922.395280434845</v>
      </c>
      <c r="J15" s="8">
        <f>'Market Projection'!J52</f>
        <v>20022.007256837009</v>
      </c>
      <c r="K15" s="8">
        <f>'Market Projection'!K52</f>
        <v>20122.117293121195</v>
      </c>
      <c r="L15" s="8">
        <f>'Market Projection'!L52</f>
        <v>20222.727879586801</v>
      </c>
      <c r="M15" s="8">
        <f>'Market Projection'!M52</f>
        <v>20323.841518984729</v>
      </c>
    </row>
    <row r="16" spans="2:13" x14ac:dyDescent="0.4">
      <c r="B16" s="1"/>
      <c r="C16" s="8"/>
      <c r="D16" s="59"/>
      <c r="E16" s="59"/>
      <c r="F16" s="59"/>
      <c r="G16" s="59"/>
      <c r="H16" s="59"/>
      <c r="I16" s="59"/>
      <c r="J16" s="59"/>
      <c r="K16" s="59"/>
      <c r="L16" s="59"/>
      <c r="M16" s="59"/>
    </row>
    <row r="17" spans="2:13" x14ac:dyDescent="0.4">
      <c r="B17" s="1" t="s">
        <v>48</v>
      </c>
      <c r="C17" s="9">
        <f>C13+C15</f>
        <v>0</v>
      </c>
      <c r="D17" s="9">
        <f t="shared" ref="D17:M17" si="1">D13+D15</f>
        <v>319033.51199999999</v>
      </c>
      <c r="E17" s="9">
        <f t="shared" si="1"/>
        <v>320628.67956000002</v>
      </c>
      <c r="F17" s="9">
        <f t="shared" si="1"/>
        <v>412156.98285299994</v>
      </c>
      <c r="G17" s="9">
        <f t="shared" si="1"/>
        <v>414217.76776726492</v>
      </c>
      <c r="H17" s="9">
        <f t="shared" si="1"/>
        <v>416288.85660610121</v>
      </c>
      <c r="I17" s="9">
        <f t="shared" si="1"/>
        <v>418370.30088913173</v>
      </c>
      <c r="J17" s="9">
        <f t="shared" si="1"/>
        <v>420462.15239357715</v>
      </c>
      <c r="K17" s="9">
        <f t="shared" si="1"/>
        <v>422564.46315554506</v>
      </c>
      <c r="L17" s="9">
        <f t="shared" si="1"/>
        <v>424677.28547132277</v>
      </c>
      <c r="M17" s="9">
        <f t="shared" si="1"/>
        <v>426800.67189867934</v>
      </c>
    </row>
    <row r="18" spans="2:13" x14ac:dyDescent="0.4">
      <c r="B18" s="1"/>
      <c r="C18" s="9"/>
      <c r="D18" s="60"/>
      <c r="E18" s="60"/>
      <c r="F18" s="60"/>
      <c r="G18" s="60"/>
      <c r="H18" s="60"/>
      <c r="I18" s="60"/>
      <c r="J18" s="60"/>
      <c r="K18" s="60"/>
      <c r="L18" s="60"/>
      <c r="M18" s="60"/>
    </row>
    <row r="19" spans="2:13" x14ac:dyDescent="0.4">
      <c r="B19" s="1"/>
      <c r="C19" s="9"/>
      <c r="D19" s="60"/>
      <c r="E19" s="60"/>
      <c r="F19" s="60"/>
      <c r="G19" s="60"/>
      <c r="H19" s="60"/>
      <c r="I19" s="60"/>
      <c r="J19" s="60"/>
      <c r="K19" s="60"/>
      <c r="L19" s="60"/>
      <c r="M19" s="60"/>
    </row>
    <row r="21" spans="2:13" x14ac:dyDescent="0.4">
      <c r="B21" s="3" t="s">
        <v>49</v>
      </c>
    </row>
    <row r="22" spans="2:13" x14ac:dyDescent="0.4">
      <c r="B22" s="1" t="s">
        <v>233</v>
      </c>
      <c r="C22" s="8">
        <f>'Expense Projection'!C25</f>
        <v>0</v>
      </c>
      <c r="D22" s="8">
        <f>'Expense Projection'!D25</f>
        <v>265404.63542784005</v>
      </c>
      <c r="E22" s="8">
        <f>'Expense Projection'!E25</f>
        <v>266554.61560784001</v>
      </c>
      <c r="F22" s="8">
        <f>'Expense Projection'!F25</f>
        <v>271692.70611186</v>
      </c>
      <c r="G22" s="8">
        <f>'Expense Projection'!G25</f>
        <v>272876.12361934251</v>
      </c>
      <c r="H22" s="8">
        <f>'Expense Projection'!H25</f>
        <v>274071.12997036241</v>
      </c>
      <c r="I22" s="8">
        <f>'Expense Projection'!I25</f>
        <v>275277.83982669743</v>
      </c>
      <c r="J22" s="8">
        <f>'Expense Projection'!J25</f>
        <v>276496.36899060971</v>
      </c>
      <c r="K22" s="8">
        <f>'Expense Projection'!K25</f>
        <v>277726.83441622008</v>
      </c>
      <c r="L22" s="8">
        <f>'Expense Projection'!L25</f>
        <v>278969.35422099591</v>
      </c>
      <c r="M22" s="8">
        <f>'Expense Projection'!M25</f>
        <v>280224.04769735329</v>
      </c>
    </row>
    <row r="23" spans="2:13" x14ac:dyDescent="0.4">
      <c r="B23" s="1" t="s">
        <v>35</v>
      </c>
      <c r="C23" s="8">
        <f>'Expense Projection'!C38</f>
        <v>0</v>
      </c>
      <c r="D23" s="8">
        <f>'Expense Projection'!D38</f>
        <v>22939.598822461539</v>
      </c>
      <c r="E23" s="8">
        <f>'Expense Projection'!E38</f>
        <v>28384.706092401233</v>
      </c>
      <c r="F23" s="8">
        <f>'Expense Projection'!F38</f>
        <v>24476.940079537315</v>
      </c>
      <c r="G23" s="8">
        <f>'Expense Projection'!G38</f>
        <v>21645.722077311559</v>
      </c>
      <c r="H23" s="8">
        <f>'Expense Projection'!H38</f>
        <v>19586.212540076354</v>
      </c>
      <c r="I23" s="8">
        <f>'Expense Projection'!I38</f>
        <v>19443.957817182381</v>
      </c>
      <c r="J23" s="8">
        <f>'Expense Projection'!J38</f>
        <v>19300.646557075866</v>
      </c>
      <c r="K23" s="8">
        <f>'Expense Projection'!K38</f>
        <v>16710.991373605662</v>
      </c>
      <c r="L23" s="8">
        <f>'Expense Projection'!L38</f>
        <v>14113.297066272378</v>
      </c>
      <c r="M23" s="8">
        <f>'Expense Projection'!M38</f>
        <v>13924.090985655683</v>
      </c>
    </row>
    <row r="24" spans="2:13" x14ac:dyDescent="0.4">
      <c r="B24" s="1" t="s">
        <v>44</v>
      </c>
      <c r="C24" s="8">
        <f>'Expense Projection'!C47</f>
        <v>43330</v>
      </c>
      <c r="D24" s="8">
        <f>'Expense Projection'!D47</f>
        <v>38175</v>
      </c>
      <c r="E24" s="8">
        <f>'Expense Projection'!E47</f>
        <v>38442.6</v>
      </c>
      <c r="F24" s="8">
        <f>'Expense Projection'!F47</f>
        <v>38712.875999999997</v>
      </c>
      <c r="G24" s="8">
        <f>'Expense Projection'!G47</f>
        <v>38985.854760000002</v>
      </c>
      <c r="H24" s="8">
        <f>'Expense Projection'!H47</f>
        <v>39261.563307600001</v>
      </c>
      <c r="I24" s="8">
        <f>'Expense Projection'!I47</f>
        <v>39540.028940675998</v>
      </c>
      <c r="J24" s="8">
        <f>'Expense Projection'!J47</f>
        <v>39821.279230082757</v>
      </c>
      <c r="K24" s="8">
        <f>'Expense Projection'!K47</f>
        <v>40105.342022383586</v>
      </c>
      <c r="L24" s="8">
        <f>'Expense Projection'!L47</f>
        <v>40392.245442607426</v>
      </c>
      <c r="M24" s="8">
        <f>'Expense Projection'!M47</f>
        <v>40682.017897033496</v>
      </c>
    </row>
    <row r="25" spans="2:13" x14ac:dyDescent="0.4">
      <c r="B25" s="1"/>
      <c r="C25" s="8"/>
      <c r="D25" s="8"/>
      <c r="E25" s="8"/>
      <c r="F25" s="8"/>
      <c r="G25" s="8"/>
      <c r="H25" s="8"/>
      <c r="I25" s="8"/>
      <c r="J25" s="8"/>
      <c r="K25" s="8"/>
      <c r="L25" s="8"/>
      <c r="M25" s="8"/>
    </row>
    <row r="26" spans="2:13" x14ac:dyDescent="0.4">
      <c r="B26" s="1"/>
      <c r="C26" s="8"/>
      <c r="D26" s="8"/>
      <c r="E26" s="8"/>
      <c r="F26" s="8"/>
      <c r="G26" s="8"/>
      <c r="H26" s="8"/>
      <c r="I26" s="8"/>
      <c r="J26" s="8"/>
      <c r="K26" s="8"/>
      <c r="L26" s="8"/>
      <c r="M26" s="8"/>
    </row>
    <row r="27" spans="2:13" x14ac:dyDescent="0.4">
      <c r="C27" s="8"/>
      <c r="D27" s="8"/>
      <c r="E27" s="8"/>
      <c r="F27" s="8"/>
      <c r="G27" s="8"/>
      <c r="H27" s="8"/>
      <c r="I27" s="8"/>
      <c r="J27" s="8"/>
      <c r="K27" s="8"/>
      <c r="L27" s="8"/>
      <c r="M27" s="8"/>
    </row>
    <row r="28" spans="2:13" x14ac:dyDescent="0.4">
      <c r="B28" s="1" t="s">
        <v>47</v>
      </c>
      <c r="C28" s="9">
        <f t="shared" ref="C28:M28" si="2">SUM(C22:C24)</f>
        <v>43330</v>
      </c>
      <c r="D28" s="9">
        <f t="shared" si="2"/>
        <v>326519.23425030161</v>
      </c>
      <c r="E28" s="9">
        <f t="shared" si="2"/>
        <v>333381.92170024122</v>
      </c>
      <c r="F28" s="9">
        <f t="shared" si="2"/>
        <v>334882.52219139732</v>
      </c>
      <c r="G28" s="9">
        <f t="shared" si="2"/>
        <v>333507.70045665407</v>
      </c>
      <c r="H28" s="9">
        <f t="shared" si="2"/>
        <v>332918.90581803874</v>
      </c>
      <c r="I28" s="9">
        <f t="shared" si="2"/>
        <v>334261.82658455579</v>
      </c>
      <c r="J28" s="9">
        <f t="shared" si="2"/>
        <v>335618.29477776831</v>
      </c>
      <c r="K28" s="9">
        <f t="shared" si="2"/>
        <v>334543.16781220934</v>
      </c>
      <c r="L28" s="9">
        <f t="shared" si="2"/>
        <v>333474.89672987571</v>
      </c>
      <c r="M28" s="9">
        <f t="shared" si="2"/>
        <v>334830.15658004244</v>
      </c>
    </row>
    <row r="29" spans="2:13" x14ac:dyDescent="0.4">
      <c r="B29" s="1"/>
      <c r="C29" s="9"/>
      <c r="D29" s="9"/>
      <c r="E29" s="9"/>
      <c r="F29" s="9"/>
      <c r="G29" s="9"/>
      <c r="H29" s="9"/>
      <c r="I29" s="9"/>
      <c r="J29" s="9"/>
      <c r="K29" s="9"/>
      <c r="L29" s="9"/>
      <c r="M29" s="9"/>
    </row>
    <row r="30" spans="2:13" x14ac:dyDescent="0.4">
      <c r="B30" s="1" t="s">
        <v>99</v>
      </c>
      <c r="C30" s="8">
        <f t="shared" ref="C30:M30" si="3">+C17-C28</f>
        <v>-43330</v>
      </c>
      <c r="D30" s="8">
        <f t="shared" si="3"/>
        <v>-7485.7222503016237</v>
      </c>
      <c r="E30" s="8">
        <f t="shared" si="3"/>
        <v>-12753.2421402412</v>
      </c>
      <c r="F30" s="8">
        <f t="shared" si="3"/>
        <v>77274.460661602614</v>
      </c>
      <c r="G30" s="8">
        <f t="shared" si="3"/>
        <v>80710.067310610844</v>
      </c>
      <c r="H30" s="8">
        <f t="shared" si="3"/>
        <v>83369.950788062473</v>
      </c>
      <c r="I30" s="8">
        <f t="shared" si="3"/>
        <v>84108.474304575939</v>
      </c>
      <c r="J30" s="8">
        <f t="shared" si="3"/>
        <v>84843.85761580884</v>
      </c>
      <c r="K30" s="8">
        <f t="shared" si="3"/>
        <v>88021.295343335718</v>
      </c>
      <c r="L30" s="8">
        <f t="shared" si="3"/>
        <v>91202.388741447066</v>
      </c>
      <c r="M30" s="8">
        <f t="shared" si="3"/>
        <v>91970.515318636899</v>
      </c>
    </row>
    <row r="31" spans="2:13" x14ac:dyDescent="0.4">
      <c r="B31" s="1"/>
      <c r="C31" s="8"/>
      <c r="D31" s="8"/>
      <c r="E31" s="8"/>
      <c r="F31" s="8"/>
      <c r="G31" s="8"/>
      <c r="H31" s="8"/>
      <c r="I31" s="8"/>
      <c r="J31" s="8"/>
      <c r="K31" s="8"/>
      <c r="L31" s="8"/>
      <c r="M31" s="8"/>
    </row>
    <row r="32" spans="2:13" x14ac:dyDescent="0.4">
      <c r="B32" s="1" t="s">
        <v>100</v>
      </c>
      <c r="C32" s="14">
        <f>IF(C30&gt;0, ('Op Assumptions'!$C$16*C30), 0)</f>
        <v>0</v>
      </c>
      <c r="D32" s="14">
        <f>IF(D30&gt;0, ('Op Assumptions'!$C$16*D30), 0)</f>
        <v>0</v>
      </c>
      <c r="E32" s="14">
        <f>IF(E30&gt;0, ('Op Assumptions'!$C$16*E30), 0)</f>
        <v>0</v>
      </c>
      <c r="F32" s="14">
        <f>IF(F30&gt;0, ('Op Assumptions'!$C$16*F30), 0)</f>
        <v>23182.338198480782</v>
      </c>
      <c r="G32" s="14">
        <f>IF(G30&gt;0, ('Op Assumptions'!$C$16*G30), 0)</f>
        <v>24213.020193183253</v>
      </c>
      <c r="H32" s="14">
        <f>IF(H30&gt;0, ('Op Assumptions'!$C$16*H30), 0)</f>
        <v>25010.985236418743</v>
      </c>
      <c r="I32" s="14">
        <f>IF(I30&gt;0, ('Op Assumptions'!$C$16*I30), 0)</f>
        <v>25232.542291372782</v>
      </c>
      <c r="J32" s="14">
        <f>IF(J30&gt;0, ('Op Assumptions'!$C$16*J30), 0)</f>
        <v>25453.157284742651</v>
      </c>
      <c r="K32" s="14">
        <f>IF(K30&gt;0, ('Op Assumptions'!$C$16*K30), 0)</f>
        <v>26406.388603000716</v>
      </c>
      <c r="L32" s="14">
        <f>IF(L30&gt;0, ('Op Assumptions'!$C$16*L30), 0)</f>
        <v>27360.71662243412</v>
      </c>
      <c r="M32" s="14">
        <f>IF(M30&gt;0, ('Op Assumptions'!$C$16*M30), 0)</f>
        <v>27591.15459559107</v>
      </c>
    </row>
    <row r="33" spans="2:13" x14ac:dyDescent="0.4">
      <c r="B33" s="1"/>
      <c r="C33" s="8"/>
      <c r="D33" s="8"/>
      <c r="E33" s="8"/>
      <c r="F33" s="8"/>
      <c r="G33" s="8"/>
      <c r="H33" s="8"/>
      <c r="I33" s="8"/>
      <c r="J33" s="8"/>
      <c r="K33" s="8"/>
      <c r="L33" s="8"/>
      <c r="M33" s="8"/>
    </row>
    <row r="34" spans="2:13" x14ac:dyDescent="0.4">
      <c r="B34" s="1" t="s">
        <v>101</v>
      </c>
      <c r="C34" s="21">
        <f t="shared" ref="C34:M34" si="4">+C30-C32</f>
        <v>-43330</v>
      </c>
      <c r="D34" s="21">
        <f t="shared" si="4"/>
        <v>-7485.7222503016237</v>
      </c>
      <c r="E34" s="21">
        <f t="shared" si="4"/>
        <v>-12753.2421402412</v>
      </c>
      <c r="F34" s="21">
        <f t="shared" si="4"/>
        <v>54092.122463121836</v>
      </c>
      <c r="G34" s="21">
        <f t="shared" si="4"/>
        <v>56497.047117427588</v>
      </c>
      <c r="H34" s="21">
        <f t="shared" si="4"/>
        <v>58358.965551643734</v>
      </c>
      <c r="I34" s="21">
        <f t="shared" si="4"/>
        <v>58875.932013203157</v>
      </c>
      <c r="J34" s="21">
        <f t="shared" si="4"/>
        <v>59390.700331066189</v>
      </c>
      <c r="K34" s="21">
        <f t="shared" si="4"/>
        <v>61614.906740335005</v>
      </c>
      <c r="L34" s="21">
        <f t="shared" si="4"/>
        <v>63841.672119012946</v>
      </c>
      <c r="M34" s="21">
        <f t="shared" si="4"/>
        <v>64379.360723045829</v>
      </c>
    </row>
    <row r="38" spans="2:13" x14ac:dyDescent="0.4">
      <c r="B38" s="3" t="s">
        <v>115</v>
      </c>
    </row>
    <row r="39" spans="2:13" x14ac:dyDescent="0.4">
      <c r="C39" s="2" t="str">
        <f t="shared" ref="C39:M39" si="5">C5</f>
        <v>Year 0</v>
      </c>
      <c r="D39" s="2" t="str">
        <f t="shared" si="5"/>
        <v>Year 1</v>
      </c>
      <c r="E39" s="2" t="str">
        <f t="shared" si="5"/>
        <v>Year 2</v>
      </c>
      <c r="F39" s="2" t="str">
        <f t="shared" si="5"/>
        <v>Year 3</v>
      </c>
      <c r="G39" s="2" t="str">
        <f t="shared" si="5"/>
        <v>Year 4</v>
      </c>
      <c r="H39" s="2" t="str">
        <f t="shared" si="5"/>
        <v>Year 5</v>
      </c>
      <c r="I39" s="2" t="str">
        <f t="shared" si="5"/>
        <v>Year 6</v>
      </c>
      <c r="J39" s="2" t="str">
        <f t="shared" si="5"/>
        <v>Year 7</v>
      </c>
      <c r="K39" s="2" t="str">
        <f t="shared" si="5"/>
        <v>Year 8</v>
      </c>
      <c r="L39" s="2" t="str">
        <f t="shared" si="5"/>
        <v>Year 9</v>
      </c>
      <c r="M39" s="2" t="str">
        <f t="shared" si="5"/>
        <v>Year 10</v>
      </c>
    </row>
    <row r="40" spans="2:13" x14ac:dyDescent="0.4">
      <c r="B40" t="s">
        <v>111</v>
      </c>
      <c r="C40" s="16">
        <f t="shared" ref="C40:M40" si="6">C34</f>
        <v>-43330</v>
      </c>
      <c r="D40" s="14">
        <f t="shared" si="6"/>
        <v>-7485.7222503016237</v>
      </c>
      <c r="E40" s="14">
        <f t="shared" si="6"/>
        <v>-12753.2421402412</v>
      </c>
      <c r="F40" s="14">
        <f t="shared" si="6"/>
        <v>54092.122463121836</v>
      </c>
      <c r="G40" s="14">
        <f t="shared" si="6"/>
        <v>56497.047117427588</v>
      </c>
      <c r="H40" s="14">
        <f t="shared" si="6"/>
        <v>58358.965551643734</v>
      </c>
      <c r="I40" s="14">
        <f t="shared" si="6"/>
        <v>58875.932013203157</v>
      </c>
      <c r="J40" s="14">
        <f t="shared" si="6"/>
        <v>59390.700331066189</v>
      </c>
      <c r="K40" s="14">
        <f t="shared" si="6"/>
        <v>61614.906740335005</v>
      </c>
      <c r="L40" s="14">
        <f t="shared" si="6"/>
        <v>63841.672119012946</v>
      </c>
      <c r="M40" s="14">
        <f t="shared" si="6"/>
        <v>64379.360723045829</v>
      </c>
    </row>
    <row r="41" spans="2:13" x14ac:dyDescent="0.4">
      <c r="B41" t="s">
        <v>43</v>
      </c>
      <c r="C41" s="16">
        <v>0</v>
      </c>
      <c r="D41" s="14">
        <f>'PPE &amp; Depreciation'!C83</f>
        <v>8981.2182384615389</v>
      </c>
      <c r="E41" s="14">
        <f>'PPE &amp; Depreciation'!D83</f>
        <v>14522.164238461539</v>
      </c>
      <c r="F41" s="14">
        <f>'PPE &amp; Depreciation'!E84</f>
        <v>0</v>
      </c>
      <c r="G41" s="14">
        <f>'PPE &amp; Depreciation'!F84</f>
        <v>0</v>
      </c>
      <c r="H41" s="14">
        <f>'PPE &amp; Depreciation'!G83</f>
        <v>6069.5054384615396</v>
      </c>
      <c r="I41" s="14">
        <f>'PPE &amp; Depreciation'!H83</f>
        <v>6064.0731384615392</v>
      </c>
      <c r="J41" s="14">
        <f>'PPE &amp; Depreciation'!I83</f>
        <v>6069.5054384615396</v>
      </c>
      <c r="K41" s="14">
        <f>'PPE &amp; Depreciation'!J84</f>
        <v>0</v>
      </c>
      <c r="L41" s="14">
        <f>'PPE &amp; Depreciation'!K84</f>
        <v>0</v>
      </c>
      <c r="M41" s="14">
        <f>'PPE &amp; Depreciation'!L84</f>
        <v>0</v>
      </c>
    </row>
    <row r="42" spans="2:13" x14ac:dyDescent="0.4">
      <c r="B42" t="s">
        <v>112</v>
      </c>
      <c r="C42" s="16">
        <v>0</v>
      </c>
      <c r="D42" s="14">
        <f>'Loan Amortization'!C18</f>
        <v>2786.2985010050588</v>
      </c>
      <c r="E42" s="14">
        <f>'Loan Amortization'!D18</f>
        <v>2953.4764110653628</v>
      </c>
      <c r="F42" s="14">
        <f>'Loan Amortization'!E18</f>
        <v>3130.6849957292843</v>
      </c>
      <c r="G42" s="14">
        <f>'Loan Amortization'!F18</f>
        <v>3318.5260954730416</v>
      </c>
      <c r="H42" s="14">
        <f>'Loan Amortization'!G18</f>
        <v>3517.6376612014237</v>
      </c>
      <c r="I42" s="14">
        <f>'Loan Amortization'!H18</f>
        <v>3728.6959208735093</v>
      </c>
      <c r="J42" s="14">
        <f>'Loan Amortization'!I18</f>
        <v>3952.4176761259196</v>
      </c>
      <c r="K42" s="14">
        <f>'Loan Amortization'!J18</f>
        <v>4189.562736693475</v>
      </c>
      <c r="L42" s="14">
        <f>'Loan Amortization'!K18</f>
        <v>4440.9365008950826</v>
      </c>
      <c r="M42" s="14">
        <f>'Loan Amortization'!L18</f>
        <v>4707.3926909487882</v>
      </c>
    </row>
    <row r="43" spans="2:13" x14ac:dyDescent="0.4">
      <c r="B43" s="1" t="s">
        <v>113</v>
      </c>
      <c r="C43" s="21">
        <f t="shared" ref="C43:M43" si="7">C40+C41-C42</f>
        <v>-43330</v>
      </c>
      <c r="D43" s="21">
        <f t="shared" si="7"/>
        <v>-1290.8025128451436</v>
      </c>
      <c r="E43" s="21">
        <f t="shared" si="7"/>
        <v>-1184.554312845024</v>
      </c>
      <c r="F43" s="21">
        <f t="shared" si="7"/>
        <v>50961.437467392549</v>
      </c>
      <c r="G43" s="21">
        <f t="shared" si="7"/>
        <v>53178.521021954548</v>
      </c>
      <c r="H43" s="21">
        <f t="shared" si="7"/>
        <v>60910.833328903849</v>
      </c>
      <c r="I43" s="21">
        <f t="shared" si="7"/>
        <v>61211.309230791187</v>
      </c>
      <c r="J43" s="21">
        <f t="shared" si="7"/>
        <v>61507.78809340181</v>
      </c>
      <c r="K43" s="21">
        <f t="shared" si="7"/>
        <v>57425.344003641527</v>
      </c>
      <c r="L43" s="21">
        <f t="shared" si="7"/>
        <v>59400.735618117862</v>
      </c>
      <c r="M43" s="21">
        <f t="shared" si="7"/>
        <v>59671.968032097044</v>
      </c>
    </row>
    <row r="44" spans="2:13" x14ac:dyDescent="0.4">
      <c r="B44" s="1" t="s">
        <v>117</v>
      </c>
    </row>
  </sheetData>
  <sheetProtection algorithmName="SHA-512" hashValue="DASbGgtVqgr8saPuTyWZa2xIPLkXv62DTtjuJ/wp7M8fjEBT+HHq90qTX+dHuHvWtG+2JR/Rmh+iOIN1P8OA7w==" saltValue="u8x+yasJ5KXRLN6AGA6m3Q==" spinCount="100000" sheet="1" objects="1" scenarios="1"/>
  <mergeCells count="1">
    <mergeCell ref="B1:D1"/>
  </mergeCells>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Spirits Production</vt:lpstr>
      <vt:lpstr>Op Assumptions</vt:lpstr>
      <vt:lpstr>PPE &amp; Depreciation</vt:lpstr>
      <vt:lpstr>Personnel Expenses</vt:lpstr>
      <vt:lpstr>Market Projection</vt:lpstr>
      <vt:lpstr>Loan Amortization</vt:lpstr>
      <vt:lpstr>Expense Projection</vt:lpstr>
      <vt:lpstr>Profit-Loss</vt:lpstr>
      <vt:lpstr>Return On Investment</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Rodney Holcomb</cp:lastModifiedBy>
  <dcterms:created xsi:type="dcterms:W3CDTF">2003-07-24T15:07:28Z</dcterms:created>
  <dcterms:modified xsi:type="dcterms:W3CDTF">2020-04-16T19:49:05Z</dcterms:modified>
</cp:coreProperties>
</file>