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375" yWindow="0" windowWidth="15465" windowHeight="10905" tabRatio="913"/>
  </bookViews>
  <sheets>
    <sheet name="Introduction" sheetId="3" r:id="rId1"/>
    <sheet name="Plant, Prop &amp; Equip" sheetId="10" r:id="rId2"/>
    <sheet name="Utilities Estimates" sheetId="13" r:id="rId3"/>
    <sheet name="Production Assumptions" sheetId="12" r:id="rId4"/>
    <sheet name="Depreciation" sheetId="6" r:id="rId5"/>
    <sheet name="Personnel Expenses" sheetId="11" r:id="rId6"/>
    <sheet name="Market Projection" sheetId="2" r:id="rId7"/>
    <sheet name="Borrowing &amp; Debt" sheetId="9" r:id="rId8"/>
    <sheet name="Expense Projection" sheetId="4" r:id="rId9"/>
    <sheet name="Profit &amp; Loss" sheetId="5" r:id="rId10"/>
    <sheet name="Return On Investment" sheetId="7" r:id="rId11"/>
  </sheets>
  <externalReferences>
    <externalReference r:id="rId12"/>
  </externalReferences>
  <definedNames>
    <definedName name="Classification">[1]Facilities!$C$204:$C$210</definedName>
    <definedName name="Onfarm">'Production Assumptions'!$C$195:$C$196</definedName>
    <definedName name="Processing">[1]Facilities!$B$204:$B$210</definedName>
  </definedNames>
  <calcPr calcId="145621" calcMode="autoNoTable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2" i="7" l="1"/>
  <c r="G5" i="10"/>
  <c r="C9" i="9"/>
  <c r="D24" i="10"/>
  <c r="D25" i="10"/>
  <c r="D26" i="10"/>
  <c r="D27" i="10"/>
  <c r="D28" i="10"/>
  <c r="D29" i="10"/>
  <c r="D30" i="10"/>
  <c r="D31" i="10"/>
  <c r="C33" i="10"/>
  <c r="D45" i="10"/>
  <c r="D46" i="10"/>
  <c r="D67" i="10"/>
  <c r="D81" i="10"/>
  <c r="D82" i="10"/>
  <c r="D85" i="10"/>
  <c r="D108" i="10"/>
  <c r="D109" i="10"/>
  <c r="D110" i="10"/>
  <c r="D111" i="10"/>
  <c r="C113" i="10"/>
  <c r="C13" i="10"/>
  <c r="G9" i="10"/>
  <c r="C8" i="9"/>
  <c r="C14" i="9"/>
  <c r="C6" i="9"/>
  <c r="C15" i="9"/>
  <c r="C16" i="9"/>
  <c r="C18" i="9"/>
  <c r="C19" i="9"/>
  <c r="C21" i="9"/>
  <c r="D14" i="9"/>
  <c r="D15" i="9"/>
  <c r="D16" i="9"/>
  <c r="D18" i="9"/>
  <c r="D19" i="9"/>
  <c r="D21" i="9"/>
  <c r="E14" i="9"/>
  <c r="E15" i="9"/>
  <c r="E16" i="9"/>
  <c r="E18" i="9"/>
  <c r="E19" i="9"/>
  <c r="E21" i="9"/>
  <c r="F14" i="9"/>
  <c r="F15" i="9"/>
  <c r="F16" i="9"/>
  <c r="F18" i="9"/>
  <c r="F19" i="9"/>
  <c r="F21" i="9"/>
  <c r="G14" i="9"/>
  <c r="G15" i="9"/>
  <c r="G16" i="9"/>
  <c r="G18" i="9"/>
  <c r="G19" i="9"/>
  <c r="G21" i="9"/>
  <c r="H14" i="9"/>
  <c r="H15" i="9"/>
  <c r="H16" i="9"/>
  <c r="H18" i="9"/>
  <c r="H19" i="9"/>
  <c r="H21" i="9"/>
  <c r="I14" i="9"/>
  <c r="I15" i="9"/>
  <c r="I16" i="9"/>
  <c r="I18" i="9"/>
  <c r="I19" i="9"/>
  <c r="I21" i="9"/>
  <c r="J14" i="9"/>
  <c r="J15" i="9"/>
  <c r="J16" i="9"/>
  <c r="J18" i="9"/>
  <c r="J19" i="9"/>
  <c r="J21" i="9"/>
  <c r="K14" i="9"/>
  <c r="K15" i="9"/>
  <c r="K16" i="9"/>
  <c r="K18" i="9"/>
  <c r="K19" i="9"/>
  <c r="K21" i="9"/>
  <c r="L14" i="9"/>
  <c r="L15" i="9"/>
  <c r="L16" i="9"/>
  <c r="L18" i="9"/>
  <c r="L19" i="9"/>
  <c r="G28" i="12"/>
  <c r="G32" i="12"/>
  <c r="G43" i="12"/>
  <c r="BB11" i="12"/>
  <c r="D16" i="2"/>
  <c r="J28" i="12"/>
  <c r="J32" i="12"/>
  <c r="J43" i="12"/>
  <c r="BB12" i="12"/>
  <c r="D17" i="2"/>
  <c r="M28" i="12"/>
  <c r="M32" i="12"/>
  <c r="M43" i="12"/>
  <c r="BB13" i="12"/>
  <c r="D18" i="2"/>
  <c r="P28" i="12"/>
  <c r="P32" i="12"/>
  <c r="P43" i="12"/>
  <c r="BB14" i="12"/>
  <c r="D19" i="2"/>
  <c r="S28" i="12"/>
  <c r="S32" i="12"/>
  <c r="S43" i="12"/>
  <c r="BB15" i="12"/>
  <c r="D20" i="2"/>
  <c r="V28" i="12"/>
  <c r="V32" i="12"/>
  <c r="V43" i="12"/>
  <c r="BB16" i="12"/>
  <c r="D21" i="2"/>
  <c r="Y28" i="12"/>
  <c r="Y32" i="12"/>
  <c r="Y43" i="12"/>
  <c r="BB17" i="12"/>
  <c r="D22" i="2"/>
  <c r="AB28" i="12"/>
  <c r="AB32" i="12"/>
  <c r="AB43" i="12"/>
  <c r="BB18" i="12"/>
  <c r="D23" i="2"/>
  <c r="AE28" i="12"/>
  <c r="AE32" i="12"/>
  <c r="AE43" i="12"/>
  <c r="BB19" i="12"/>
  <c r="D24" i="2"/>
  <c r="AH28" i="12"/>
  <c r="AH32" i="12"/>
  <c r="AH43" i="12"/>
  <c r="BB20" i="12"/>
  <c r="D25" i="2"/>
  <c r="D27" i="2"/>
  <c r="E15" i="7"/>
  <c r="C85" i="12"/>
  <c r="C86" i="12"/>
  <c r="C87" i="12"/>
  <c r="C88" i="12"/>
  <c r="C89" i="12"/>
  <c r="C90" i="12"/>
  <c r="C91" i="12"/>
  <c r="C92" i="12"/>
  <c r="C93" i="12"/>
  <c r="C94" i="12"/>
  <c r="F31" i="11"/>
  <c r="F21" i="11"/>
  <c r="F23" i="11"/>
  <c r="F25" i="11"/>
  <c r="F27" i="11"/>
  <c r="F29" i="11"/>
  <c r="F33" i="11"/>
  <c r="D13" i="4"/>
  <c r="C16" i="11"/>
  <c r="G31" i="11"/>
  <c r="G21" i="11"/>
  <c r="G23" i="11"/>
  <c r="G25" i="11"/>
  <c r="G27" i="11"/>
  <c r="G29" i="11"/>
  <c r="G33" i="11"/>
  <c r="D14" i="4"/>
  <c r="I31" i="11"/>
  <c r="I21" i="11"/>
  <c r="I23" i="11"/>
  <c r="I25" i="11"/>
  <c r="I27" i="11"/>
  <c r="I29" i="11"/>
  <c r="I33" i="11"/>
  <c r="D15" i="4"/>
  <c r="D17" i="4"/>
  <c r="G22" i="12"/>
  <c r="G37" i="12"/>
  <c r="G39" i="12"/>
  <c r="BB23" i="12"/>
  <c r="D31" i="2"/>
  <c r="J22" i="12"/>
  <c r="J37" i="12"/>
  <c r="J39" i="12"/>
  <c r="BB24" i="12"/>
  <c r="D32" i="2"/>
  <c r="M22" i="12"/>
  <c r="M37" i="12"/>
  <c r="M39" i="12"/>
  <c r="BB25" i="12"/>
  <c r="D33" i="2"/>
  <c r="P22" i="12"/>
  <c r="P37" i="12"/>
  <c r="P39" i="12"/>
  <c r="BB26" i="12"/>
  <c r="D34" i="2"/>
  <c r="S22" i="12"/>
  <c r="S37" i="12"/>
  <c r="S39" i="12"/>
  <c r="BB27" i="12"/>
  <c r="D35" i="2"/>
  <c r="V22" i="12"/>
  <c r="V37" i="12"/>
  <c r="V39" i="12"/>
  <c r="BB28" i="12"/>
  <c r="D36" i="2"/>
  <c r="Y22" i="12"/>
  <c r="Y37" i="12"/>
  <c r="Y39" i="12"/>
  <c r="BB29" i="12"/>
  <c r="D37" i="2"/>
  <c r="AB22" i="12"/>
  <c r="AB37" i="12"/>
  <c r="AB39" i="12"/>
  <c r="BB30" i="12"/>
  <c r="D38" i="2"/>
  <c r="AE22" i="12"/>
  <c r="AE37" i="12"/>
  <c r="AE39" i="12"/>
  <c r="BB31" i="12"/>
  <c r="D39" i="2"/>
  <c r="AH22" i="12"/>
  <c r="AH37" i="12"/>
  <c r="AH39" i="12"/>
  <c r="BB32" i="12"/>
  <c r="D40" i="2"/>
  <c r="D42" i="2"/>
  <c r="D19" i="4"/>
  <c r="C124" i="10"/>
  <c r="D21" i="4"/>
  <c r="D23" i="4"/>
  <c r="D13" i="6"/>
  <c r="D18" i="6"/>
  <c r="D22" i="6"/>
  <c r="D27" i="6"/>
  <c r="D29" i="6"/>
  <c r="D26" i="4"/>
  <c r="D28" i="4"/>
  <c r="D30" i="6"/>
  <c r="D31" i="6"/>
  <c r="D30" i="4"/>
  <c r="C50" i="6"/>
  <c r="E13" i="6"/>
  <c r="E18" i="6"/>
  <c r="C52" i="6"/>
  <c r="C54" i="6"/>
  <c r="C36" i="6"/>
  <c r="C75" i="6"/>
  <c r="C37" i="6"/>
  <c r="C39" i="6"/>
  <c r="D32" i="4"/>
  <c r="C26" i="9"/>
  <c r="C28" i="9"/>
  <c r="D34" i="4"/>
  <c r="D36" i="4"/>
  <c r="D43" i="4"/>
  <c r="D45" i="4"/>
  <c r="E19" i="7"/>
  <c r="E20" i="7"/>
  <c r="E22" i="7"/>
  <c r="E26" i="7"/>
  <c r="E16" i="2"/>
  <c r="E17" i="2"/>
  <c r="E18" i="2"/>
  <c r="E19" i="2"/>
  <c r="E20" i="2"/>
  <c r="E21" i="2"/>
  <c r="E22" i="2"/>
  <c r="E23" i="2"/>
  <c r="E24" i="2"/>
  <c r="E25" i="2"/>
  <c r="E27" i="2"/>
  <c r="F15" i="7"/>
  <c r="F19" i="7"/>
  <c r="D36" i="6"/>
  <c r="C76" i="6"/>
  <c r="D37" i="6"/>
  <c r="D39" i="6"/>
  <c r="E32" i="4"/>
  <c r="D28" i="9"/>
  <c r="E34" i="4"/>
  <c r="F20" i="7"/>
  <c r="F22" i="7"/>
  <c r="F26" i="7"/>
  <c r="F16" i="2"/>
  <c r="F17" i="2"/>
  <c r="F18" i="2"/>
  <c r="F19" i="2"/>
  <c r="F20" i="2"/>
  <c r="F21" i="2"/>
  <c r="F22" i="2"/>
  <c r="F23" i="2"/>
  <c r="F24" i="2"/>
  <c r="F25" i="2"/>
  <c r="F27" i="2"/>
  <c r="G15" i="7"/>
  <c r="E13" i="4"/>
  <c r="E14" i="4"/>
  <c r="E15" i="4"/>
  <c r="E17" i="4"/>
  <c r="E31" i="2"/>
  <c r="E32" i="2"/>
  <c r="E33" i="2"/>
  <c r="E34" i="2"/>
  <c r="E35" i="2"/>
  <c r="E36" i="2"/>
  <c r="E37" i="2"/>
  <c r="E38" i="2"/>
  <c r="E39" i="2"/>
  <c r="E40" i="2"/>
  <c r="E42" i="2"/>
  <c r="E19" i="4"/>
  <c r="E21" i="4"/>
  <c r="E23" i="4"/>
  <c r="E26" i="4"/>
  <c r="E28" i="4"/>
  <c r="E30" i="4"/>
  <c r="E36" i="4"/>
  <c r="E39" i="4"/>
  <c r="E41" i="4"/>
  <c r="E43" i="4"/>
  <c r="E45" i="4"/>
  <c r="G19" i="7"/>
  <c r="E36" i="6"/>
  <c r="C77" i="6"/>
  <c r="E37" i="6"/>
  <c r="E39" i="6"/>
  <c r="F32" i="4"/>
  <c r="E28" i="9"/>
  <c r="F34" i="4"/>
  <c r="G20" i="7"/>
  <c r="G22" i="7"/>
  <c r="G26" i="7"/>
  <c r="G16" i="2"/>
  <c r="G17" i="2"/>
  <c r="G18" i="2"/>
  <c r="G19" i="2"/>
  <c r="G20" i="2"/>
  <c r="G21" i="2"/>
  <c r="G22" i="2"/>
  <c r="G23" i="2"/>
  <c r="G24" i="2"/>
  <c r="G25" i="2"/>
  <c r="G27" i="2"/>
  <c r="H15" i="7"/>
  <c r="F13" i="4"/>
  <c r="F14" i="4"/>
  <c r="F15" i="4"/>
  <c r="F17" i="4"/>
  <c r="F31" i="2"/>
  <c r="F32" i="2"/>
  <c r="F33" i="2"/>
  <c r="F34" i="2"/>
  <c r="F35" i="2"/>
  <c r="F36" i="2"/>
  <c r="F37" i="2"/>
  <c r="F38" i="2"/>
  <c r="F39" i="2"/>
  <c r="F40" i="2"/>
  <c r="F42" i="2"/>
  <c r="F19" i="4"/>
  <c r="F21" i="4"/>
  <c r="F23" i="4"/>
  <c r="F26" i="4"/>
  <c r="F28" i="4"/>
  <c r="F30" i="4"/>
  <c r="F36" i="4"/>
  <c r="F39" i="4"/>
  <c r="F41" i="4"/>
  <c r="F43" i="4"/>
  <c r="F45" i="4"/>
  <c r="H19" i="7"/>
  <c r="F36" i="6"/>
  <c r="C78" i="6"/>
  <c r="F37" i="6"/>
  <c r="F39" i="6"/>
  <c r="G32" i="4"/>
  <c r="F28" i="9"/>
  <c r="G34" i="4"/>
  <c r="H20" i="7"/>
  <c r="H22" i="7"/>
  <c r="H26" i="7"/>
  <c r="H16" i="2"/>
  <c r="H17" i="2"/>
  <c r="H18" i="2"/>
  <c r="H19" i="2"/>
  <c r="H20" i="2"/>
  <c r="H21" i="2"/>
  <c r="H22" i="2"/>
  <c r="H23" i="2"/>
  <c r="H24" i="2"/>
  <c r="H25" i="2"/>
  <c r="H27" i="2"/>
  <c r="I15" i="7"/>
  <c r="G13" i="4"/>
  <c r="G14" i="4"/>
  <c r="G15" i="4"/>
  <c r="G17" i="4"/>
  <c r="G31" i="2"/>
  <c r="G32" i="2"/>
  <c r="G33" i="2"/>
  <c r="G34" i="2"/>
  <c r="G35" i="2"/>
  <c r="G36" i="2"/>
  <c r="G37" i="2"/>
  <c r="G38" i="2"/>
  <c r="G39" i="2"/>
  <c r="G40" i="2"/>
  <c r="G42" i="2"/>
  <c r="G19" i="4"/>
  <c r="G21" i="4"/>
  <c r="G23" i="4"/>
  <c r="G26" i="4"/>
  <c r="G28" i="4"/>
  <c r="G30" i="4"/>
  <c r="G36" i="4"/>
  <c r="G39" i="4"/>
  <c r="G41" i="4"/>
  <c r="G43" i="4"/>
  <c r="G45" i="4"/>
  <c r="I19" i="7"/>
  <c r="G36" i="6"/>
  <c r="C79" i="6"/>
  <c r="G37" i="6"/>
  <c r="G39" i="6"/>
  <c r="H32" i="4"/>
  <c r="G28" i="9"/>
  <c r="H34" i="4"/>
  <c r="I20" i="7"/>
  <c r="I22" i="7"/>
  <c r="I26" i="7"/>
  <c r="I16" i="2"/>
  <c r="I17" i="2"/>
  <c r="I18" i="2"/>
  <c r="I19" i="2"/>
  <c r="I20" i="2"/>
  <c r="I21" i="2"/>
  <c r="I22" i="2"/>
  <c r="I23" i="2"/>
  <c r="I24" i="2"/>
  <c r="I25" i="2"/>
  <c r="I27" i="2"/>
  <c r="J15" i="7"/>
  <c r="H13" i="4"/>
  <c r="H14" i="4"/>
  <c r="H15" i="4"/>
  <c r="H17" i="4"/>
  <c r="H31" i="2"/>
  <c r="H32" i="2"/>
  <c r="H33" i="2"/>
  <c r="H34" i="2"/>
  <c r="H35" i="2"/>
  <c r="H36" i="2"/>
  <c r="H37" i="2"/>
  <c r="H38" i="2"/>
  <c r="H39" i="2"/>
  <c r="H40" i="2"/>
  <c r="H42" i="2"/>
  <c r="H19" i="4"/>
  <c r="H21" i="4"/>
  <c r="H23" i="4"/>
  <c r="H26" i="4"/>
  <c r="H28" i="4"/>
  <c r="H30" i="4"/>
  <c r="H36" i="4"/>
  <c r="H39" i="4"/>
  <c r="H41" i="4"/>
  <c r="H43" i="4"/>
  <c r="H45" i="4"/>
  <c r="J19" i="7"/>
  <c r="H36" i="6"/>
  <c r="C80" i="6"/>
  <c r="H37" i="6"/>
  <c r="H39" i="6"/>
  <c r="I32" i="4"/>
  <c r="H28" i="9"/>
  <c r="I34" i="4"/>
  <c r="J20" i="7"/>
  <c r="J22" i="7"/>
  <c r="J26" i="7"/>
  <c r="J16" i="2"/>
  <c r="J17" i="2"/>
  <c r="J18" i="2"/>
  <c r="J19" i="2"/>
  <c r="J20" i="2"/>
  <c r="J21" i="2"/>
  <c r="J22" i="2"/>
  <c r="J23" i="2"/>
  <c r="J24" i="2"/>
  <c r="J25" i="2"/>
  <c r="J27" i="2"/>
  <c r="K15" i="7"/>
  <c r="I13" i="4"/>
  <c r="I14" i="4"/>
  <c r="I15" i="4"/>
  <c r="I17" i="4"/>
  <c r="I31" i="2"/>
  <c r="I32" i="2"/>
  <c r="I33" i="2"/>
  <c r="I34" i="2"/>
  <c r="I35" i="2"/>
  <c r="I36" i="2"/>
  <c r="I37" i="2"/>
  <c r="I38" i="2"/>
  <c r="I39" i="2"/>
  <c r="I40" i="2"/>
  <c r="I42" i="2"/>
  <c r="I19" i="4"/>
  <c r="I21" i="4"/>
  <c r="I23" i="4"/>
  <c r="I26" i="4"/>
  <c r="I28" i="4"/>
  <c r="I30" i="4"/>
  <c r="I36" i="4"/>
  <c r="I39" i="4"/>
  <c r="I41" i="4"/>
  <c r="I43" i="4"/>
  <c r="I45" i="4"/>
  <c r="K19" i="7"/>
  <c r="I36" i="6"/>
  <c r="C81" i="6"/>
  <c r="I37" i="6"/>
  <c r="I39" i="6"/>
  <c r="J32" i="4"/>
  <c r="I28" i="9"/>
  <c r="J34" i="4"/>
  <c r="K20" i="7"/>
  <c r="K22" i="7"/>
  <c r="K26" i="7"/>
  <c r="K16" i="2"/>
  <c r="K17" i="2"/>
  <c r="K18" i="2"/>
  <c r="K19" i="2"/>
  <c r="K20" i="2"/>
  <c r="K21" i="2"/>
  <c r="K22" i="2"/>
  <c r="K23" i="2"/>
  <c r="K24" i="2"/>
  <c r="K25" i="2"/>
  <c r="K27" i="2"/>
  <c r="L15" i="7"/>
  <c r="J13" i="4"/>
  <c r="J14" i="4"/>
  <c r="J15" i="4"/>
  <c r="J17" i="4"/>
  <c r="J31" i="2"/>
  <c r="J32" i="2"/>
  <c r="J33" i="2"/>
  <c r="J34" i="2"/>
  <c r="J35" i="2"/>
  <c r="J36" i="2"/>
  <c r="J37" i="2"/>
  <c r="J38" i="2"/>
  <c r="J39" i="2"/>
  <c r="J40" i="2"/>
  <c r="J42" i="2"/>
  <c r="J19" i="4"/>
  <c r="J21" i="4"/>
  <c r="J23" i="4"/>
  <c r="J26" i="4"/>
  <c r="J28" i="4"/>
  <c r="J30" i="4"/>
  <c r="J36" i="4"/>
  <c r="J39" i="4"/>
  <c r="J41" i="4"/>
  <c r="J43" i="4"/>
  <c r="J45" i="4"/>
  <c r="L19" i="7"/>
  <c r="J36" i="6"/>
  <c r="C82" i="6"/>
  <c r="J37" i="6"/>
  <c r="J39" i="6"/>
  <c r="K32" i="4"/>
  <c r="J28" i="9"/>
  <c r="K34" i="4"/>
  <c r="L20" i="7"/>
  <c r="L22" i="7"/>
  <c r="L26" i="7"/>
  <c r="L16" i="2"/>
  <c r="L17" i="2"/>
  <c r="L18" i="2"/>
  <c r="L19" i="2"/>
  <c r="L20" i="2"/>
  <c r="L21" i="2"/>
  <c r="L22" i="2"/>
  <c r="L23" i="2"/>
  <c r="L24" i="2"/>
  <c r="L25" i="2"/>
  <c r="L27" i="2"/>
  <c r="M15" i="7"/>
  <c r="K13" i="4"/>
  <c r="K14" i="4"/>
  <c r="K15" i="4"/>
  <c r="K17" i="4"/>
  <c r="K31" i="2"/>
  <c r="K32" i="2"/>
  <c r="K33" i="2"/>
  <c r="K34" i="2"/>
  <c r="K35" i="2"/>
  <c r="K36" i="2"/>
  <c r="K37" i="2"/>
  <c r="K38" i="2"/>
  <c r="K39" i="2"/>
  <c r="K40" i="2"/>
  <c r="K42" i="2"/>
  <c r="K19" i="4"/>
  <c r="K21" i="4"/>
  <c r="K23" i="4"/>
  <c r="K26" i="4"/>
  <c r="K28" i="4"/>
  <c r="K30" i="4"/>
  <c r="K36" i="4"/>
  <c r="K39" i="4"/>
  <c r="K41" i="4"/>
  <c r="K43" i="4"/>
  <c r="K45" i="4"/>
  <c r="M19" i="7"/>
  <c r="K36" i="6"/>
  <c r="K39" i="6"/>
  <c r="L32" i="4"/>
  <c r="K28" i="9"/>
  <c r="L34" i="4"/>
  <c r="M20" i="7"/>
  <c r="M22" i="7"/>
  <c r="M26" i="7"/>
  <c r="M16" i="2"/>
  <c r="M17" i="2"/>
  <c r="M18" i="2"/>
  <c r="M19" i="2"/>
  <c r="M20" i="2"/>
  <c r="M21" i="2"/>
  <c r="M22" i="2"/>
  <c r="M23" i="2"/>
  <c r="M24" i="2"/>
  <c r="M25" i="2"/>
  <c r="M27" i="2"/>
  <c r="N15" i="7"/>
  <c r="L13" i="4"/>
  <c r="L14" i="4"/>
  <c r="L15" i="4"/>
  <c r="L17" i="4"/>
  <c r="L31" i="2"/>
  <c r="L32" i="2"/>
  <c r="L33" i="2"/>
  <c r="L34" i="2"/>
  <c r="L35" i="2"/>
  <c r="L36" i="2"/>
  <c r="L37" i="2"/>
  <c r="L38" i="2"/>
  <c r="L39" i="2"/>
  <c r="L40" i="2"/>
  <c r="L42" i="2"/>
  <c r="L19" i="4"/>
  <c r="L21" i="4"/>
  <c r="L23" i="4"/>
  <c r="L26" i="4"/>
  <c r="L28" i="4"/>
  <c r="L30" i="4"/>
  <c r="L36" i="4"/>
  <c r="L39" i="4"/>
  <c r="L41" i="4"/>
  <c r="L43" i="4"/>
  <c r="L45" i="4"/>
  <c r="N19" i="7"/>
  <c r="L36" i="6"/>
  <c r="L39" i="6"/>
  <c r="M32" i="4"/>
  <c r="L28" i="9"/>
  <c r="M34" i="4"/>
  <c r="N20" i="7"/>
  <c r="N22" i="7"/>
  <c r="N26" i="7"/>
  <c r="C17" i="4"/>
  <c r="C23" i="4"/>
  <c r="C36" i="4"/>
  <c r="C43" i="4"/>
  <c r="C45" i="4"/>
  <c r="D19" i="7"/>
  <c r="D22" i="7"/>
  <c r="D26" i="7"/>
  <c r="AH45" i="12"/>
  <c r="AH46" i="12"/>
  <c r="AE45" i="12"/>
  <c r="AE46" i="12"/>
  <c r="AB45" i="12"/>
  <c r="AB46" i="12"/>
  <c r="Y45" i="12"/>
  <c r="Y46" i="12"/>
  <c r="V45" i="12"/>
  <c r="V46" i="12"/>
  <c r="S45" i="12"/>
  <c r="S46" i="12"/>
  <c r="P45" i="12"/>
  <c r="P46" i="12"/>
  <c r="M45" i="12"/>
  <c r="M46" i="12"/>
  <c r="J45" i="12"/>
  <c r="J46" i="12"/>
  <c r="G45" i="12"/>
  <c r="G46" i="12"/>
  <c r="C5" i="9"/>
  <c r="C18" i="5"/>
  <c r="C17" i="5"/>
  <c r="C19" i="5"/>
  <c r="C21" i="5"/>
  <c r="C23" i="5"/>
  <c r="K18" i="13"/>
  <c r="C29" i="13"/>
  <c r="C6" i="13"/>
  <c r="I11" i="13"/>
  <c r="T8" i="13"/>
  <c r="O22" i="13"/>
  <c r="S8" i="13"/>
  <c r="N22" i="13"/>
  <c r="C8" i="13"/>
  <c r="I13" i="13"/>
  <c r="C7" i="13"/>
  <c r="O7" i="13"/>
  <c r="T6" i="13"/>
  <c r="O20" i="13"/>
  <c r="S6" i="13"/>
  <c r="N20" i="13"/>
  <c r="K6" i="13"/>
  <c r="O6" i="13"/>
  <c r="I12" i="13"/>
  <c r="E12" i="13"/>
  <c r="C26" i="13"/>
  <c r="C30" i="13"/>
  <c r="E11" i="13"/>
  <c r="R6" i="13"/>
  <c r="L20" i="13"/>
  <c r="Q20" i="13"/>
  <c r="Q6" i="13"/>
  <c r="K20" i="13"/>
  <c r="P20" i="13"/>
  <c r="R7" i="13"/>
  <c r="L21" i="13"/>
  <c r="Q7" i="13"/>
  <c r="K21" i="13"/>
  <c r="O8" i="13"/>
  <c r="E13" i="13"/>
  <c r="L23" i="13"/>
  <c r="K23" i="13"/>
  <c r="P23" i="13"/>
  <c r="S7" i="13"/>
  <c r="N21" i="13"/>
  <c r="T7" i="13"/>
  <c r="O21" i="13"/>
  <c r="Q21" i="13"/>
  <c r="P21" i="13"/>
  <c r="R8" i="13"/>
  <c r="L22" i="13"/>
  <c r="Q22" i="13"/>
  <c r="Q8" i="13"/>
  <c r="K22" i="13"/>
  <c r="P22" i="13"/>
  <c r="Q23" i="13"/>
  <c r="Q24" i="13"/>
  <c r="P24" i="13"/>
  <c r="B93" i="12"/>
  <c r="B86" i="12"/>
  <c r="B87" i="12"/>
  <c r="B88" i="12"/>
  <c r="B89" i="12"/>
  <c r="B90" i="12"/>
  <c r="B91" i="12"/>
  <c r="B92" i="12"/>
  <c r="B85" i="12"/>
  <c r="AG3" i="12"/>
  <c r="AD3" i="12"/>
  <c r="M40" i="2"/>
  <c r="AA3" i="12"/>
  <c r="X3" i="12"/>
  <c r="BA12" i="12"/>
  <c r="BA24" i="12"/>
  <c r="BA13" i="12"/>
  <c r="BA25" i="12"/>
  <c r="BA14" i="12"/>
  <c r="BA26" i="12"/>
  <c r="BA15" i="12"/>
  <c r="BA27" i="12"/>
  <c r="BA16" i="12"/>
  <c r="BA28" i="12"/>
  <c r="BA17" i="12"/>
  <c r="BA29" i="12"/>
  <c r="BA18" i="12"/>
  <c r="BA30" i="12"/>
  <c r="BA19" i="12"/>
  <c r="BA31" i="12"/>
  <c r="BA20" i="12"/>
  <c r="BA32" i="12"/>
  <c r="BA11" i="12"/>
  <c r="BA23" i="12"/>
  <c r="B17" i="2"/>
  <c r="B32" i="2"/>
  <c r="B18" i="2"/>
  <c r="B33" i="2"/>
  <c r="B19" i="2"/>
  <c r="B34" i="2"/>
  <c r="B20" i="2"/>
  <c r="B35" i="2"/>
  <c r="B21" i="2"/>
  <c r="B36" i="2"/>
  <c r="B22" i="2"/>
  <c r="B37" i="2"/>
  <c r="B23" i="2"/>
  <c r="B38" i="2"/>
  <c r="B24" i="2"/>
  <c r="B39" i="2"/>
  <c r="B25" i="2"/>
  <c r="B40" i="2"/>
  <c r="B16" i="2"/>
  <c r="B31" i="2"/>
  <c r="B32" i="12"/>
  <c r="B29" i="12"/>
  <c r="B30" i="12"/>
  <c r="B31" i="12"/>
  <c r="C33" i="12"/>
  <c r="M39" i="2"/>
  <c r="M38" i="2"/>
  <c r="B33" i="12"/>
  <c r="B28" i="12"/>
  <c r="B27" i="12"/>
  <c r="B26" i="12"/>
  <c r="B25" i="12"/>
  <c r="B24" i="12"/>
  <c r="B23" i="12"/>
  <c r="U3" i="12"/>
  <c r="R3" i="12"/>
  <c r="O3" i="12"/>
  <c r="L3" i="12"/>
  <c r="I3" i="12"/>
  <c r="F3" i="12"/>
  <c r="M37" i="2"/>
  <c r="C33" i="11"/>
  <c r="D14" i="5"/>
  <c r="J23" i="11"/>
  <c r="J31" i="11"/>
  <c r="J25" i="11"/>
  <c r="M13" i="4"/>
  <c r="E94" i="10"/>
  <c r="F94" i="10"/>
  <c r="G94" i="10"/>
  <c r="H94" i="10"/>
  <c r="I94" i="10"/>
  <c r="J94" i="10"/>
  <c r="E95" i="10"/>
  <c r="F95" i="10"/>
  <c r="G95" i="10"/>
  <c r="H95" i="10"/>
  <c r="I95" i="10"/>
  <c r="J95" i="10"/>
  <c r="E96" i="10"/>
  <c r="F96" i="10"/>
  <c r="G96" i="10"/>
  <c r="H96" i="10"/>
  <c r="I96" i="10"/>
  <c r="J96" i="10"/>
  <c r="E97" i="10"/>
  <c r="F97" i="10"/>
  <c r="G97" i="10"/>
  <c r="H97" i="10"/>
  <c r="I97" i="10"/>
  <c r="J97" i="10"/>
  <c r="E98" i="10"/>
  <c r="F98" i="10"/>
  <c r="G98" i="10"/>
  <c r="H98" i="10"/>
  <c r="I98" i="10"/>
  <c r="J98" i="10"/>
  <c r="E99" i="10"/>
  <c r="F99" i="10"/>
  <c r="G99" i="10"/>
  <c r="H99" i="10"/>
  <c r="I99" i="10"/>
  <c r="J99" i="10"/>
  <c r="E100" i="10"/>
  <c r="F100" i="10"/>
  <c r="G100" i="10"/>
  <c r="H100" i="10"/>
  <c r="I100" i="10"/>
  <c r="J100" i="10"/>
  <c r="E101" i="10"/>
  <c r="F101" i="10"/>
  <c r="G101" i="10"/>
  <c r="H101" i="10"/>
  <c r="I101" i="10"/>
  <c r="J101" i="10"/>
  <c r="E102" i="10"/>
  <c r="F102" i="10"/>
  <c r="G102" i="10"/>
  <c r="H102" i="10"/>
  <c r="I102" i="10"/>
  <c r="J102" i="10"/>
  <c r="E103" i="10"/>
  <c r="F103" i="10"/>
  <c r="G103" i="10"/>
  <c r="H103" i="10"/>
  <c r="I103" i="10"/>
  <c r="J103" i="10"/>
  <c r="M33" i="2"/>
  <c r="M34" i="2"/>
  <c r="M35" i="2"/>
  <c r="M36" i="2"/>
  <c r="M32" i="2"/>
  <c r="J29" i="11"/>
  <c r="J27" i="11"/>
  <c r="M14" i="4"/>
  <c r="M15" i="4"/>
  <c r="J21" i="11"/>
  <c r="J33" i="11"/>
  <c r="J29" i="10"/>
  <c r="I29" i="10"/>
  <c r="H29" i="10"/>
  <c r="G29" i="10"/>
  <c r="F29" i="10"/>
  <c r="E29" i="10"/>
  <c r="J28" i="10"/>
  <c r="I28" i="10"/>
  <c r="H28" i="10"/>
  <c r="G28" i="10"/>
  <c r="F28" i="10"/>
  <c r="E28" i="10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J89" i="10"/>
  <c r="I89" i="10"/>
  <c r="H89" i="10"/>
  <c r="G89" i="10"/>
  <c r="F89" i="10"/>
  <c r="E89" i="10"/>
  <c r="J88" i="10"/>
  <c r="I88" i="10"/>
  <c r="H88" i="10"/>
  <c r="G88" i="10"/>
  <c r="F88" i="10"/>
  <c r="E88" i="10"/>
  <c r="J87" i="10"/>
  <c r="I87" i="10"/>
  <c r="H87" i="10"/>
  <c r="G87" i="10"/>
  <c r="F87" i="10"/>
  <c r="E87" i="10"/>
  <c r="J86" i="10"/>
  <c r="I86" i="10"/>
  <c r="H86" i="10"/>
  <c r="G86" i="10"/>
  <c r="F86" i="10"/>
  <c r="E86" i="10"/>
  <c r="I85" i="10"/>
  <c r="G85" i="10"/>
  <c r="E85" i="10"/>
  <c r="J85" i="10"/>
  <c r="J84" i="10"/>
  <c r="I84" i="10"/>
  <c r="H84" i="10"/>
  <c r="G84" i="10"/>
  <c r="F84" i="10"/>
  <c r="E84" i="10"/>
  <c r="J83" i="10"/>
  <c r="I83" i="10"/>
  <c r="H83" i="10"/>
  <c r="G83" i="10"/>
  <c r="F83" i="10"/>
  <c r="E83" i="10"/>
  <c r="I82" i="10"/>
  <c r="G82" i="10"/>
  <c r="E82" i="10"/>
  <c r="H82" i="10"/>
  <c r="I81" i="10"/>
  <c r="G81" i="10"/>
  <c r="E81" i="10"/>
  <c r="H81" i="10"/>
  <c r="J80" i="10"/>
  <c r="I80" i="10"/>
  <c r="H80" i="10"/>
  <c r="G80" i="10"/>
  <c r="F80" i="10"/>
  <c r="E80" i="10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J69" i="10"/>
  <c r="I69" i="10"/>
  <c r="H69" i="10"/>
  <c r="G69" i="10"/>
  <c r="F69" i="10"/>
  <c r="E69" i="10"/>
  <c r="J68" i="10"/>
  <c r="I68" i="10"/>
  <c r="H68" i="10"/>
  <c r="G68" i="10"/>
  <c r="F68" i="10"/>
  <c r="E68" i="10"/>
  <c r="I67" i="10"/>
  <c r="J66" i="10"/>
  <c r="I66" i="10"/>
  <c r="H66" i="10"/>
  <c r="G66" i="10"/>
  <c r="F66" i="10"/>
  <c r="E66" i="10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J47" i="10"/>
  <c r="I47" i="10"/>
  <c r="H47" i="10"/>
  <c r="G47" i="10"/>
  <c r="F47" i="10"/>
  <c r="E47" i="10"/>
  <c r="G46" i="10"/>
  <c r="F45" i="10"/>
  <c r="J44" i="10"/>
  <c r="I44" i="10"/>
  <c r="H44" i="10"/>
  <c r="G44" i="10"/>
  <c r="F44" i="10"/>
  <c r="E44" i="10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M21" i="4"/>
  <c r="C7" i="9"/>
  <c r="C57" i="6"/>
  <c r="C70" i="6"/>
  <c r="D19" i="5"/>
  <c r="M41" i="4"/>
  <c r="D17" i="7"/>
  <c r="G16" i="7"/>
  <c r="G23" i="7"/>
  <c r="E16" i="7"/>
  <c r="E23" i="7"/>
  <c r="M16" i="7"/>
  <c r="M23" i="7"/>
  <c r="M32" i="5"/>
  <c r="L32" i="5"/>
  <c r="K32" i="5"/>
  <c r="J32" i="5"/>
  <c r="I32" i="5"/>
  <c r="H32" i="5"/>
  <c r="G32" i="5"/>
  <c r="F32" i="5"/>
  <c r="E32" i="5"/>
  <c r="D32" i="5"/>
  <c r="C32" i="5"/>
  <c r="C62" i="6"/>
  <c r="C71" i="6"/>
  <c r="C67" i="6"/>
  <c r="K16" i="7"/>
  <c r="K23" i="7"/>
  <c r="I16" i="7"/>
  <c r="I23" i="7"/>
  <c r="E19" i="5"/>
  <c r="H46" i="10"/>
  <c r="I46" i="10"/>
  <c r="H45" i="10"/>
  <c r="I45" i="10"/>
  <c r="J81" i="10"/>
  <c r="E46" i="10"/>
  <c r="E45" i="10"/>
  <c r="J82" i="10"/>
  <c r="G45" i="10"/>
  <c r="H30" i="10"/>
  <c r="H31" i="10"/>
  <c r="J30" i="10"/>
  <c r="J31" i="10"/>
  <c r="G30" i="10"/>
  <c r="G31" i="10"/>
  <c r="I30" i="10"/>
  <c r="I31" i="10"/>
  <c r="E30" i="10"/>
  <c r="E31" i="10"/>
  <c r="F30" i="10"/>
  <c r="F31" i="10"/>
  <c r="E67" i="10"/>
  <c r="J45" i="10"/>
  <c r="J46" i="10"/>
  <c r="F67" i="10"/>
  <c r="G67" i="10"/>
  <c r="F85" i="10"/>
  <c r="H67" i="10"/>
  <c r="F82" i="10"/>
  <c r="H85" i="10"/>
  <c r="F46" i="10"/>
  <c r="J67" i="10"/>
  <c r="F81" i="10"/>
  <c r="C64" i="6"/>
  <c r="F16" i="7"/>
  <c r="F23" i="7"/>
  <c r="H16" i="7"/>
  <c r="H23" i="7"/>
  <c r="J16" i="7"/>
  <c r="J23" i="7"/>
  <c r="L16" i="7"/>
  <c r="L23" i="7"/>
  <c r="N16" i="7"/>
  <c r="N23" i="7"/>
  <c r="C68" i="6"/>
  <c r="C63" i="6"/>
  <c r="C69" i="6"/>
  <c r="C66" i="6"/>
  <c r="C65" i="6"/>
  <c r="F19" i="5"/>
  <c r="I108" i="10"/>
  <c r="I110" i="10"/>
  <c r="C25" i="5"/>
  <c r="C27" i="5"/>
  <c r="D39" i="7"/>
  <c r="E17" i="7"/>
  <c r="I109" i="10"/>
  <c r="I111" i="10"/>
  <c r="G108" i="10"/>
  <c r="G109" i="10"/>
  <c r="H108" i="10"/>
  <c r="H109" i="10"/>
  <c r="E108" i="10"/>
  <c r="E109" i="10"/>
  <c r="F108" i="10"/>
  <c r="F109" i="10"/>
  <c r="J108" i="10"/>
  <c r="J110" i="10"/>
  <c r="G19" i="5"/>
  <c r="G110" i="10"/>
  <c r="G111" i="10"/>
  <c r="H110" i="10"/>
  <c r="H111" i="10"/>
  <c r="E110" i="10"/>
  <c r="E111" i="10"/>
  <c r="J109" i="10"/>
  <c r="J111" i="10"/>
  <c r="F110" i="10"/>
  <c r="F111" i="10"/>
  <c r="C33" i="5"/>
  <c r="C36" i="5"/>
  <c r="H19" i="5"/>
  <c r="F17" i="7"/>
  <c r="E14" i="5"/>
  <c r="I19" i="5"/>
  <c r="D17" i="5"/>
  <c r="G17" i="7"/>
  <c r="F14" i="5"/>
  <c r="J19" i="5"/>
  <c r="E17" i="5"/>
  <c r="H17" i="7"/>
  <c r="G14" i="5"/>
  <c r="I34" i="5"/>
  <c r="M34" i="5"/>
  <c r="L34" i="5"/>
  <c r="M28" i="4"/>
  <c r="D35" i="7"/>
  <c r="K19" i="5"/>
  <c r="F17" i="5"/>
  <c r="M31" i="2"/>
  <c r="M42" i="2"/>
  <c r="I17" i="7"/>
  <c r="H14" i="5"/>
  <c r="G34" i="5"/>
  <c r="E34" i="5"/>
  <c r="J34" i="5"/>
  <c r="H34" i="5"/>
  <c r="D34" i="5"/>
  <c r="K34" i="5"/>
  <c r="F34" i="5"/>
  <c r="M39" i="4"/>
  <c r="M43" i="4"/>
  <c r="M19" i="5"/>
  <c r="L19" i="5"/>
  <c r="G17" i="5"/>
  <c r="J17" i="7"/>
  <c r="I14" i="5"/>
  <c r="M30" i="4"/>
  <c r="D24" i="7"/>
  <c r="D27" i="7"/>
  <c r="H17" i="5"/>
  <c r="I17" i="5"/>
  <c r="L17" i="7"/>
  <c r="K14" i="5"/>
  <c r="K17" i="7"/>
  <c r="J14" i="5"/>
  <c r="M19" i="4"/>
  <c r="J17" i="5"/>
  <c r="M17" i="7"/>
  <c r="L14" i="5"/>
  <c r="D35" i="5"/>
  <c r="D18" i="5"/>
  <c r="D21" i="5"/>
  <c r="K17" i="5"/>
  <c r="M17" i="4"/>
  <c r="M23" i="4"/>
  <c r="M26" i="4"/>
  <c r="D23" i="5"/>
  <c r="D25" i="5"/>
  <c r="D27" i="5"/>
  <c r="N17" i="7"/>
  <c r="C29" i="7"/>
  <c r="M14" i="5"/>
  <c r="M17" i="5"/>
  <c r="L17" i="5"/>
  <c r="E39" i="7"/>
  <c r="D33" i="5"/>
  <c r="D36" i="5"/>
  <c r="E35" i="7"/>
  <c r="E35" i="5"/>
  <c r="E24" i="7"/>
  <c r="E27" i="7"/>
  <c r="F24" i="7"/>
  <c r="F27" i="7"/>
  <c r="E18" i="5"/>
  <c r="E21" i="5"/>
  <c r="E23" i="5"/>
  <c r="E25" i="5"/>
  <c r="E27" i="5"/>
  <c r="F35" i="7"/>
  <c r="E33" i="5"/>
  <c r="E36" i="5"/>
  <c r="F39" i="7"/>
  <c r="E61" i="7"/>
  <c r="F35" i="5"/>
  <c r="F18" i="5"/>
  <c r="F21" i="5"/>
  <c r="G24" i="7"/>
  <c r="G27" i="7"/>
  <c r="F23" i="5"/>
  <c r="F25" i="5"/>
  <c r="F27" i="5"/>
  <c r="G35" i="7"/>
  <c r="F33" i="5"/>
  <c r="F36" i="5"/>
  <c r="G39" i="7"/>
  <c r="F61" i="7"/>
  <c r="G35" i="5"/>
  <c r="G18" i="5"/>
  <c r="G21" i="5"/>
  <c r="H24" i="7"/>
  <c r="H27" i="7"/>
  <c r="G23" i="5"/>
  <c r="G25" i="5"/>
  <c r="G27" i="5"/>
  <c r="H35" i="7"/>
  <c r="G33" i="5"/>
  <c r="G36" i="5"/>
  <c r="H39" i="7"/>
  <c r="G61" i="7"/>
  <c r="H35" i="5"/>
  <c r="H18" i="5"/>
  <c r="H21" i="5"/>
  <c r="I24" i="7"/>
  <c r="I27" i="7"/>
  <c r="H23" i="5"/>
  <c r="H25" i="5"/>
  <c r="H27" i="5"/>
  <c r="I35" i="7"/>
  <c r="I39" i="7"/>
  <c r="H33" i="5"/>
  <c r="H36" i="5"/>
  <c r="H61" i="7"/>
  <c r="I35" i="5"/>
  <c r="I18" i="5"/>
  <c r="I21" i="5"/>
  <c r="I23" i="5"/>
  <c r="J24" i="7"/>
  <c r="J27" i="7"/>
  <c r="I25" i="5"/>
  <c r="I27" i="5"/>
  <c r="J39" i="7"/>
  <c r="J35" i="7"/>
  <c r="I33" i="5"/>
  <c r="I36" i="5"/>
  <c r="I61" i="7"/>
  <c r="J35" i="5"/>
  <c r="K24" i="7"/>
  <c r="K27" i="7"/>
  <c r="J18" i="5"/>
  <c r="J21" i="5"/>
  <c r="J23" i="5"/>
  <c r="J25" i="5"/>
  <c r="J27" i="5"/>
  <c r="K35" i="7"/>
  <c r="J33" i="5"/>
  <c r="J36" i="5"/>
  <c r="J61" i="7"/>
  <c r="K39" i="7"/>
  <c r="K35" i="5"/>
  <c r="K18" i="5"/>
  <c r="K21" i="5"/>
  <c r="L24" i="7"/>
  <c r="L27" i="7"/>
  <c r="K23" i="5"/>
  <c r="K25" i="5"/>
  <c r="K27" i="5"/>
  <c r="L35" i="7"/>
  <c r="L39" i="7"/>
  <c r="K33" i="5"/>
  <c r="K36" i="5"/>
  <c r="K61" i="7"/>
  <c r="L35" i="5"/>
  <c r="L18" i="5"/>
  <c r="L21" i="5"/>
  <c r="M24" i="7"/>
  <c r="L23" i="5"/>
  <c r="L25" i="5"/>
  <c r="L27" i="5"/>
  <c r="M27" i="7"/>
  <c r="M35" i="7"/>
  <c r="L33" i="5"/>
  <c r="L36" i="5"/>
  <c r="L61" i="7"/>
  <c r="M39" i="7"/>
  <c r="M36" i="4"/>
  <c r="M35" i="5"/>
  <c r="L21" i="9"/>
  <c r="N24" i="7"/>
  <c r="M45" i="4"/>
  <c r="M18" i="5"/>
  <c r="M21" i="5"/>
  <c r="M23" i="5"/>
  <c r="M25" i="5"/>
  <c r="M27" i="5"/>
  <c r="N27" i="7"/>
  <c r="C30" i="7"/>
  <c r="N35" i="7"/>
  <c r="C37" i="7"/>
  <c r="M33" i="5"/>
  <c r="M36" i="5"/>
  <c r="N61" i="7"/>
  <c r="N39" i="7"/>
  <c r="C41" i="7"/>
  <c r="C31" i="7"/>
  <c r="C33" i="7"/>
  <c r="M61" i="7"/>
  <c r="C43" i="7"/>
</calcChain>
</file>

<file path=xl/comments1.xml><?xml version="1.0" encoding="utf-8"?>
<comments xmlns="http://schemas.openxmlformats.org/spreadsheetml/2006/main">
  <authors>
    <author>Rodney Holcomb</author>
  </authors>
  <commentList>
    <comment ref="C24" authorId="0">
      <text>
        <r>
          <rPr>
            <sz val="9"/>
            <color indexed="81"/>
            <rFont val="Tahoma"/>
            <family val="2"/>
          </rPr>
          <t xml:space="preserve">$/square foot
</t>
        </r>
      </text>
    </comment>
    <comment ref="C25" authorId="0">
      <text>
        <r>
          <rPr>
            <sz val="9"/>
            <color indexed="81"/>
            <rFont val="Tahoma"/>
            <family val="2"/>
          </rPr>
          <t xml:space="preserve">$/square foot
</t>
        </r>
      </text>
    </comment>
    <comment ref="C26" authorId="0">
      <text>
        <r>
          <rPr>
            <sz val="9"/>
            <color indexed="81"/>
            <rFont val="Tahoma"/>
            <family val="2"/>
          </rPr>
          <t>Estimated cost, installed.</t>
        </r>
      </text>
    </comment>
    <comment ref="C27" authorId="0">
      <text>
        <r>
          <rPr>
            <sz val="9"/>
            <color indexed="81"/>
            <rFont val="Tahoma"/>
            <family val="2"/>
          </rPr>
          <t>Estimated sewage connection cost.</t>
        </r>
      </text>
    </comment>
    <comment ref="C28" authorId="0">
      <text>
        <r>
          <rPr>
            <sz val="9"/>
            <color indexed="81"/>
            <rFont val="Tahoma"/>
            <family val="2"/>
          </rPr>
          <t>Total cost of improvements.</t>
        </r>
      </text>
    </comment>
    <comment ref="C29" authorId="0">
      <text>
        <r>
          <rPr>
            <sz val="9"/>
            <color indexed="81"/>
            <rFont val="Tahoma"/>
            <family val="2"/>
          </rPr>
          <t>Total ventilation upgrading cost.</t>
        </r>
      </text>
    </comment>
    <comment ref="C30" authorId="0">
      <text>
        <r>
          <rPr>
            <sz val="9"/>
            <color indexed="81"/>
            <rFont val="Tahoma"/>
            <family val="2"/>
          </rPr>
          <t>Percent of total plant costs for contingency.</t>
        </r>
      </text>
    </comment>
  </commentList>
</comments>
</file>

<file path=xl/comments2.xml><?xml version="1.0" encoding="utf-8"?>
<comments xmlns="http://schemas.openxmlformats.org/spreadsheetml/2006/main">
  <authors>
    <author>Rodney B. Holcomb</author>
  </authors>
  <commentList>
    <comment ref="C50" authorId="0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Output price inflation rate is typically less than or equal to the Expense Inflation Rate on the 'Expense Projection' tab.</t>
        </r>
      </text>
    </comment>
  </commentList>
</comments>
</file>

<file path=xl/comments3.xml><?xml version="1.0" encoding="utf-8"?>
<comments xmlns="http://schemas.openxmlformats.org/spreadsheetml/2006/main">
  <authors>
    <author>Rodney Holcomb</author>
  </authors>
  <commentList>
    <comment ref="C24" authorId="0">
      <text>
        <r>
          <rPr>
            <sz val="9"/>
            <color indexed="81"/>
            <rFont val="Tahoma"/>
            <family val="2"/>
          </rPr>
          <t xml:space="preserve">Annual short-term borrowing, paid back in the same year it is borrowed.
</t>
        </r>
      </text>
    </comment>
  </commentList>
</comments>
</file>

<file path=xl/comments4.xml><?xml version="1.0" encoding="utf-8"?>
<comments xmlns="http://schemas.openxmlformats.org/spreadsheetml/2006/main">
  <authors>
    <author>Rodney Holcomb</author>
  </authors>
  <commentList>
    <comment ref="D10" author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This is the expected rate of inflation used to adjust annual expenses for Years 2-10.</t>
        </r>
      </text>
    </comment>
  </commentList>
</comments>
</file>

<file path=xl/sharedStrings.xml><?xml version="1.0" encoding="utf-8"?>
<sst xmlns="http://schemas.openxmlformats.org/spreadsheetml/2006/main" count="873" uniqueCount="492">
  <si>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</si>
  <si>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</si>
  <si>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</si>
  <si>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</si>
  <si>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</si>
  <si>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</si>
  <si>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</si>
  <si>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</si>
  <si>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</si>
  <si>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</si>
  <si>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Loan Amount</t>
  </si>
  <si>
    <t>Loan Term</t>
  </si>
  <si>
    <t>Long Term Interest Rate</t>
  </si>
  <si>
    <t>Percent Financed</t>
  </si>
  <si>
    <t>Working Capital</t>
  </si>
  <si>
    <t>Beginning Balance</t>
  </si>
  <si>
    <t>Interest Rate</t>
  </si>
  <si>
    <t>Interest</t>
  </si>
  <si>
    <t>Annual Payment</t>
  </si>
  <si>
    <t>Principal</t>
  </si>
  <si>
    <t>Ending Balance</t>
  </si>
  <si>
    <t>Short Term Interest Rate</t>
  </si>
  <si>
    <t>Interest Amount</t>
  </si>
  <si>
    <t>Total Interest Expense</t>
  </si>
  <si>
    <t>Labor</t>
  </si>
  <si>
    <t>Occupation</t>
  </si>
  <si>
    <t>Salary</t>
  </si>
  <si>
    <t>Overtime</t>
  </si>
  <si>
    <t>Benefits</t>
  </si>
  <si>
    <t>Salaries</t>
  </si>
  <si>
    <t>Benefits as % of Salaries</t>
  </si>
  <si>
    <t>% of Payroll Tax to Salaries</t>
  </si>
  <si>
    <t>% of Retirement Tax to Salaries</t>
  </si>
  <si>
    <t>Total Labor</t>
  </si>
  <si>
    <t>Variable</t>
  </si>
  <si>
    <t>Utilities</t>
  </si>
  <si>
    <t>Total Variable</t>
  </si>
  <si>
    <t>Fixed</t>
  </si>
  <si>
    <t>Maintenance</t>
  </si>
  <si>
    <t>Property Tax</t>
  </si>
  <si>
    <t>Insurance</t>
  </si>
  <si>
    <t>Supplies</t>
  </si>
  <si>
    <t>Buildings</t>
  </si>
  <si>
    <t>Special Purpose Buildings</t>
  </si>
  <si>
    <t>Equipment and Heavy Rolling Stock</t>
  </si>
  <si>
    <t>Light Trucks and Vehicles</t>
  </si>
  <si>
    <t>Depreciation</t>
  </si>
  <si>
    <t>Other</t>
  </si>
  <si>
    <t>Total Other</t>
  </si>
  <si>
    <t>Total Fixed</t>
  </si>
  <si>
    <t>Total Expenses</t>
  </si>
  <si>
    <t>Total</t>
  </si>
  <si>
    <t>Expenses</t>
  </si>
  <si>
    <t>Gross Margin</t>
  </si>
  <si>
    <t>Discount Factor</t>
  </si>
  <si>
    <t>PV of Income</t>
  </si>
  <si>
    <t>Total Expense</t>
  </si>
  <si>
    <t>Cash Expenses</t>
  </si>
  <si>
    <t>PV of Expenses</t>
  </si>
  <si>
    <t>Benefits Less Costs</t>
  </si>
  <si>
    <t>Net Present Value</t>
  </si>
  <si>
    <t>Internal Rate of Return</t>
  </si>
  <si>
    <t>Year</t>
  </si>
  <si>
    <t>Annual Total Depreciation</t>
  </si>
  <si>
    <t>39 year Straight Line</t>
  </si>
  <si>
    <t>Total Depreciation</t>
  </si>
  <si>
    <t>10 year with percentage from table</t>
  </si>
  <si>
    <t>7 year with percentage from table</t>
  </si>
  <si>
    <t>5 year with percentage from table</t>
  </si>
  <si>
    <t>Cost</t>
  </si>
  <si>
    <t>Life</t>
  </si>
  <si>
    <t>Salvage</t>
  </si>
  <si>
    <t>Period</t>
  </si>
  <si>
    <t>Rate</t>
  </si>
  <si>
    <t>Description</t>
  </si>
  <si>
    <t>Value</t>
  </si>
  <si>
    <t>#2</t>
  </si>
  <si>
    <t>#3</t>
  </si>
  <si>
    <t>#4</t>
  </si>
  <si>
    <t>#5</t>
  </si>
  <si>
    <t>Total Buildings</t>
  </si>
  <si>
    <t>Total Equip and Heavy Rolling Stock</t>
  </si>
  <si>
    <t>7 Yr MACRS with half year convention</t>
  </si>
  <si>
    <t>Wage Inflation</t>
  </si>
  <si>
    <t>Total Plant Property and Equipment</t>
  </si>
  <si>
    <t>Payroll Information</t>
  </si>
  <si>
    <t>Income Tax Rate</t>
  </si>
  <si>
    <t>Overtime%</t>
  </si>
  <si>
    <t>Product Name</t>
  </si>
  <si>
    <t>Production Expenses</t>
  </si>
  <si>
    <t>Total PV of Income</t>
  </si>
  <si>
    <t>Total PV of Expenses</t>
  </si>
  <si>
    <t>PV Benefits Less PV Costs</t>
  </si>
  <si>
    <t>Land</t>
  </si>
  <si>
    <t>Total Land, Plant Property and Equipment</t>
  </si>
  <si>
    <t>Before Tax Profit</t>
  </si>
  <si>
    <t>Tax</t>
  </si>
  <si>
    <t>After Tax Profit</t>
  </si>
  <si>
    <t>Developed by:</t>
  </si>
  <si>
    <t>For comments or suggestions contact:</t>
  </si>
  <si>
    <t>PV Benefit/PV Cost Ratio</t>
  </si>
  <si>
    <t>% of Employee INS Tax to Salaries</t>
  </si>
  <si>
    <t>Gross Sales Projection</t>
  </si>
  <si>
    <t>Gross Sales</t>
  </si>
  <si>
    <t>TOTAL GROSS SALES</t>
  </si>
  <si>
    <t>After Tax Profits</t>
  </si>
  <si>
    <t>Principle</t>
  </si>
  <si>
    <t xml:space="preserve">Cash Flow </t>
  </si>
  <si>
    <t>Return on Assets</t>
  </si>
  <si>
    <t>Estimate of Cash Flows</t>
  </si>
  <si>
    <t>(after tax income/total PPE investment)</t>
  </si>
  <si>
    <t>(does not consider increases or decreases in working capital loan)</t>
  </si>
  <si>
    <t>Payback Period (years)</t>
  </si>
  <si>
    <t>(payback period only displayed if less than 10 years)</t>
  </si>
  <si>
    <t>Less Depreciation and Term Interest</t>
  </si>
  <si>
    <t>B</t>
  </si>
  <si>
    <t>C</t>
  </si>
  <si>
    <t>D</t>
  </si>
  <si>
    <t>Miscellaneous*</t>
  </si>
  <si>
    <t>Depreciation per yr. for 39 yrs.</t>
  </si>
  <si>
    <t>(after tax income/non-borrowed PPE investment)</t>
  </si>
  <si>
    <t>Average ROA</t>
  </si>
  <si>
    <t>Return on (Beginning) Equity</t>
  </si>
  <si>
    <t>Average ROE</t>
  </si>
  <si>
    <t>A</t>
  </si>
  <si>
    <t>APPROX. PRICE</t>
  </si>
  <si>
    <t>DESCRIPTION</t>
  </si>
  <si>
    <t>PURPOSE</t>
  </si>
  <si>
    <t>COMMENTS</t>
  </si>
  <si>
    <t>3-compartment sink</t>
  </si>
  <si>
    <t>Required for inspection</t>
  </si>
  <si>
    <t>Can opener</t>
  </si>
  <si>
    <t>Manual</t>
  </si>
  <si>
    <t>Coder, ink jet</t>
  </si>
  <si>
    <t>Code containers with inkjet, portable system</t>
  </si>
  <si>
    <t>Cooler (refrigerator), reach-in</t>
  </si>
  <si>
    <t>Store minor ingredients (has temp sensor and alarm)</t>
  </si>
  <si>
    <t>Dishwasher, commercial</t>
  </si>
  <si>
    <t>Under-counter unit to clean utensils and containers</t>
  </si>
  <si>
    <t>Drum cradle</t>
  </si>
  <si>
    <t>Stores drum for unloading at spigot</t>
  </si>
  <si>
    <t>Drum pump</t>
  </si>
  <si>
    <t>Pump from drum bung</t>
  </si>
  <si>
    <t>Freezer, chest, 22 cubic ft. (3)</t>
  </si>
  <si>
    <t>Store ingredients (has temp sensor)</t>
  </si>
  <si>
    <t>Hand wash sink (2)</t>
  </si>
  <si>
    <t>Hood, ventilated</t>
  </si>
  <si>
    <t>Vent for cooking applicances</t>
  </si>
  <si>
    <t>Ice machine</t>
  </si>
  <si>
    <t>Ice for general cooling and processing</t>
  </si>
  <si>
    <t>Ingredient bins</t>
  </si>
  <si>
    <t>Bins for ingredient storage</t>
  </si>
  <si>
    <t>Label dispenser</t>
  </si>
  <si>
    <t>Laboratory equipment/instruments</t>
  </si>
  <si>
    <t>Allowance for QA</t>
  </si>
  <si>
    <t>Mop sink</t>
  </si>
  <si>
    <t>Office furniture and accessories</t>
  </si>
  <si>
    <t>Allowance for offices</t>
  </si>
  <si>
    <t>Pallet jack</t>
  </si>
  <si>
    <t>Move pallets</t>
  </si>
  <si>
    <t>Pump, centrifugal</t>
  </si>
  <si>
    <t>For pumping water-like liquids</t>
  </si>
  <si>
    <t>Range (6 burners, griddle, two ovens)</t>
  </si>
  <si>
    <t>General purpose cooking and baking</t>
  </si>
  <si>
    <t>Scale, ingredient</t>
  </si>
  <si>
    <t>Weigh ingredients</t>
  </si>
  <si>
    <t>Scale, platform</t>
  </si>
  <si>
    <t>Large items</t>
  </si>
  <si>
    <t>Shop tools</t>
  </si>
  <si>
    <t>For maintenance and repairs</t>
  </si>
  <si>
    <t>Storage racks, heavy</t>
  </si>
  <si>
    <t>Storage, ingredients, general</t>
  </si>
  <si>
    <t>Storage racks, wire</t>
  </si>
  <si>
    <t>Store ingredients and items</t>
  </si>
  <si>
    <t>Thermometer, dial</t>
  </si>
  <si>
    <t>For checking product temperatures</t>
  </si>
  <si>
    <t xml:space="preserve">Utensils </t>
  </si>
  <si>
    <t>General purpose</t>
  </si>
  <si>
    <t>Walk-in cooler</t>
  </si>
  <si>
    <t>10 x 10 ft</t>
  </si>
  <si>
    <t>Water heater</t>
  </si>
  <si>
    <t>Supply dedicated for processing</t>
  </si>
  <si>
    <t>Water softener</t>
  </si>
  <si>
    <t>Treatment for process water</t>
  </si>
  <si>
    <t>Work tables (4)</t>
  </si>
  <si>
    <t>30 x 72" NSF stainless with undershelf</t>
  </si>
  <si>
    <t>Bread pans</t>
  </si>
  <si>
    <t>Selection of pans for baking</t>
  </si>
  <si>
    <t>Bread slicer</t>
  </si>
  <si>
    <t>Slices loaf bread</t>
  </si>
  <si>
    <t>Bun pan racks</t>
  </si>
  <si>
    <t>Three racks</t>
  </si>
  <si>
    <t>Conveyor, bakery</t>
  </si>
  <si>
    <t>Allowance for baking conveyor (used)</t>
  </si>
  <si>
    <t>Dough sheeter</t>
  </si>
  <si>
    <t>Countertop, 12"</t>
  </si>
  <si>
    <t>Mixer (10 qt ), planetary, stand</t>
  </si>
  <si>
    <t>Small mixer</t>
  </si>
  <si>
    <t>Oven, continuous belt</t>
  </si>
  <si>
    <t>Pizza-style oven, electric</t>
  </si>
  <si>
    <t>Oven, double deck for baking</t>
  </si>
  <si>
    <t>Gas or electric</t>
  </si>
  <si>
    <t>Proofing cabinet</t>
  </si>
  <si>
    <t>Proof dough, 120 V</t>
  </si>
  <si>
    <t>Brine heater</t>
  </si>
  <si>
    <t>Heat brine for pickling</t>
  </si>
  <si>
    <t>Conveyor, canning</t>
  </si>
  <si>
    <t>Allowance for canning conveyor (used)</t>
  </si>
  <si>
    <t>Filler, piston</t>
  </si>
  <si>
    <t>For filling any flowable product</t>
  </si>
  <si>
    <t>pH meter</t>
  </si>
  <si>
    <t>For checking canning recipes</t>
  </si>
  <si>
    <t>Pickling/fermentation tank, 10 gal (3)</t>
  </si>
  <si>
    <t>FDA cylincrical polyethylene calibrated tank w/floating cover and spigot</t>
  </si>
  <si>
    <t>Pickling/fermentation tank, 30 gal (4)</t>
  </si>
  <si>
    <t>Pump, PD</t>
  </si>
  <si>
    <t>Pumping viscous liquids and particles</t>
  </si>
  <si>
    <t>Steam kettle, 40 gal, self contained</t>
  </si>
  <si>
    <t>Cook flowable products, tilts</t>
  </si>
  <si>
    <t>Stock pot, 60 qt stainless (4)</t>
  </si>
  <si>
    <t>For canning</t>
  </si>
  <si>
    <t>Water bath (modified dishmachine)</t>
  </si>
  <si>
    <t>Dedicated system (converted dish machine)</t>
  </si>
  <si>
    <t>Dehydrator, walk-in</t>
  </si>
  <si>
    <t>FoodMech natural gas, propane, complete</t>
  </si>
  <si>
    <t>Vacuum packer</t>
  </si>
  <si>
    <t>For dehydrated product</t>
  </si>
  <si>
    <t>Grinder, fruit and veg.</t>
  </si>
  <si>
    <t>DC</t>
  </si>
  <si>
    <t>For fruits and vegetables</t>
  </si>
  <si>
    <t>Peeler, countertop</t>
  </si>
  <si>
    <t>Root crop peeler, countertop</t>
  </si>
  <si>
    <t>Produce dryer (spinner)</t>
  </si>
  <si>
    <t>Spin dries produce, batchwise</t>
  </si>
  <si>
    <t>Produce washing area</t>
  </si>
  <si>
    <t>Sink water spray, drying trays</t>
  </si>
  <si>
    <t>Slicer, food processor</t>
  </si>
  <si>
    <t>Slices, dices product with manual feed</t>
  </si>
  <si>
    <t>SUBTOTAL</t>
  </si>
  <si>
    <t>Freight estimate (10%)</t>
  </si>
  <si>
    <t>Installation &amp; contingency estimate (15%)</t>
  </si>
  <si>
    <t>TOTALS</t>
  </si>
  <si>
    <t>New building shell (per sq ft)</t>
  </si>
  <si>
    <t>Upcharge for process area</t>
  </si>
  <si>
    <t>Utilities piping and installation</t>
  </si>
  <si>
    <t>Sewage connection</t>
  </si>
  <si>
    <t>Site improvements (paving, landscaping, etc.)</t>
  </si>
  <si>
    <t>Ventilation upgrades</t>
  </si>
  <si>
    <t>Shell square footage:</t>
  </si>
  <si>
    <t>Process area:</t>
  </si>
  <si>
    <t>CB</t>
  </si>
  <si>
    <t>DB</t>
  </si>
  <si>
    <t>Contingency</t>
  </si>
  <si>
    <t>ALL</t>
  </si>
  <si>
    <t>DRYING</t>
  </si>
  <si>
    <t>CANNING</t>
  </si>
  <si>
    <t>BAKING</t>
  </si>
  <si>
    <t>DRY&amp; CAN</t>
  </si>
  <si>
    <t>DRY&amp; BAKE</t>
  </si>
  <si>
    <t>CAN&amp; BAKE</t>
  </si>
  <si>
    <t>"A"</t>
  </si>
  <si>
    <t>"D"</t>
  </si>
  <si>
    <t>"C"</t>
  </si>
  <si>
    <t>"B"</t>
  </si>
  <si>
    <t>"DC"</t>
  </si>
  <si>
    <t>"DB"</t>
  </si>
  <si>
    <t>"CB"</t>
  </si>
  <si>
    <t>Capabilities of Chosen Facility</t>
  </si>
  <si>
    <t>Total Costs of Plant, Property, &amp; Equipment</t>
  </si>
  <si>
    <t>FACILITY COSTS</t>
  </si>
  <si>
    <t>EQUIPMENT COSTS</t>
  </si>
  <si>
    <t>COST OF LAND (where plant will be built):</t>
  </si>
  <si>
    <t>Chosen Facility Type</t>
  </si>
  <si>
    <t>CHOSEN FACILITY TYPE COST</t>
  </si>
  <si>
    <t>CHOSEN FACILITY EQUIPMENT COSTS</t>
  </si>
  <si>
    <t>Chosen Facility Equipment</t>
  </si>
  <si>
    <t>Plant, Property, &amp; Equipment</t>
  </si>
  <si>
    <t>PERSONNEL EXPENSES</t>
  </si>
  <si>
    <t>No. of Persons</t>
  </si>
  <si>
    <t>Total Salaries</t>
  </si>
  <si>
    <t>Plant Manager</t>
  </si>
  <si>
    <t>Assistant Manager</t>
  </si>
  <si>
    <t>Part-time/Office Help</t>
  </si>
  <si>
    <t>Total Personnel Costs</t>
  </si>
  <si>
    <t>INGREDIENTS &amp; OTHER VARIABLE COSTS</t>
  </si>
  <si>
    <t>$$$/Batch</t>
  </si>
  <si>
    <t>Yes</t>
  </si>
  <si>
    <t>No</t>
  </si>
  <si>
    <t>Water</t>
  </si>
  <si>
    <t>Annual Production Capacity %</t>
  </si>
  <si>
    <t>Total Ingredients Costs per Processing Batch</t>
  </si>
  <si>
    <t>Units (jars, packages, etc.) Produced per Batch</t>
  </si>
  <si>
    <t>Batches per Day (assume all-day production)</t>
  </si>
  <si>
    <t>Total Packaging Costs per Unit of Product</t>
  </si>
  <si>
    <t>(includes all packaging and label costs)</t>
  </si>
  <si>
    <t>Cost of Goods Sold (COGS) per Unit</t>
  </si>
  <si>
    <t>Average Selling Price</t>
  </si>
  <si>
    <t>Gross Margin per Day of Production</t>
  </si>
  <si>
    <t>PRODUCTION ASSUMPTIONS</t>
  </si>
  <si>
    <t>COGS per Day of Production</t>
  </si>
  <si>
    <t>Days of Production per Year</t>
  </si>
  <si>
    <t>Shrink/Waste/Give-Aways (% of production)</t>
  </si>
  <si>
    <t>Units Produced per Day</t>
  </si>
  <si>
    <t>Units Available for Sale per Day of Production</t>
  </si>
  <si>
    <t>Gross Revenue from One Day's Production</t>
  </si>
  <si>
    <t>(assume 100% plant utilization)</t>
  </si>
  <si>
    <t>Year 1 Production</t>
  </si>
  <si>
    <t>Sales</t>
  </si>
  <si>
    <t>COGS</t>
  </si>
  <si>
    <t xml:space="preserve">Year 1 Capacity Utilization </t>
  </si>
  <si>
    <t>TOTAL COGS</t>
  </si>
  <si>
    <t>Cost of Goods Sold</t>
  </si>
  <si>
    <t>Revenue</t>
  </si>
  <si>
    <t>Hours of Production per Day</t>
  </si>
  <si>
    <t>$/Hour</t>
  </si>
  <si>
    <t>Production Staff</t>
  </si>
  <si>
    <t>Cooking/Kitchen</t>
  </si>
  <si>
    <t>Packaging/Labeling</t>
  </si>
  <si>
    <t>Production Staff - Base Annual Wages</t>
  </si>
  <si>
    <t>Total Production Staff - Annual Wages</t>
  </si>
  <si>
    <t>Production Staff (from 'Production Assumptions')</t>
  </si>
  <si>
    <t>People/Day</t>
  </si>
  <si>
    <t>UTILITIES, MAINTENANCE, INSURANCE, &amp; PROPERTY TAXES</t>
  </si>
  <si>
    <t>Annual Product Price Inflation Rate</t>
  </si>
  <si>
    <t>Annual Expense Inflation Rate</t>
  </si>
  <si>
    <t>Discount Rate for NPV</t>
  </si>
  <si>
    <t>Maintenance as % of Plant &amp; Equipment Value</t>
  </si>
  <si>
    <t>Insurance as % of Plant &amp; Equipment Value</t>
  </si>
  <si>
    <t>COMMERCIAL KITCHEN ENERGY &amp; UTILITY COST ESTIMATE</t>
  </si>
  <si>
    <t>PER DAY ENERGY &amp; UTILITY COST ESTIMATE</t>
  </si>
  <si>
    <t>Process</t>
  </si>
  <si>
    <t>Amount</t>
  </si>
  <si>
    <t>Amount calculation</t>
  </si>
  <si>
    <t>Energy</t>
  </si>
  <si>
    <t>Gas</t>
  </si>
  <si>
    <t>Electric</t>
  </si>
  <si>
    <t>Sewer</t>
  </si>
  <si>
    <t>Dehydration</t>
  </si>
  <si>
    <t>lb/day raw</t>
  </si>
  <si>
    <t>33 trays x 2 lb per tray x 6 racks</t>
  </si>
  <si>
    <t>BTU/lb</t>
  </si>
  <si>
    <t>lb water</t>
  </si>
  <si>
    <t>efficiency</t>
  </si>
  <si>
    <t>BTU</t>
  </si>
  <si>
    <t>Canning</t>
  </si>
  <si>
    <t>16 oz cans per day</t>
  </si>
  <si>
    <t>3 per min x 60 x 8</t>
  </si>
  <si>
    <t>lb water/can</t>
  </si>
  <si>
    <t>Baking</t>
  </si>
  <si>
    <t>lb/day raw dough</t>
  </si>
  <si>
    <t>3 batch per hour x 20 lb x 8</t>
  </si>
  <si>
    <t>lb water/lb dough</t>
  </si>
  <si>
    <t>Water use</t>
  </si>
  <si>
    <t>gallons/month</t>
  </si>
  <si>
    <t>Sewer use</t>
  </si>
  <si>
    <t>gallon/lb raw</t>
  </si>
  <si>
    <t xml:space="preserve">Canning </t>
  </si>
  <si>
    <t>gallon/16 oz can</t>
  </si>
  <si>
    <t>gallon/lb raw dough</t>
  </si>
  <si>
    <t>Building energy (to operate, less process)</t>
  </si>
  <si>
    <t>Inputs are highlighted in green</t>
  </si>
  <si>
    <t>Assume building type is "full service restaurant"</t>
  </si>
  <si>
    <t>heat:  gas</t>
  </si>
  <si>
    <t>Size of facility</t>
  </si>
  <si>
    <t>Sq ft</t>
  </si>
  <si>
    <t>TOTALS*</t>
  </si>
  <si>
    <t>Cooling:  electric</t>
  </si>
  <si>
    <t>GAS</t>
  </si>
  <si>
    <t>ELECTRIC</t>
  </si>
  <si>
    <t>WATER</t>
  </si>
  <si>
    <t>SEWER</t>
  </si>
  <si>
    <t>w/GAS</t>
  </si>
  <si>
    <t>w/ELECTRIC</t>
  </si>
  <si>
    <t>Lighting:  2.5 watts/sq ft</t>
  </si>
  <si>
    <t>Water heat:  gas</t>
  </si>
  <si>
    <t>Canning process</t>
  </si>
  <si>
    <t>Double pane windows</t>
  </si>
  <si>
    <t>Cooking equipment:  gas</t>
  </si>
  <si>
    <t>Building energy</t>
  </si>
  <si>
    <t>Refrigeration:  equipment present</t>
  </si>
  <si>
    <t>Days of process operation "X"</t>
  </si>
  <si>
    <t>GRAND TOTALS:</t>
  </si>
  <si>
    <t>Location:  Near Austin, Texas</t>
  </si>
  <si>
    <t>Electric cost</t>
  </si>
  <si>
    <t>Annual</t>
  </si>
  <si>
    <t>Gas cost</t>
  </si>
  <si>
    <t>Building operation</t>
  </si>
  <si>
    <t>$/sq ft</t>
  </si>
  <si>
    <t>Estimated annual cost per square foot</t>
  </si>
  <si>
    <t>* Process utilities are either electric or gas, not both</t>
  </si>
  <si>
    <t>UTILITY RATES</t>
  </si>
  <si>
    <t>per CCF</t>
  </si>
  <si>
    <t>(CCF = 100,000 BTU)</t>
  </si>
  <si>
    <t>REF:  CPS Energy</t>
  </si>
  <si>
    <t>$/kW hr</t>
  </si>
  <si>
    <t>REF:  Pedernales electric coop</t>
  </si>
  <si>
    <t>Water/sewer</t>
  </si>
  <si>
    <t>REF:</t>
  </si>
  <si>
    <t>BOD fee ($ per BODmg/l)</t>
  </si>
  <si>
    <t>$ Monthly service inside city, 1" line</t>
  </si>
  <si>
    <t>$ Average monthly volume charge, inside city, per 100 gal</t>
  </si>
  <si>
    <t>Base sewer availability charge for 1" meter size in city</t>
  </si>
  <si>
    <t>$ per 100 gallons between 1,496 and 2,992</t>
  </si>
  <si>
    <t>$ per 100 gallons over 2,992</t>
  </si>
  <si>
    <t>per month base</t>
  </si>
  <si>
    <t>$/mo. FOG fee</t>
  </si>
  <si>
    <t>TSS fee ($ / mg/l)</t>
  </si>
  <si>
    <t>Fire protection fee ($/yr in city)</t>
  </si>
  <si>
    <t>Production Assumptions</t>
  </si>
  <si>
    <t>Personnel Expenses</t>
  </si>
  <si>
    <t>Market Projection</t>
  </si>
  <si>
    <t>Expense Projection</t>
  </si>
  <si>
    <t>COMMERCIAL KITCHEN COST ESTIMATES: PLANT, PROPERTY, &amp; EQUIPMENT</t>
  </si>
  <si>
    <t>Profit/Loss Summary</t>
  </si>
  <si>
    <t>Return on Investment</t>
  </si>
  <si>
    <t>Go to:</t>
  </si>
  <si>
    <t>Loan Amount*</t>
  </si>
  <si>
    <t>Borrowing &amp; Debt</t>
  </si>
  <si>
    <t>*To see details on loan amortization, and/or</t>
  </si>
  <si>
    <t>*Utility expenses will be greatly impacted by processing activities.</t>
  </si>
  <si>
    <t>click here:</t>
  </si>
  <si>
    <t>For help estimating utility expenses for power, water, and sewer,</t>
  </si>
  <si>
    <t>Utilities Estimates</t>
  </si>
  <si>
    <t>Property Tax as % of Property &amp; Plant Value</t>
  </si>
  <si>
    <t>Go back to:</t>
  </si>
  <si>
    <t>DEPRECIATION</t>
  </si>
  <si>
    <t>Equipment &amp; Rolling Stock</t>
  </si>
  <si>
    <t>Depreciation Methods:</t>
  </si>
  <si>
    <t>MARKET PROJECTION: SALES &amp; COGS BY YEAR</t>
  </si>
  <si>
    <t>BORROWING &amp; DEBT CALCULATIONS</t>
  </si>
  <si>
    <t>EXPENSE PROJECTION</t>
  </si>
  <si>
    <t>PROFIT/LOSS SUMMARY</t>
  </si>
  <si>
    <t>RETURN ON INVESTMENT</t>
  </si>
  <si>
    <t xml:space="preserve"> </t>
  </si>
  <si>
    <t xml:space="preserve">To see depreciation calculations for facilities and equipment, go to: </t>
  </si>
  <si>
    <t>to add short-term borrowing, click here:</t>
  </si>
  <si>
    <t>(all subsequent years presumably at 100%)</t>
  </si>
  <si>
    <r>
      <rPr>
        <b/>
        <u/>
        <sz val="13"/>
        <rFont val="Arial"/>
        <family val="2"/>
      </rPr>
      <t>Plant, Propert, &amp; Equipment</t>
    </r>
    <r>
      <rPr>
        <b/>
        <sz val="13"/>
        <rFont val="Arial"/>
        <family val="2"/>
      </rPr>
      <t>:  Determination of processing activities, associated equipment and facility options, land value, and links to tabs for loan amortization and utilities estimation.</t>
    </r>
  </si>
  <si>
    <r>
      <rPr>
        <b/>
        <u/>
        <sz val="13"/>
        <rFont val="Arial"/>
        <family val="2"/>
      </rPr>
      <t>Production Assumptions</t>
    </r>
    <r>
      <rPr>
        <b/>
        <sz val="13"/>
        <rFont val="Arial"/>
        <family val="2"/>
      </rPr>
      <t>:  Values associated with the production of food products in the facility, including recipes, yield per processing batch, packaging/labels expenses, and production labor.</t>
    </r>
  </si>
  <si>
    <r>
      <rPr>
        <b/>
        <u/>
        <sz val="13"/>
        <rFont val="Arial"/>
        <family val="2"/>
      </rPr>
      <t>Personnel Expenses</t>
    </r>
    <r>
      <rPr>
        <b/>
        <sz val="13"/>
        <rFont val="Arial"/>
        <family val="2"/>
      </rPr>
      <t>: Salaried employees (all other employees not listed as production labor) and information on payroll taxes, benefits, wage inflation, etc.</t>
    </r>
  </si>
  <si>
    <r>
      <rPr>
        <b/>
        <u/>
        <sz val="13"/>
        <rFont val="Arial"/>
        <family val="2"/>
      </rPr>
      <t>Market Projection</t>
    </r>
    <r>
      <rPr>
        <b/>
        <sz val="13"/>
        <rFont val="Arial"/>
        <family val="2"/>
      </rPr>
      <t>:  Expected plant capacity utilization in Year 1 (presumably 100% after Year 1) and expected output price inflation rate.</t>
    </r>
  </si>
  <si>
    <r>
      <rPr>
        <b/>
        <u/>
        <sz val="13"/>
        <rFont val="Arial"/>
        <family val="2"/>
      </rPr>
      <t>Expense Projection</t>
    </r>
    <r>
      <rPr>
        <b/>
        <sz val="13"/>
        <rFont val="Arial"/>
        <family val="2"/>
      </rPr>
      <t>:  Expected inflation rate for all expenses, start-up and annual supplies and miscellaneous expenses.</t>
    </r>
  </si>
  <si>
    <r>
      <rPr>
        <b/>
        <u/>
        <sz val="13"/>
        <rFont val="Arial"/>
        <family val="2"/>
      </rPr>
      <t>Profit/Loss Summary</t>
    </r>
    <r>
      <rPr>
        <b/>
        <sz val="13"/>
        <rFont val="Arial"/>
        <family val="2"/>
      </rPr>
      <t>:  The only entry on this tab is for income tax rate.</t>
    </r>
  </si>
  <si>
    <r>
      <rPr>
        <b/>
        <u/>
        <sz val="13"/>
        <rFont val="Arial"/>
        <family val="2"/>
      </rPr>
      <t>Return on Investment</t>
    </r>
    <r>
      <rPr>
        <b/>
        <sz val="13"/>
        <rFont val="Arial"/>
        <family val="2"/>
      </rPr>
      <t>: The only entry on this tab is the discount rate used for Net Present Value calculations.</t>
    </r>
  </si>
  <si>
    <t>Startup</t>
  </si>
  <si>
    <t>Shaded cells are for entering notes on assumptions/sources of expenses.</t>
  </si>
  <si>
    <t>Electricity</t>
  </si>
  <si>
    <t>Solid Waste Disposal</t>
  </si>
  <si>
    <t>Telephone &amp; Internet</t>
  </si>
  <si>
    <t>Total Annual Utilities</t>
  </si>
  <si>
    <t>Projected Utilities*</t>
  </si>
  <si>
    <t>Enter Product 2 Name Here</t>
  </si>
  <si>
    <t>Enter Product 3 Name Here</t>
  </si>
  <si>
    <t>Enter Product 4 Name Here</t>
  </si>
  <si>
    <t>Enter Product 5 Name Here</t>
  </si>
  <si>
    <t>Enter Product 6 Name Here</t>
  </si>
  <si>
    <t>Grant Funds (no repay)</t>
  </si>
  <si>
    <t>PP&amp;E Costs minus Grants</t>
  </si>
  <si>
    <t>and</t>
  </si>
  <si>
    <t>Notes:</t>
  </si>
  <si>
    <t>Assume energy costs are solely for facility and production.</t>
  </si>
  <si>
    <t>* Year 0 miscellaneous expenses may include legal fees, licenses, permits and other organizational expenses for startup.</t>
  </si>
  <si>
    <t>SAWS (San Antoni0 Water &amp; Sewer</t>
  </si>
  <si>
    <t>Gross Margin as % of Gross Revenue</t>
  </si>
  <si>
    <t>PROCESSING USE</t>
  </si>
  <si>
    <t>http://c04.apogee.net/calcs/comcalc/resultspage.aspx?utilid=pec</t>
  </si>
  <si>
    <t xml:space="preserve">Use online estimator:  </t>
  </si>
  <si>
    <t>ENERGY COST ESTIMATES for X DAYS OF OPERATION (GAS vs. ELECTRICITY)</t>
  </si>
  <si>
    <t>Shaded cells are for numerical inputs.</t>
  </si>
  <si>
    <t>but you do need basic familiarity with Microsoft Excel.  All results are approximate and should be treated with caution.  Even small errors in your assumptions can lead to highly</t>
  </si>
  <si>
    <t>caused or alleged to be caused, directly or indirectly, to any person or entity by the use of this template.</t>
  </si>
  <si>
    <t>To protect the many formulas in the model, you can only access the shaded cells:</t>
  </si>
  <si>
    <t>To get started go to one of the tab links below.  Your input is required on each of the following tabs:</t>
  </si>
  <si>
    <t>Enter Product 7 Name Here</t>
  </si>
  <si>
    <t>Enter Product 8 Name Here</t>
  </si>
  <si>
    <t>Enter Product 9 Name Here</t>
  </si>
  <si>
    <t>Enter Product 10 Name Here</t>
  </si>
  <si>
    <t xml:space="preserve">This sheet summaries the volume and price and sales growth information from the input page.  </t>
  </si>
  <si>
    <t>This sheet calculates depreciation.  You enter descriptions and values for buildings, equipment and other property on "Plant, Property, &amp; Equipment" tab.</t>
  </si>
  <si>
    <t>This sheet summaries the feasibility of the project.  It provides net present value, benefit cost ratio and internal rate of return.</t>
  </si>
  <si>
    <t>These worksheets provide estimates for discussion purposes only.  Check your own data to be sure that your results make sense for your situation.</t>
  </si>
  <si>
    <t>Enter Product 1 Name Here</t>
  </si>
  <si>
    <t>misleading conclusions.  While every precaution has been taken in preparing this template, the authors and Oklahoma State University do not assume any liability for any loss or damage</t>
  </si>
  <si>
    <t>Rodney B. Holcomb &amp; Timothy J. Bowser - Robert M. Kerr Food &amp; Agricultural Products Center, Oklahoma State University</t>
  </si>
  <si>
    <t>Financial Analysis Model for Building/Operating a Commercial Kitchen</t>
  </si>
  <si>
    <t>The template is a free, "what you see is what you get" (WYSIWYG) tool, but it can be modified with assistance from the authors and OSU's Food &amp; Agricultural Products Center.</t>
  </si>
  <si>
    <r>
      <rPr>
        <b/>
        <u/>
        <sz val="13"/>
        <rFont val="Arial"/>
        <family val="2"/>
      </rPr>
      <t>Disclaimer</t>
    </r>
    <r>
      <rPr>
        <b/>
        <sz val="13"/>
        <rFont val="Arial"/>
        <family val="2"/>
      </rPr>
      <t>: This decision-making template helps you compare "what if" scenarios by entering your own numbers and assumptions.  We have made the template as user-friendly as possible,</t>
    </r>
  </si>
  <si>
    <t>PP&amp;E minus Grants</t>
  </si>
  <si>
    <t>User's Guide (click PDF icon to open)</t>
  </si>
  <si>
    <t>Rodney Holcomb and/or Tim Bowser</t>
  </si>
  <si>
    <t>fapc@okstate.edu</t>
  </si>
  <si>
    <t>(405) 744-6071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</si>
</sst>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_);[Red]\(&quot;$&quot;#,##0.000\)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&quot;$&quot;#,##0.00"/>
    <numFmt numFmtId="169" formatCode="&quot;$&quot;#,##0.000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Book Antiqua"/>
      <family val="1"/>
    </font>
    <font>
      <b/>
      <sz val="14"/>
      <name val="Arial"/>
      <family val="2"/>
    </font>
    <font>
      <b/>
      <i/>
      <sz val="14"/>
      <name val="Arial"/>
      <family val="2"/>
    </font>
    <font>
      <b/>
      <sz val="13"/>
      <name val="Arial"/>
      <family val="2"/>
    </font>
    <font>
      <sz val="18"/>
      <name val="Arial"/>
      <family val="2"/>
    </font>
    <font>
      <u/>
      <sz val="10"/>
      <color indexed="12"/>
      <name val="Arial"/>
      <family val="2"/>
    </font>
    <font>
      <u/>
      <sz val="10"/>
      <color indexed="9"/>
      <name val="Arial"/>
      <family val="2"/>
    </font>
    <font>
      <b/>
      <i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color rgb="FFFF0000"/>
      <name val="Arial"/>
      <family val="2"/>
    </font>
    <font>
      <u/>
      <sz val="10"/>
      <color rgb="FF000000"/>
      <name val="Arial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u/>
      <sz val="13"/>
      <name val="Arial"/>
      <family val="2"/>
    </font>
    <font>
      <b/>
      <u/>
      <sz val="12"/>
      <color indexed="12"/>
      <name val="Arial"/>
      <family val="2"/>
    </font>
    <font>
      <u/>
      <sz val="11"/>
      <color theme="1"/>
      <name val="Calibri"/>
      <family val="2"/>
      <scheme val="minor"/>
    </font>
    <font>
      <b/>
      <sz val="2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AEAEA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 applyFill="0" applyBorder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9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7" fillId="0" borderId="0" applyFill="0" applyBorder="0"/>
    <xf numFmtId="0" fontId="25" fillId="0" borderId="0"/>
    <xf numFmtId="9" fontId="25" fillId="0" borderId="0" applyFont="0" applyFill="0" applyBorder="0" applyAlignment="0" applyProtection="0"/>
    <xf numFmtId="0" fontId="6" fillId="0" borderId="0"/>
  </cellStyleXfs>
  <cellXfs count="290">
    <xf numFmtId="0" fontId="0" fillId="0" borderId="0" xfId="0"/>
    <xf numFmtId="0" fontId="7" fillId="0" borderId="0" xfId="5" applyProtection="1">
      <protection locked="0"/>
    </xf>
    <xf numFmtId="0" fontId="25" fillId="0" borderId="0" xfId="6" applyProtection="1">
      <protection hidden="1"/>
    </xf>
    <xf numFmtId="0" fontId="26" fillId="0" borderId="0" xfId="6" applyFont="1" applyProtection="1">
      <protection hidden="1"/>
    </xf>
    <xf numFmtId="0" fontId="27" fillId="0" borderId="8" xfId="6" applyFont="1" applyBorder="1" applyProtection="1">
      <protection hidden="1"/>
    </xf>
    <xf numFmtId="0" fontId="26" fillId="0" borderId="9" xfId="6" applyFont="1" applyBorder="1" applyProtection="1">
      <protection hidden="1"/>
    </xf>
    <xf numFmtId="0" fontId="25" fillId="0" borderId="0" xfId="6" applyFill="1" applyProtection="1">
      <protection hidden="1"/>
    </xf>
    <xf numFmtId="0" fontId="26" fillId="0" borderId="0" xfId="6" applyFont="1" applyFill="1" applyProtection="1">
      <protection hidden="1"/>
    </xf>
    <xf numFmtId="0" fontId="28" fillId="0" borderId="0" xfId="6" applyFont="1" applyProtection="1">
      <protection hidden="1"/>
    </xf>
    <xf numFmtId="0" fontId="26" fillId="0" borderId="0" xfId="6" applyFont="1" applyAlignment="1" applyProtection="1">
      <alignment wrapText="1"/>
      <protection hidden="1"/>
    </xf>
    <xf numFmtId="0" fontId="25" fillId="0" borderId="0" xfId="6" applyFill="1" applyBorder="1" applyAlignment="1" applyProtection="1">
      <alignment horizontal="center" vertical="center"/>
      <protection hidden="1"/>
    </xf>
    <xf numFmtId="0" fontId="25" fillId="0" borderId="10" xfId="6" applyBorder="1" applyProtection="1">
      <protection hidden="1"/>
    </xf>
    <xf numFmtId="0" fontId="25" fillId="0" borderId="0" xfId="6" applyBorder="1" applyProtection="1">
      <protection hidden="1"/>
    </xf>
    <xf numFmtId="168" fontId="25" fillId="0" borderId="11" xfId="6" applyNumberFormat="1" applyBorder="1" applyProtection="1">
      <protection hidden="1"/>
    </xf>
    <xf numFmtId="0" fontId="25" fillId="0" borderId="11" xfId="6" applyBorder="1" applyProtection="1">
      <protection hidden="1"/>
    </xf>
    <xf numFmtId="168" fontId="26" fillId="0" borderId="0" xfId="6" applyNumberFormat="1" applyFont="1" applyFill="1" applyBorder="1" applyProtection="1">
      <protection hidden="1"/>
    </xf>
    <xf numFmtId="168" fontId="25" fillId="0" borderId="11" xfId="6" applyNumberFormat="1" applyFill="1" applyBorder="1" applyProtection="1">
      <protection hidden="1"/>
    </xf>
    <xf numFmtId="0" fontId="25" fillId="0" borderId="12" xfId="6" applyBorder="1" applyProtection="1">
      <protection hidden="1"/>
    </xf>
    <xf numFmtId="0" fontId="25" fillId="0" borderId="0" xfId="6" applyFill="1" applyBorder="1" applyProtection="1">
      <protection hidden="1"/>
    </xf>
    <xf numFmtId="168" fontId="25" fillId="3" borderId="3" xfId="6" applyNumberFormat="1" applyFill="1" applyBorder="1" applyProtection="1">
      <protection locked="0"/>
    </xf>
    <xf numFmtId="168" fontId="25" fillId="3" borderId="4" xfId="6" applyNumberFormat="1" applyFill="1" applyBorder="1" applyProtection="1">
      <protection locked="0"/>
    </xf>
    <xf numFmtId="167" fontId="25" fillId="0" borderId="11" xfId="4" applyNumberFormat="1" applyFont="1" applyBorder="1" applyProtection="1">
      <protection hidden="1"/>
    </xf>
    <xf numFmtId="0" fontId="29" fillId="0" borderId="0" xfId="6" applyFont="1" applyProtection="1">
      <protection hidden="1"/>
    </xf>
    <xf numFmtId="165" fontId="25" fillId="0" borderId="0" xfId="6" applyNumberFormat="1" applyProtection="1">
      <protection hidden="1"/>
    </xf>
    <xf numFmtId="0" fontId="25" fillId="3" borderId="3" xfId="6" applyFill="1" applyBorder="1" applyProtection="1">
      <protection locked="0"/>
    </xf>
    <xf numFmtId="0" fontId="25" fillId="3" borderId="4" xfId="6" applyFill="1" applyBorder="1" applyProtection="1">
      <protection locked="0"/>
    </xf>
    <xf numFmtId="0" fontId="25" fillId="3" borderId="5" xfId="6" applyFill="1" applyBorder="1" applyProtection="1">
      <protection locked="0"/>
    </xf>
    <xf numFmtId="0" fontId="26" fillId="0" borderId="0" xfId="6" applyFont="1" applyFill="1" applyBorder="1" applyAlignment="1" applyProtection="1">
      <alignment wrapText="1"/>
      <protection hidden="1"/>
    </xf>
    <xf numFmtId="9" fontId="25" fillId="0" borderId="0" xfId="6" applyNumberFormat="1" applyFill="1" applyProtection="1">
      <protection hidden="1"/>
    </xf>
    <xf numFmtId="0" fontId="25" fillId="0" borderId="0" xfId="6" applyFont="1" applyProtection="1">
      <protection hidden="1"/>
    </xf>
    <xf numFmtId="0" fontId="25" fillId="0" borderId="0" xfId="6" applyAlignment="1" applyProtection="1">
      <alignment horizontal="center"/>
      <protection hidden="1"/>
    </xf>
    <xf numFmtId="9" fontId="0" fillId="3" borderId="3" xfId="7" applyFont="1" applyFill="1" applyBorder="1" applyAlignment="1" applyProtection="1">
      <alignment horizontal="center"/>
      <protection locked="0"/>
    </xf>
    <xf numFmtId="9" fontId="0" fillId="3" borderId="4" xfId="7" applyFont="1" applyFill="1" applyBorder="1" applyAlignment="1" applyProtection="1">
      <alignment horizontal="center"/>
      <protection locked="0"/>
    </xf>
    <xf numFmtId="9" fontId="0" fillId="3" borderId="5" xfId="7" applyFont="1" applyFill="1" applyBorder="1" applyAlignment="1" applyProtection="1">
      <alignment horizontal="center"/>
      <protection locked="0"/>
    </xf>
    <xf numFmtId="9" fontId="25" fillId="0" borderId="0" xfId="6" applyNumberFormat="1" applyAlignment="1" applyProtection="1">
      <alignment horizontal="center"/>
      <protection hidden="1"/>
    </xf>
    <xf numFmtId="168" fontId="25" fillId="3" borderId="9" xfId="6" applyNumberFormat="1" applyFill="1" applyBorder="1" applyAlignment="1" applyProtection="1">
      <alignment horizontal="center"/>
      <protection locked="0"/>
    </xf>
    <xf numFmtId="168" fontId="0" fillId="3" borderId="11" xfId="7" applyNumberFormat="1" applyFont="1" applyFill="1" applyBorder="1" applyAlignment="1" applyProtection="1">
      <alignment horizontal="center"/>
      <protection locked="0"/>
    </xf>
    <xf numFmtId="0" fontId="25" fillId="3" borderId="3" xfId="6" applyNumberFormat="1" applyFill="1" applyBorder="1" applyAlignment="1" applyProtection="1">
      <alignment horizontal="center"/>
      <protection locked="0"/>
    </xf>
    <xf numFmtId="0" fontId="0" fillId="3" borderId="4" xfId="7" applyNumberFormat="1" applyFont="1" applyFill="1" applyBorder="1" applyAlignment="1" applyProtection="1">
      <alignment horizontal="center"/>
      <protection locked="0"/>
    </xf>
    <xf numFmtId="0" fontId="26" fillId="0" borderId="0" xfId="6" applyFont="1" applyFill="1" applyBorder="1" applyAlignment="1" applyProtection="1">
      <alignment horizontal="center"/>
      <protection hidden="1"/>
    </xf>
    <xf numFmtId="10" fontId="7" fillId="3" borderId="11" xfId="5" applyNumberFormat="1" applyFill="1" applyBorder="1" applyProtection="1">
      <protection locked="0"/>
    </xf>
    <xf numFmtId="10" fontId="7" fillId="3" borderId="13" xfId="5" applyNumberFormat="1" applyFill="1" applyBorder="1" applyProtection="1">
      <protection locked="0"/>
    </xf>
    <xf numFmtId="0" fontId="8" fillId="3" borderId="0" xfId="5" applyFont="1" applyFill="1" applyProtection="1">
      <protection locked="0"/>
    </xf>
    <xf numFmtId="6" fontId="7" fillId="3" borderId="0" xfId="5" applyNumberFormat="1" applyFill="1" applyProtection="1">
      <protection locked="0"/>
    </xf>
    <xf numFmtId="0" fontId="7" fillId="3" borderId="0" xfId="5" applyNumberFormat="1" applyFill="1" applyAlignment="1" applyProtection="1">
      <alignment horizontal="center"/>
      <protection locked="0"/>
    </xf>
    <xf numFmtId="9" fontId="7" fillId="3" borderId="0" xfId="3" applyFont="1" applyFill="1" applyProtection="1">
      <protection locked="0"/>
    </xf>
    <xf numFmtId="0" fontId="13" fillId="0" borderId="0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0" xfId="0" applyProtection="1">
      <protection hidden="1"/>
    </xf>
    <xf numFmtId="0" fontId="14" fillId="0" borderId="0" xfId="0" applyFont="1" applyFill="1" applyBorder="1" applyProtection="1">
      <protection hidden="1"/>
    </xf>
    <xf numFmtId="0" fontId="15" fillId="0" borderId="0" xfId="0" applyFont="1" applyFill="1" applyBorder="1" applyProtection="1">
      <protection hidden="1"/>
    </xf>
    <xf numFmtId="0" fontId="0" fillId="3" borderId="0" xfId="0" applyFill="1" applyBorder="1" applyProtection="1">
      <protection hidden="1"/>
    </xf>
    <xf numFmtId="38" fontId="0" fillId="0" borderId="0" xfId="0" applyNumberFormat="1" applyProtection="1">
      <protection hidden="1"/>
    </xf>
    <xf numFmtId="0" fontId="34" fillId="0" borderId="0" xfId="0" applyFont="1" applyFill="1" applyBorder="1" applyProtection="1">
      <protection hidden="1"/>
    </xf>
    <xf numFmtId="0" fontId="0" fillId="0" borderId="0" xfId="0" applyBorder="1" applyProtection="1">
      <protection hidden="1"/>
    </xf>
    <xf numFmtId="0" fontId="16" fillId="0" borderId="0" xfId="0" applyFont="1" applyProtection="1">
      <protection hidden="1"/>
    </xf>
    <xf numFmtId="0" fontId="33" fillId="0" borderId="0" xfId="0" applyFont="1" applyFill="1" applyBorder="1" applyProtection="1">
      <protection hidden="1"/>
    </xf>
    <xf numFmtId="0" fontId="7" fillId="0" borderId="0" xfId="0" applyFont="1" applyFill="1" applyBorder="1" applyProtection="1">
      <protection hidden="1"/>
    </xf>
    <xf numFmtId="0" fontId="33" fillId="0" borderId="0" xfId="0" applyFont="1" applyBorder="1" applyProtection="1">
      <protection hidden="1"/>
    </xf>
    <xf numFmtId="0" fontId="34" fillId="0" borderId="0" xfId="0" applyFont="1" applyBorder="1" applyProtection="1">
      <protection hidden="1"/>
    </xf>
    <xf numFmtId="0" fontId="36" fillId="0" borderId="0" xfId="2" applyFont="1" applyAlignment="1" applyProtection="1">
      <protection locked="0"/>
    </xf>
    <xf numFmtId="0" fontId="8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7" fillId="0" borderId="0" xfId="2" applyAlignment="1" applyProtection="1">
      <protection hidden="1"/>
    </xf>
    <xf numFmtId="0" fontId="7" fillId="0" borderId="0" xfId="0" applyFont="1" applyProtection="1">
      <protection hidden="1"/>
    </xf>
    <xf numFmtId="165" fontId="8" fillId="2" borderId="1" xfId="0" applyNumberFormat="1" applyFont="1" applyFill="1" applyBorder="1" applyProtection="1">
      <protection hidden="1"/>
    </xf>
    <xf numFmtId="0" fontId="10" fillId="0" borderId="0" xfId="0" applyFont="1" applyProtection="1">
      <protection hidden="1"/>
    </xf>
    <xf numFmtId="165" fontId="0" fillId="0" borderId="0" xfId="0" applyNumberFormat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0" fillId="0" borderId="7" xfId="0" applyBorder="1" applyProtection="1">
      <protection hidden="1"/>
    </xf>
    <xf numFmtId="165" fontId="0" fillId="0" borderId="7" xfId="0" applyNumberFormat="1" applyBorder="1" applyProtection="1">
      <protection hidden="1"/>
    </xf>
    <xf numFmtId="0" fontId="10" fillId="0" borderId="7" xfId="0" applyFont="1" applyBorder="1" applyProtection="1">
      <protection hidden="1"/>
    </xf>
    <xf numFmtId="165" fontId="8" fillId="0" borderId="0" xfId="0" applyNumberFormat="1" applyFont="1" applyProtection="1">
      <protection hidden="1"/>
    </xf>
    <xf numFmtId="165" fontId="0" fillId="0" borderId="6" xfId="0" applyNumberFormat="1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Fill="1" applyProtection="1">
      <protection hidden="1"/>
    </xf>
    <xf numFmtId="166" fontId="0" fillId="3" borderId="0" xfId="1" applyNumberFormat="1" applyFont="1" applyFill="1" applyProtection="1">
      <protection hidden="1"/>
    </xf>
    <xf numFmtId="166" fontId="0" fillId="0" borderId="0" xfId="1" applyNumberFormat="1" applyFont="1" applyFill="1" applyProtection="1">
      <protection hidden="1"/>
    </xf>
    <xf numFmtId="0" fontId="17" fillId="0" borderId="0" xfId="2" applyAlignment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165" fontId="0" fillId="3" borderId="0" xfId="0" applyNumberFormat="1" applyFill="1" applyProtection="1">
      <protection locked="0"/>
    </xf>
    <xf numFmtId="167" fontId="0" fillId="3" borderId="0" xfId="4" applyNumberFormat="1" applyFont="1" applyFill="1" applyProtection="1">
      <protection locked="0"/>
    </xf>
    <xf numFmtId="165" fontId="0" fillId="3" borderId="7" xfId="0" applyNumberFormat="1" applyFill="1" applyBorder="1" applyProtection="1">
      <protection locked="0"/>
    </xf>
    <xf numFmtId="9" fontId="0" fillId="3" borderId="7" xfId="3" applyFont="1" applyFill="1" applyBorder="1" applyProtection="1">
      <protection locked="0"/>
    </xf>
    <xf numFmtId="166" fontId="0" fillId="3" borderId="0" xfId="1" applyNumberFormat="1" applyFont="1" applyFill="1" applyProtection="1">
      <protection locked="0"/>
    </xf>
    <xf numFmtId="10" fontId="0" fillId="3" borderId="0" xfId="3" applyNumberFormat="1" applyFont="1" applyFill="1" applyProtection="1">
      <protection locked="0"/>
    </xf>
    <xf numFmtId="10" fontId="0" fillId="3" borderId="0" xfId="0" applyNumberFormat="1" applyFill="1" applyProtection="1">
      <protection locked="0"/>
    </xf>
    <xf numFmtId="0" fontId="31" fillId="0" borderId="0" xfId="8" applyFont="1" applyProtection="1">
      <protection hidden="1"/>
    </xf>
    <xf numFmtId="0" fontId="6" fillId="0" borderId="0" xfId="8" applyProtection="1">
      <protection hidden="1"/>
    </xf>
    <xf numFmtId="0" fontId="5" fillId="0" borderId="0" xfId="8" applyFont="1" applyProtection="1">
      <protection hidden="1"/>
    </xf>
    <xf numFmtId="3" fontId="6" fillId="0" borderId="0" xfId="8" applyNumberFormat="1" applyProtection="1">
      <protection hidden="1"/>
    </xf>
    <xf numFmtId="168" fontId="6" fillId="0" borderId="0" xfId="8" applyNumberFormat="1" applyProtection="1">
      <protection hidden="1"/>
    </xf>
    <xf numFmtId="0" fontId="6" fillId="0" borderId="0" xfId="8" applyFill="1" applyProtection="1">
      <protection hidden="1"/>
    </xf>
    <xf numFmtId="0" fontId="32" fillId="0" borderId="0" xfId="8" applyFont="1" applyProtection="1">
      <protection hidden="1"/>
    </xf>
    <xf numFmtId="0" fontId="6" fillId="0" borderId="2" xfId="8" applyBorder="1" applyProtection="1">
      <protection hidden="1"/>
    </xf>
    <xf numFmtId="0" fontId="6" fillId="0" borderId="9" xfId="8" applyBorder="1" applyProtection="1">
      <protection hidden="1"/>
    </xf>
    <xf numFmtId="0" fontId="6" fillId="0" borderId="10" xfId="8" applyBorder="1" applyProtection="1">
      <protection hidden="1"/>
    </xf>
    <xf numFmtId="3" fontId="6" fillId="0" borderId="0" xfId="8" applyNumberFormat="1" applyFill="1" applyBorder="1" applyProtection="1">
      <protection hidden="1"/>
    </xf>
    <xf numFmtId="0" fontId="6" fillId="0" borderId="0" xfId="8" applyBorder="1" applyProtection="1">
      <protection hidden="1"/>
    </xf>
    <xf numFmtId="0" fontId="6" fillId="0" borderId="11" xfId="8" applyBorder="1" applyProtection="1">
      <protection hidden="1"/>
    </xf>
    <xf numFmtId="165" fontId="6" fillId="0" borderId="0" xfId="8" applyNumberFormat="1" applyBorder="1" applyProtection="1">
      <protection hidden="1"/>
    </xf>
    <xf numFmtId="0" fontId="6" fillId="0" borderId="10" xfId="8" applyFill="1" applyBorder="1" applyProtection="1">
      <protection hidden="1"/>
    </xf>
    <xf numFmtId="165" fontId="6" fillId="0" borderId="15" xfId="8" applyNumberFormat="1" applyBorder="1" applyProtection="1">
      <protection hidden="1"/>
    </xf>
    <xf numFmtId="3" fontId="6" fillId="0" borderId="0" xfId="8" applyNumberFormat="1" applyFill="1" applyProtection="1">
      <protection hidden="1"/>
    </xf>
    <xf numFmtId="0" fontId="6" fillId="0" borderId="12" xfId="8" applyFill="1" applyBorder="1" applyProtection="1">
      <protection hidden="1"/>
    </xf>
    <xf numFmtId="0" fontId="6" fillId="0" borderId="6" xfId="8" applyBorder="1" applyProtection="1">
      <protection hidden="1"/>
    </xf>
    <xf numFmtId="0" fontId="6" fillId="0" borderId="13" xfId="8" applyBorder="1" applyProtection="1">
      <protection hidden="1"/>
    </xf>
    <xf numFmtId="165" fontId="6" fillId="0" borderId="0" xfId="8" applyNumberFormat="1" applyFill="1" applyProtection="1">
      <protection hidden="1"/>
    </xf>
    <xf numFmtId="0" fontId="6" fillId="0" borderId="0" xfId="8" applyFill="1" applyBorder="1" applyProtection="1">
      <protection hidden="1"/>
    </xf>
    <xf numFmtId="168" fontId="6" fillId="0" borderId="0" xfId="8" applyNumberFormat="1" applyFill="1" applyProtection="1">
      <protection hidden="1"/>
    </xf>
    <xf numFmtId="0" fontId="6" fillId="0" borderId="0" xfId="8" applyProtection="1">
      <protection locked="0"/>
    </xf>
    <xf numFmtId="0" fontId="6" fillId="3" borderId="0" xfId="8" applyFill="1" applyProtection="1">
      <protection locked="0"/>
    </xf>
    <xf numFmtId="0" fontId="6" fillId="3" borderId="0" xfId="8" applyFill="1" applyBorder="1" applyProtection="1">
      <protection locked="0"/>
    </xf>
    <xf numFmtId="0" fontId="6" fillId="3" borderId="6" xfId="8" applyFill="1" applyBorder="1" applyProtection="1">
      <protection locked="0"/>
    </xf>
    <xf numFmtId="165" fontId="6" fillId="3" borderId="0" xfId="8" applyNumberFormat="1" applyFill="1" applyProtection="1">
      <protection locked="0"/>
    </xf>
    <xf numFmtId="168" fontId="6" fillId="3" borderId="0" xfId="8" applyNumberFormat="1" applyFill="1" applyProtection="1">
      <protection locked="0"/>
    </xf>
    <xf numFmtId="169" fontId="6" fillId="3" borderId="0" xfId="8" applyNumberFormat="1" applyFill="1" applyProtection="1">
      <protection locked="0"/>
    </xf>
    <xf numFmtId="9" fontId="0" fillId="0" borderId="0" xfId="7" applyFont="1" applyFill="1" applyBorder="1" applyProtection="1">
      <protection hidden="1"/>
    </xf>
    <xf numFmtId="0" fontId="25" fillId="0" borderId="0" xfId="6" applyProtection="1">
      <protection locked="0"/>
    </xf>
    <xf numFmtId="0" fontId="17" fillId="0" borderId="0" xfId="2" applyFill="1" applyBorder="1" applyAlignment="1" applyProtection="1">
      <protection locked="0"/>
    </xf>
    <xf numFmtId="0" fontId="25" fillId="3" borderId="7" xfId="6" applyFill="1" applyBorder="1" applyAlignment="1" applyProtection="1">
      <alignment horizontal="center"/>
      <protection locked="0"/>
    </xf>
    <xf numFmtId="0" fontId="25" fillId="3" borderId="8" xfId="6" applyFont="1" applyFill="1" applyBorder="1" applyAlignment="1" applyProtection="1">
      <alignment wrapText="1"/>
      <protection locked="0"/>
    </xf>
    <xf numFmtId="0" fontId="25" fillId="3" borderId="10" xfId="6" applyFont="1" applyFill="1" applyBorder="1" applyProtection="1">
      <protection locked="0"/>
    </xf>
    <xf numFmtId="0" fontId="25" fillId="3" borderId="4" xfId="6" applyNumberFormat="1" applyFill="1" applyBorder="1" applyAlignment="1" applyProtection="1">
      <alignment horizontal="center"/>
      <protection locked="0"/>
    </xf>
    <xf numFmtId="168" fontId="25" fillId="3" borderId="11" xfId="6" applyNumberFormat="1" applyFill="1" applyBorder="1" applyAlignment="1" applyProtection="1">
      <alignment horizontal="center"/>
      <protection locked="0"/>
    </xf>
    <xf numFmtId="0" fontId="25" fillId="3" borderId="12" xfId="6" applyFont="1" applyFill="1" applyBorder="1" applyProtection="1">
      <protection locked="0"/>
    </xf>
    <xf numFmtId="0" fontId="25" fillId="3" borderId="5" xfId="6" applyNumberFormat="1" applyFill="1" applyBorder="1" applyAlignment="1" applyProtection="1">
      <alignment horizontal="center"/>
      <protection locked="0"/>
    </xf>
    <xf numFmtId="168" fontId="25" fillId="3" borderId="13" xfId="6" applyNumberFormat="1" applyFill="1" applyBorder="1" applyAlignment="1" applyProtection="1">
      <alignment horizontal="center"/>
      <protection locked="0"/>
    </xf>
    <xf numFmtId="0" fontId="8" fillId="0" borderId="0" xfId="0" applyFont="1" applyFill="1" applyAlignment="1" applyProtection="1">
      <alignment horizontal="left"/>
      <protection hidden="1"/>
    </xf>
    <xf numFmtId="6" fontId="0" fillId="0" borderId="0" xfId="0" applyNumberFormat="1" applyProtection="1">
      <protection hidden="1"/>
    </xf>
    <xf numFmtId="0" fontId="11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6" fontId="10" fillId="0" borderId="0" xfId="0" applyNumberFormat="1" applyFont="1" applyFill="1" applyProtection="1">
      <protection hidden="1"/>
    </xf>
    <xf numFmtId="0" fontId="8" fillId="0" borderId="0" xfId="0" applyFont="1" applyFill="1" applyProtection="1">
      <protection hidden="1"/>
    </xf>
    <xf numFmtId="6" fontId="8" fillId="0" borderId="0" xfId="0" applyNumberFormat="1" applyFont="1" applyFill="1" applyProtection="1">
      <protection hidden="1"/>
    </xf>
    <xf numFmtId="166" fontId="0" fillId="0" borderId="0" xfId="0" applyNumberFormat="1" applyFill="1" applyProtection="1">
      <protection hidden="1"/>
    </xf>
    <xf numFmtId="166" fontId="0" fillId="3" borderId="0" xfId="0" applyNumberFormat="1" applyFill="1" applyProtection="1">
      <protection hidden="1"/>
    </xf>
    <xf numFmtId="166" fontId="0" fillId="0" borderId="0" xfId="1" applyNumberFormat="1" applyFont="1" applyProtection="1">
      <protection hidden="1"/>
    </xf>
    <xf numFmtId="166" fontId="0" fillId="0" borderId="0" xfId="0" applyNumberFormat="1" applyProtection="1">
      <protection hidden="1"/>
    </xf>
    <xf numFmtId="166" fontId="8" fillId="0" borderId="0" xfId="1" applyNumberFormat="1" applyFont="1" applyFill="1" applyProtection="1">
      <protection hidden="1"/>
    </xf>
    <xf numFmtId="6" fontId="0" fillId="0" borderId="0" xfId="0" applyNumberFormat="1" applyFill="1" applyProtection="1">
      <protection hidden="1"/>
    </xf>
    <xf numFmtId="166" fontId="10" fillId="0" borderId="0" xfId="0" applyNumberFormat="1" applyFont="1" applyFill="1" applyProtection="1">
      <protection hidden="1"/>
    </xf>
    <xf numFmtId="44" fontId="0" fillId="0" borderId="0" xfId="1" applyFont="1" applyFill="1" applyProtection="1">
      <protection hidden="1"/>
    </xf>
    <xf numFmtId="167" fontId="0" fillId="0" borderId="0" xfId="0" applyNumberFormat="1" applyProtection="1">
      <protection hidden="1"/>
    </xf>
    <xf numFmtId="166" fontId="10" fillId="0" borderId="0" xfId="0" applyNumberFormat="1" applyFont="1" applyProtection="1">
      <protection hidden="1"/>
    </xf>
    <xf numFmtId="0" fontId="0" fillId="0" borderId="0" xfId="0" applyNumberFormat="1" applyProtection="1">
      <protection hidden="1"/>
    </xf>
    <xf numFmtId="6" fontId="8" fillId="0" borderId="0" xfId="0" applyNumberFormat="1" applyFont="1" applyAlignment="1" applyProtection="1">
      <alignment horizontal="center"/>
      <protection hidden="1"/>
    </xf>
    <xf numFmtId="9" fontId="10" fillId="0" borderId="0" xfId="0" applyNumberFormat="1" applyFont="1" applyFill="1" applyProtection="1">
      <protection hidden="1"/>
    </xf>
    <xf numFmtId="43" fontId="0" fillId="0" borderId="0" xfId="0" applyNumberFormat="1" applyProtection="1">
      <protection hidden="1"/>
    </xf>
    <xf numFmtId="10" fontId="10" fillId="0" borderId="0" xfId="0" applyNumberFormat="1" applyFont="1" applyBorder="1" applyAlignment="1" applyProtection="1">
      <alignment horizontal="center" vertical="top" wrapText="1"/>
      <protection hidden="1"/>
    </xf>
    <xf numFmtId="10" fontId="10" fillId="0" borderId="0" xfId="0" applyNumberFormat="1" applyFont="1" applyAlignment="1" applyProtection="1">
      <alignment horizontal="center" vertical="top" wrapText="1"/>
      <protection hidden="1"/>
    </xf>
    <xf numFmtId="10" fontId="12" fillId="0" borderId="0" xfId="0" applyNumberFormat="1" applyFont="1" applyBorder="1" applyAlignment="1" applyProtection="1">
      <alignment horizontal="center" vertical="top" wrapText="1"/>
      <protection hidden="1"/>
    </xf>
    <xf numFmtId="10" fontId="12" fillId="0" borderId="0" xfId="0" applyNumberFormat="1" applyFont="1" applyAlignment="1" applyProtection="1">
      <alignment horizontal="center" vertical="top" wrapText="1"/>
      <protection hidden="1"/>
    </xf>
    <xf numFmtId="0" fontId="8" fillId="0" borderId="0" xfId="0" applyFont="1" applyProtection="1">
      <protection locked="0"/>
    </xf>
    <xf numFmtId="0" fontId="8" fillId="0" borderId="0" xfId="5" applyFont="1" applyProtection="1">
      <protection hidden="1"/>
    </xf>
    <xf numFmtId="8" fontId="7" fillId="0" borderId="0" xfId="5" applyNumberFormat="1" applyProtection="1">
      <protection hidden="1"/>
    </xf>
    <xf numFmtId="0" fontId="7" fillId="0" borderId="0" xfId="5" applyProtection="1">
      <protection hidden="1"/>
    </xf>
    <xf numFmtId="0" fontId="18" fillId="0" borderId="0" xfId="2" applyFont="1" applyFill="1" applyBorder="1" applyAlignment="1" applyProtection="1">
      <protection hidden="1"/>
    </xf>
    <xf numFmtId="8" fontId="7" fillId="0" borderId="0" xfId="5" applyNumberFormat="1" applyFill="1" applyBorder="1" applyProtection="1">
      <protection hidden="1"/>
    </xf>
    <xf numFmtId="0" fontId="7" fillId="0" borderId="0" xfId="5" applyFill="1" applyBorder="1" applyProtection="1">
      <protection hidden="1"/>
    </xf>
    <xf numFmtId="0" fontId="9" fillId="0" borderId="8" xfId="5" applyFont="1" applyBorder="1" applyProtection="1">
      <protection hidden="1"/>
    </xf>
    <xf numFmtId="0" fontId="7" fillId="0" borderId="9" xfId="5" applyFill="1" applyBorder="1" applyProtection="1">
      <protection hidden="1"/>
    </xf>
    <xf numFmtId="0" fontId="7" fillId="0" borderId="10" xfId="5" applyBorder="1" applyProtection="1">
      <protection hidden="1"/>
    </xf>
    <xf numFmtId="10" fontId="7" fillId="0" borderId="0" xfId="5" applyNumberFormat="1" applyFill="1" applyBorder="1" applyProtection="1">
      <protection hidden="1"/>
    </xf>
    <xf numFmtId="10" fontId="7" fillId="0" borderId="11" xfId="5" applyNumberFormat="1" applyFill="1" applyBorder="1" applyProtection="1">
      <protection hidden="1"/>
    </xf>
    <xf numFmtId="0" fontId="7" fillId="0" borderId="12" xfId="5" applyBorder="1" applyProtection="1">
      <protection hidden="1"/>
    </xf>
    <xf numFmtId="8" fontId="7" fillId="0" borderId="0" xfId="5" applyNumberFormat="1" applyFill="1" applyProtection="1">
      <protection hidden="1"/>
    </xf>
    <xf numFmtId="0" fontId="9" fillId="0" borderId="0" xfId="5" applyFont="1" applyAlignment="1" applyProtection="1">
      <alignment horizontal="center"/>
      <protection hidden="1"/>
    </xf>
    <xf numFmtId="8" fontId="9" fillId="0" borderId="0" xfId="5" applyNumberFormat="1" applyFont="1" applyAlignment="1" applyProtection="1">
      <alignment horizontal="center"/>
      <protection hidden="1"/>
    </xf>
    <xf numFmtId="8" fontId="9" fillId="0" borderId="0" xfId="5" applyNumberFormat="1" applyFont="1" applyFill="1" applyAlignment="1" applyProtection="1">
      <alignment horizontal="center"/>
      <protection hidden="1"/>
    </xf>
    <xf numFmtId="8" fontId="9" fillId="0" borderId="0" xfId="5" applyNumberFormat="1" applyFont="1" applyProtection="1">
      <protection hidden="1"/>
    </xf>
    <xf numFmtId="6" fontId="7" fillId="0" borderId="0" xfId="5" applyNumberFormat="1" applyFill="1" applyProtection="1">
      <protection hidden="1"/>
    </xf>
    <xf numFmtId="6" fontId="7" fillId="0" borderId="0" xfId="5" applyNumberFormat="1" applyProtection="1">
      <protection hidden="1"/>
    </xf>
    <xf numFmtId="0" fontId="7" fillId="0" borderId="0" xfId="5" applyNumberFormat="1" applyFill="1" applyAlignment="1" applyProtection="1">
      <alignment horizontal="center"/>
      <protection hidden="1"/>
    </xf>
    <xf numFmtId="9" fontId="0" fillId="0" borderId="0" xfId="3" applyFont="1" applyProtection="1">
      <protection hidden="1"/>
    </xf>
    <xf numFmtId="0" fontId="8" fillId="0" borderId="0" xfId="5" applyFont="1" applyFill="1" applyProtection="1">
      <protection hidden="1"/>
    </xf>
    <xf numFmtId="6" fontId="7" fillId="0" borderId="6" xfId="5" applyNumberFormat="1" applyFill="1" applyBorder="1" applyProtection="1">
      <protection hidden="1"/>
    </xf>
    <xf numFmtId="8" fontId="7" fillId="0" borderId="6" xfId="5" applyNumberFormat="1" applyBorder="1" applyProtection="1">
      <protection hidden="1"/>
    </xf>
    <xf numFmtId="6" fontId="7" fillId="0" borderId="6" xfId="5" applyNumberFormat="1" applyBorder="1" applyProtection="1">
      <protection hidden="1"/>
    </xf>
    <xf numFmtId="0" fontId="8" fillId="0" borderId="2" xfId="5" applyFont="1" applyBorder="1" applyProtection="1">
      <protection hidden="1"/>
    </xf>
    <xf numFmtId="6" fontId="7" fillId="0" borderId="2" xfId="5" applyNumberFormat="1" applyBorder="1" applyProtection="1">
      <protection hidden="1"/>
    </xf>
    <xf numFmtId="6" fontId="7" fillId="0" borderId="0" xfId="5" applyNumberFormat="1" applyBorder="1" applyProtection="1">
      <protection hidden="1"/>
    </xf>
    <xf numFmtId="8" fontId="7" fillId="0" borderId="2" xfId="5" applyNumberFormat="1" applyBorder="1" applyProtection="1">
      <protection hidden="1"/>
    </xf>
    <xf numFmtId="9" fontId="0" fillId="0" borderId="0" xfId="0" applyNumberFormat="1" applyProtection="1">
      <protection hidden="1"/>
    </xf>
    <xf numFmtId="9" fontId="9" fillId="0" borderId="0" xfId="0" applyNumberFormat="1" applyFont="1" applyAlignment="1" applyProtection="1">
      <alignment horizontal="center"/>
      <protection hidden="1"/>
    </xf>
    <xf numFmtId="9" fontId="7" fillId="0" borderId="0" xfId="3" applyFont="1" applyFill="1" applyProtection="1">
      <protection hidden="1"/>
    </xf>
    <xf numFmtId="9" fontId="0" fillId="0" borderId="0" xfId="3" applyFont="1" applyFill="1" applyProtection="1">
      <protection hidden="1"/>
    </xf>
    <xf numFmtId="9" fontId="10" fillId="0" borderId="0" xfId="0" applyNumberFormat="1" applyFont="1" applyProtection="1">
      <protection hidden="1"/>
    </xf>
    <xf numFmtId="38" fontId="8" fillId="0" borderId="0" xfId="0" applyNumberFormat="1" applyFont="1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164" fontId="0" fillId="0" borderId="0" xfId="0" applyNumberFormat="1" applyFill="1" applyProtection="1">
      <protection hidden="1"/>
    </xf>
    <xf numFmtId="165" fontId="0" fillId="0" borderId="0" xfId="1" applyNumberFormat="1" applyFont="1" applyProtection="1">
      <protection hidden="1"/>
    </xf>
    <xf numFmtId="166" fontId="10" fillId="0" borderId="0" xfId="1" applyNumberFormat="1" applyFont="1" applyProtection="1">
      <protection hidden="1"/>
    </xf>
    <xf numFmtId="9" fontId="0" fillId="3" borderId="0" xfId="3" applyFont="1" applyFill="1" applyProtection="1">
      <protection locked="0"/>
    </xf>
    <xf numFmtId="10" fontId="0" fillId="0" borderId="0" xfId="0" applyNumberFormat="1" applyFill="1" applyProtection="1">
      <protection hidden="1"/>
    </xf>
    <xf numFmtId="0" fontId="0" fillId="0" borderId="0" xfId="0" applyNumberFormat="1" applyFill="1" applyProtection="1">
      <protection hidden="1"/>
    </xf>
    <xf numFmtId="8" fontId="0" fillId="0" borderId="0" xfId="0" applyNumberFormat="1" applyProtection="1">
      <protection hidden="1"/>
    </xf>
    <xf numFmtId="10" fontId="0" fillId="0" borderId="0" xfId="0" applyNumberFormat="1" applyProtection="1">
      <protection hidden="1"/>
    </xf>
    <xf numFmtId="0" fontId="0" fillId="0" borderId="0" xfId="0" applyProtection="1">
      <protection locked="0"/>
    </xf>
    <xf numFmtId="6" fontId="0" fillId="3" borderId="3" xfId="0" applyNumberFormat="1" applyFill="1" applyBorder="1" applyProtection="1">
      <protection locked="0"/>
    </xf>
    <xf numFmtId="10" fontId="0" fillId="3" borderId="5" xfId="0" applyNumberFormat="1" applyFill="1" applyBorder="1" applyProtection="1">
      <protection locked="0"/>
    </xf>
    <xf numFmtId="166" fontId="8" fillId="0" borderId="0" xfId="1" applyNumberFormat="1" applyFont="1" applyProtection="1">
      <protection hidden="1"/>
    </xf>
    <xf numFmtId="0" fontId="19" fillId="0" borderId="0" xfId="0" applyFont="1" applyProtection="1">
      <protection hidden="1"/>
    </xf>
    <xf numFmtId="10" fontId="0" fillId="3" borderId="7" xfId="0" applyNumberFormat="1" applyFill="1" applyBorder="1" applyProtection="1">
      <protection locked="0"/>
    </xf>
    <xf numFmtId="0" fontId="9" fillId="0" borderId="0" xfId="0" applyFont="1" applyProtection="1">
      <protection hidden="1"/>
    </xf>
    <xf numFmtId="6" fontId="8" fillId="0" borderId="0" xfId="0" applyNumberFormat="1" applyFont="1" applyProtection="1">
      <protection hidden="1"/>
    </xf>
    <xf numFmtId="166" fontId="8" fillId="0" borderId="0" xfId="0" applyNumberFormat="1" applyFont="1" applyProtection="1">
      <protection hidden="1"/>
    </xf>
    <xf numFmtId="44" fontId="0" fillId="0" borderId="0" xfId="1" applyFont="1" applyProtection="1">
      <protection hidden="1"/>
    </xf>
    <xf numFmtId="9" fontId="8" fillId="0" borderId="0" xfId="0" applyNumberFormat="1" applyFont="1" applyProtection="1">
      <protection hidden="1"/>
    </xf>
    <xf numFmtId="6" fontId="0" fillId="0" borderId="3" xfId="0" applyNumberFormat="1" applyBorder="1" applyProtection="1">
      <protection hidden="1"/>
    </xf>
    <xf numFmtId="10" fontId="0" fillId="0" borderId="4" xfId="0" applyNumberFormat="1" applyBorder="1" applyProtection="1">
      <protection hidden="1"/>
    </xf>
    <xf numFmtId="2" fontId="0" fillId="0" borderId="5" xfId="0" applyNumberFormat="1" applyBorder="1" applyProtection="1">
      <protection hidden="1"/>
    </xf>
    <xf numFmtId="2" fontId="0" fillId="0" borderId="0" xfId="0" applyNumberFormat="1" applyBorder="1" applyProtection="1">
      <protection hidden="1"/>
    </xf>
    <xf numFmtId="0" fontId="9" fillId="0" borderId="0" xfId="0" applyFont="1" applyFill="1" applyBorder="1" applyProtection="1">
      <protection hidden="1"/>
    </xf>
    <xf numFmtId="10" fontId="0" fillId="0" borderId="0" xfId="3" applyNumberFormat="1" applyFont="1" applyProtection="1">
      <protection hidden="1"/>
    </xf>
    <xf numFmtId="1" fontId="0" fillId="0" borderId="0" xfId="0" applyNumberFormat="1" applyProtection="1">
      <protection hidden="1"/>
    </xf>
    <xf numFmtId="0" fontId="8" fillId="0" borderId="0" xfId="0" applyFont="1" applyFill="1" applyBorder="1" applyProtection="1">
      <protection hidden="1"/>
    </xf>
    <xf numFmtId="1" fontId="0" fillId="0" borderId="0" xfId="1" applyNumberFormat="1" applyFont="1" applyProtection="1">
      <protection hidden="1"/>
    </xf>
    <xf numFmtId="10" fontId="8" fillId="3" borderId="7" xfId="0" applyNumberFormat="1" applyFont="1" applyFill="1" applyBorder="1" applyProtection="1">
      <protection locked="0"/>
    </xf>
    <xf numFmtId="0" fontId="4" fillId="0" borderId="0" xfId="8" applyFont="1" applyProtection="1">
      <protection hidden="1"/>
    </xf>
    <xf numFmtId="0" fontId="0" fillId="0" borderId="0" xfId="0" applyBorder="1" applyProtection="1">
      <protection hidden="1"/>
    </xf>
    <xf numFmtId="165" fontId="0" fillId="3" borderId="9" xfId="0" applyNumberFormat="1" applyFill="1" applyBorder="1" applyProtection="1">
      <protection hidden="1"/>
    </xf>
    <xf numFmtId="165" fontId="0" fillId="0" borderId="11" xfId="0" applyNumberFormat="1" applyBorder="1" applyProtection="1">
      <protection hidden="1"/>
    </xf>
    <xf numFmtId="10" fontId="0" fillId="3" borderId="11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6" fontId="0" fillId="0" borderId="13" xfId="0" applyNumberFormat="1" applyFill="1" applyBorder="1" applyProtection="1">
      <protection hidden="1"/>
    </xf>
    <xf numFmtId="0" fontId="33" fillId="0" borderId="0" xfId="0" applyFont="1" applyAlignment="1" applyProtection="1">
      <alignment horizontal="center"/>
      <protection hidden="1"/>
    </xf>
    <xf numFmtId="0" fontId="0" fillId="4" borderId="0" xfId="0" applyFill="1" applyProtection="1">
      <protection hidden="1"/>
    </xf>
    <xf numFmtId="0" fontId="25" fillId="0" borderId="8" xfId="6" applyBorder="1" applyProtection="1">
      <protection hidden="1"/>
    </xf>
    <xf numFmtId="168" fontId="25" fillId="0" borderId="9" xfId="6" applyNumberFormat="1" applyBorder="1" applyProtection="1">
      <protection hidden="1"/>
    </xf>
    <xf numFmtId="0" fontId="25" fillId="3" borderId="11" xfId="6" applyFill="1" applyBorder="1" applyProtection="1">
      <protection locked="0"/>
    </xf>
    <xf numFmtId="9" fontId="25" fillId="3" borderId="11" xfId="3" applyFont="1" applyFill="1" applyBorder="1" applyProtection="1">
      <protection locked="0"/>
    </xf>
    <xf numFmtId="168" fontId="25" fillId="3" borderId="11" xfId="6" applyNumberFormat="1" applyFill="1" applyBorder="1" applyProtection="1">
      <protection locked="0"/>
    </xf>
    <xf numFmtId="8" fontId="25" fillId="0" borderId="11" xfId="6" applyNumberFormat="1" applyBorder="1" applyProtection="1">
      <protection hidden="1"/>
    </xf>
    <xf numFmtId="10" fontId="25" fillId="0" borderId="13" xfId="3" applyNumberFormat="1" applyFont="1" applyBorder="1" applyProtection="1">
      <protection hidden="1"/>
    </xf>
    <xf numFmtId="0" fontId="27" fillId="0" borderId="0" xfId="6" applyFont="1" applyProtection="1">
      <protection hidden="1"/>
    </xf>
    <xf numFmtId="0" fontId="3" fillId="0" borderId="0" xfId="8" applyFont="1" applyProtection="1">
      <protection hidden="1"/>
    </xf>
    <xf numFmtId="0" fontId="37" fillId="0" borderId="10" xfId="8" applyFont="1" applyBorder="1" applyProtection="1">
      <protection hidden="1"/>
    </xf>
    <xf numFmtId="165" fontId="6" fillId="0" borderId="6" xfId="8" applyNumberFormat="1" applyBorder="1" applyProtection="1">
      <protection hidden="1"/>
    </xf>
    <xf numFmtId="165" fontId="6" fillId="0" borderId="13" xfId="8" applyNumberFormat="1" applyBorder="1" applyProtection="1">
      <protection hidden="1"/>
    </xf>
    <xf numFmtId="0" fontId="1" fillId="0" borderId="8" xfId="8" applyFont="1" applyBorder="1" applyProtection="1">
      <protection hidden="1"/>
    </xf>
    <xf numFmtId="0" fontId="6" fillId="3" borderId="0" xfId="8" applyFill="1" applyProtection="1">
      <protection hidden="1"/>
    </xf>
    <xf numFmtId="0" fontId="1" fillId="0" borderId="0" xfId="8" applyFont="1" applyProtection="1">
      <protection hidden="1"/>
    </xf>
    <xf numFmtId="0" fontId="37" fillId="0" borderId="0" xfId="8" applyFont="1" applyBorder="1" applyAlignment="1" applyProtection="1">
      <alignment horizontal="center"/>
      <protection hidden="1"/>
    </xf>
    <xf numFmtId="0" fontId="37" fillId="0" borderId="11" xfId="8" applyFont="1" applyBorder="1" applyAlignment="1" applyProtection="1">
      <alignment horizontal="center"/>
      <protection hidden="1"/>
    </xf>
    <xf numFmtId="165" fontId="6" fillId="0" borderId="12" xfId="8" applyNumberFormat="1" applyBorder="1" applyProtection="1">
      <protection hidden="1"/>
    </xf>
    <xf numFmtId="0" fontId="6" fillId="0" borderId="14" xfId="8" applyBorder="1" applyProtection="1">
      <protection hidden="1"/>
    </xf>
    <xf numFmtId="168" fontId="6" fillId="0" borderId="16" xfId="8" applyNumberFormat="1" applyBorder="1" applyProtection="1">
      <protection hidden="1"/>
    </xf>
    <xf numFmtId="165" fontId="6" fillId="0" borderId="16" xfId="8" applyNumberFormat="1" applyBorder="1" applyProtection="1">
      <protection hidden="1"/>
    </xf>
    <xf numFmtId="165" fontId="6" fillId="0" borderId="3" xfId="8" applyNumberFormat="1" applyBorder="1" applyProtection="1">
      <protection hidden="1"/>
    </xf>
    <xf numFmtId="165" fontId="6" fillId="0" borderId="4" xfId="8" applyNumberFormat="1" applyBorder="1" applyProtection="1">
      <protection hidden="1"/>
    </xf>
    <xf numFmtId="165" fontId="6" fillId="0" borderId="5" xfId="8" applyNumberFormat="1" applyBorder="1" applyProtection="1">
      <protection hidden="1"/>
    </xf>
    <xf numFmtId="0" fontId="15" fillId="5" borderId="17" xfId="0" applyFont="1" applyFill="1" applyBorder="1" applyProtection="1">
      <protection hidden="1"/>
    </xf>
    <xf numFmtId="0" fontId="0" fillId="5" borderId="18" xfId="0" applyFill="1" applyBorder="1" applyProtection="1">
      <protection hidden="1"/>
    </xf>
    <xf numFmtId="0" fontId="0" fillId="5" borderId="19" xfId="0" applyFill="1" applyBorder="1" applyProtection="1">
      <protection hidden="1"/>
    </xf>
    <xf numFmtId="0" fontId="15" fillId="5" borderId="20" xfId="0" applyFont="1" applyFill="1" applyBorder="1" applyProtection="1">
      <protection hidden="1"/>
    </xf>
    <xf numFmtId="0" fontId="0" fillId="5" borderId="0" xfId="0" applyFill="1" applyBorder="1" applyProtection="1">
      <protection hidden="1"/>
    </xf>
    <xf numFmtId="0" fontId="0" fillId="5" borderId="21" xfId="0" applyFill="1" applyBorder="1" applyProtection="1">
      <protection hidden="1"/>
    </xf>
    <xf numFmtId="0" fontId="15" fillId="5" borderId="22" xfId="0" applyFont="1" applyFill="1" applyBorder="1" applyProtection="1">
      <protection hidden="1"/>
    </xf>
    <xf numFmtId="0" fontId="0" fillId="5" borderId="23" xfId="0" applyFill="1" applyBorder="1" applyProtection="1">
      <protection hidden="1"/>
    </xf>
    <xf numFmtId="0" fontId="0" fillId="5" borderId="24" xfId="0" applyFill="1" applyBorder="1" applyProtection="1">
      <protection hidden="1"/>
    </xf>
    <xf numFmtId="0" fontId="6" fillId="4" borderId="0" xfId="8" applyFill="1" applyProtection="1">
      <protection hidden="1"/>
    </xf>
    <xf numFmtId="0" fontId="6" fillId="4" borderId="0" xfId="8" applyFill="1" applyProtection="1">
      <protection locked="0"/>
    </xf>
    <xf numFmtId="0" fontId="1" fillId="4" borderId="0" xfId="8" applyFont="1" applyFill="1" applyProtection="1">
      <protection locked="0"/>
    </xf>
    <xf numFmtId="0" fontId="2" fillId="4" borderId="0" xfId="8" applyFont="1" applyFill="1" applyProtection="1">
      <protection locked="0"/>
    </xf>
    <xf numFmtId="0" fontId="0" fillId="4" borderId="7" xfId="0" applyFill="1" applyBorder="1" applyProtection="1"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38" fillId="0" borderId="0" xfId="0" applyFont="1" applyFill="1" applyBorder="1" applyProtection="1">
      <protection hidden="1"/>
    </xf>
    <xf numFmtId="0" fontId="7" fillId="0" borderId="0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7" fillId="0" borderId="0" xfId="0" applyFont="1" applyProtection="1">
      <protection locked="0"/>
    </xf>
    <xf numFmtId="0" fontId="36" fillId="0" borderId="0" xfId="2" applyFont="1" applyFill="1" applyBorder="1" applyAlignment="1" applyProtection="1">
      <protection hidden="1"/>
    </xf>
    <xf numFmtId="0" fontId="33" fillId="0" borderId="0" xfId="0" applyFont="1" applyProtection="1">
      <protection hidden="1"/>
    </xf>
    <xf numFmtId="0" fontId="36" fillId="0" borderId="0" xfId="2" applyFont="1" applyFill="1" applyBorder="1" applyAlignment="1" applyProtection="1">
      <protection locked="0"/>
    </xf>
    <xf numFmtId="0" fontId="36" fillId="0" borderId="0" xfId="2" applyFont="1" applyAlignment="1" applyProtection="1">
      <protection locked="0"/>
    </xf>
    <xf numFmtId="0" fontId="7" fillId="0" borderId="12" xfId="0" applyFont="1" applyBorder="1" applyProtection="1">
      <protection hidden="1"/>
    </xf>
    <xf numFmtId="0" fontId="0" fillId="0" borderId="6" xfId="0" applyBorder="1" applyProtection="1">
      <protection hidden="1"/>
    </xf>
    <xf numFmtId="0" fontId="0" fillId="0" borderId="10" xfId="0" applyBorder="1" applyProtection="1">
      <protection hidden="1"/>
    </xf>
    <xf numFmtId="0" fontId="0" fillId="0" borderId="0" xfId="0" applyBorder="1" applyProtection="1">
      <protection hidden="1"/>
    </xf>
    <xf numFmtId="0" fontId="7" fillId="0" borderId="8" xfId="0" applyFont="1" applyBorder="1" applyProtection="1">
      <protection hidden="1"/>
    </xf>
    <xf numFmtId="0" fontId="0" fillId="0" borderId="2" xfId="0" applyBorder="1" applyProtection="1">
      <protection hidden="1"/>
    </xf>
    <xf numFmtId="0" fontId="7" fillId="0" borderId="10" xfId="0" applyFont="1" applyBorder="1" applyProtection="1">
      <protection hidden="1"/>
    </xf>
    <xf numFmtId="0" fontId="6" fillId="0" borderId="0" xfId="8" applyAlignment="1" applyProtection="1">
      <alignment horizontal="center"/>
      <protection hidden="1"/>
    </xf>
    <xf numFmtId="0" fontId="6" fillId="0" borderId="0" xfId="8" applyBorder="1" applyAlignment="1" applyProtection="1">
      <alignment horizontal="center"/>
      <protection hidden="1"/>
    </xf>
    <xf numFmtId="0" fontId="6" fillId="0" borderId="11" xfId="8" applyBorder="1" applyAlignment="1" applyProtection="1">
      <alignment horizontal="center"/>
      <protection hidden="1"/>
    </xf>
    <xf numFmtId="0" fontId="26" fillId="0" borderId="0" xfId="6" applyFont="1" applyAlignment="1" applyProtection="1">
      <alignment horizontal="center"/>
      <protection hidden="1"/>
    </xf>
    <xf numFmtId="0" fontId="0" fillId="0" borderId="0" xfId="0" applyFill="1" applyProtection="1">
      <protection hidden="1"/>
    </xf>
    <xf numFmtId="0" fontId="0" fillId="3" borderId="0" xfId="0" applyFill="1" applyProtection="1">
      <protection hidden="1"/>
    </xf>
    <xf numFmtId="0" fontId="7" fillId="0" borderId="0" xfId="0" applyFont="1" applyFill="1" applyProtection="1">
      <protection hidden="1"/>
    </xf>
    <xf numFmtId="0" fontId="18" fillId="0" borderId="0" xfId="2" applyFont="1" applyFill="1" applyBorder="1" applyAlignment="1" applyProtection="1">
      <protection hidden="1"/>
    </xf>
  </cellXfs>
  <cellStyles count="9">
    <cellStyle name="Comma" xfId="4" builtinId="3"/>
    <cellStyle name="Currency" xfId="1" builtinId="4"/>
    <cellStyle name="Hyperlink" xfId="2" builtinId="8"/>
    <cellStyle name="Normal" xfId="0" builtinId="0"/>
    <cellStyle name="Normal 2" xfId="5"/>
    <cellStyle name="Normal 3" xfId="6"/>
    <cellStyle name="Normal 4" xfId="8"/>
    <cellStyle name="Percent" xfId="3" builtinId="5"/>
    <cellStyle name="Percent 2" xfId="7"/>
  </cellStyles>
  <dxfs count="0"/>
  <tableStyles count="0" defaultTableStyle="TableStyleMedium9" defaultPivotStyle="PivotStyleLight16"/>
  <colors>
    <mruColors>
      <color rgb="FFEAEAEA"/>
      <color rgb="FF99FFCC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5</xdr:col>
      <xdr:colOff>666750</xdr:colOff>
      <xdr:row>4</xdr:row>
      <xdr:rowOff>151586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0"/>
          <a:ext cx="3933824" cy="79928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26</xdr:row>
          <xdr:rowOff>0</xdr:rowOff>
        </xdr:from>
        <xdr:to>
          <xdr:col>9</xdr:col>
          <xdr:colOff>371475</xdr:colOff>
          <xdr:row>31</xdr:row>
          <xdr:rowOff>161925</xdr:rowOff>
        </xdr:to>
        <xdr:sp macro="" textlink="">
          <xdr:nvSpPr>
            <xdr:cNvPr id="21507" name="Object 3" hidden="1">
              <a:extLst>
                <a:ext uri="{63B3BB69-23CF-44E3-9099-C40C66FF867C}">
                  <a14:compatExt spid="_x0000_s21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50</xdr:row>
      <xdr:rowOff>28575</xdr:rowOff>
    </xdr:from>
    <xdr:to>
      <xdr:col>6</xdr:col>
      <xdr:colOff>838200</xdr:colOff>
      <xdr:row>75</xdr:row>
      <xdr:rowOff>47625</xdr:rowOff>
    </xdr:to>
    <xdr:sp macro="" textlink="" fLocksText="0">
      <xdr:nvSpPr>
        <xdr:cNvPr id="2" name="TextBox 1"/>
        <xdr:cNvSpPr txBox="1"/>
      </xdr:nvSpPr>
      <xdr:spPr>
        <a:xfrm>
          <a:off x="4381500" y="8124825"/>
          <a:ext cx="3533775" cy="40671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 fLocksWithSheet="0"/>
  </xdr:twoCellAnchor>
  <xdr:twoCellAnchor>
    <xdr:from>
      <xdr:col>8</xdr:col>
      <xdr:colOff>0</xdr:colOff>
      <xdr:row>50</xdr:row>
      <xdr:rowOff>0</xdr:rowOff>
    </xdr:from>
    <xdr:to>
      <xdr:col>9</xdr:col>
      <xdr:colOff>819150</xdr:colOff>
      <xdr:row>75</xdr:row>
      <xdr:rowOff>19050</xdr:rowOff>
    </xdr:to>
    <xdr:sp macro="" textlink="" fLocksText="0">
      <xdr:nvSpPr>
        <xdr:cNvPr id="3" name="TextBox 2"/>
        <xdr:cNvSpPr txBox="1"/>
      </xdr:nvSpPr>
      <xdr:spPr>
        <a:xfrm>
          <a:off x="8305800" y="8096250"/>
          <a:ext cx="3533775" cy="40671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 fLocksWithSheet="0"/>
  </xdr:twoCellAnchor>
  <xdr:twoCellAnchor>
    <xdr:from>
      <xdr:col>11</xdr:col>
      <xdr:colOff>0</xdr:colOff>
      <xdr:row>50</xdr:row>
      <xdr:rowOff>0</xdr:rowOff>
    </xdr:from>
    <xdr:to>
      <xdr:col>12</xdr:col>
      <xdr:colOff>819150</xdr:colOff>
      <xdr:row>75</xdr:row>
      <xdr:rowOff>19050</xdr:rowOff>
    </xdr:to>
    <xdr:sp macro="" textlink="" fLocksText="0">
      <xdr:nvSpPr>
        <xdr:cNvPr id="4" name="TextBox 3"/>
        <xdr:cNvSpPr txBox="1"/>
      </xdr:nvSpPr>
      <xdr:spPr>
        <a:xfrm>
          <a:off x="12249150" y="8096250"/>
          <a:ext cx="3533775" cy="40671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 fLocksWithSheet="0"/>
  </xdr:twoCellAnchor>
  <xdr:twoCellAnchor>
    <xdr:from>
      <xdr:col>14</xdr:col>
      <xdr:colOff>0</xdr:colOff>
      <xdr:row>50</xdr:row>
      <xdr:rowOff>0</xdr:rowOff>
    </xdr:from>
    <xdr:to>
      <xdr:col>15</xdr:col>
      <xdr:colOff>819150</xdr:colOff>
      <xdr:row>75</xdr:row>
      <xdr:rowOff>19050</xdr:rowOff>
    </xdr:to>
    <xdr:sp macro="" textlink="" fLocksText="0">
      <xdr:nvSpPr>
        <xdr:cNvPr id="5" name="TextBox 4"/>
        <xdr:cNvSpPr txBox="1"/>
      </xdr:nvSpPr>
      <xdr:spPr>
        <a:xfrm>
          <a:off x="16192500" y="8096250"/>
          <a:ext cx="3533775" cy="40671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 fLocksWithSheet="0"/>
  </xdr:twoCellAnchor>
  <xdr:twoCellAnchor>
    <xdr:from>
      <xdr:col>17</xdr:col>
      <xdr:colOff>0</xdr:colOff>
      <xdr:row>50</xdr:row>
      <xdr:rowOff>0</xdr:rowOff>
    </xdr:from>
    <xdr:to>
      <xdr:col>18</xdr:col>
      <xdr:colOff>819150</xdr:colOff>
      <xdr:row>75</xdr:row>
      <xdr:rowOff>19050</xdr:rowOff>
    </xdr:to>
    <xdr:sp macro="" textlink="" fLocksText="0">
      <xdr:nvSpPr>
        <xdr:cNvPr id="6" name="TextBox 5"/>
        <xdr:cNvSpPr txBox="1"/>
      </xdr:nvSpPr>
      <xdr:spPr>
        <a:xfrm>
          <a:off x="20135850" y="8096250"/>
          <a:ext cx="3533775" cy="40671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 fLocksWithSheet="0"/>
  </xdr:twoCellAnchor>
  <xdr:twoCellAnchor>
    <xdr:from>
      <xdr:col>20</xdr:col>
      <xdr:colOff>0</xdr:colOff>
      <xdr:row>50</xdr:row>
      <xdr:rowOff>0</xdr:rowOff>
    </xdr:from>
    <xdr:to>
      <xdr:col>21</xdr:col>
      <xdr:colOff>819150</xdr:colOff>
      <xdr:row>75</xdr:row>
      <xdr:rowOff>19050</xdr:rowOff>
    </xdr:to>
    <xdr:sp macro="" textlink="" fLocksText="0">
      <xdr:nvSpPr>
        <xdr:cNvPr id="7" name="TextBox 6"/>
        <xdr:cNvSpPr txBox="1"/>
      </xdr:nvSpPr>
      <xdr:spPr>
        <a:xfrm>
          <a:off x="24079200" y="8096250"/>
          <a:ext cx="3533775" cy="40671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 fLocksWithSheet="0"/>
  </xdr:twoCellAnchor>
  <xdr:twoCellAnchor>
    <xdr:from>
      <xdr:col>23</xdr:col>
      <xdr:colOff>0</xdr:colOff>
      <xdr:row>50</xdr:row>
      <xdr:rowOff>0</xdr:rowOff>
    </xdr:from>
    <xdr:to>
      <xdr:col>24</xdr:col>
      <xdr:colOff>819150</xdr:colOff>
      <xdr:row>75</xdr:row>
      <xdr:rowOff>19050</xdr:rowOff>
    </xdr:to>
    <xdr:sp macro="" textlink="" fLocksText="0">
      <xdr:nvSpPr>
        <xdr:cNvPr id="8" name="TextBox 7"/>
        <xdr:cNvSpPr txBox="1"/>
      </xdr:nvSpPr>
      <xdr:spPr>
        <a:xfrm>
          <a:off x="28022550" y="8096250"/>
          <a:ext cx="3533775" cy="40671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 fLocksWithSheet="0"/>
  </xdr:twoCellAnchor>
  <xdr:twoCellAnchor>
    <xdr:from>
      <xdr:col>26</xdr:col>
      <xdr:colOff>0</xdr:colOff>
      <xdr:row>50</xdr:row>
      <xdr:rowOff>0</xdr:rowOff>
    </xdr:from>
    <xdr:to>
      <xdr:col>27</xdr:col>
      <xdr:colOff>819150</xdr:colOff>
      <xdr:row>75</xdr:row>
      <xdr:rowOff>19050</xdr:rowOff>
    </xdr:to>
    <xdr:sp macro="" textlink="" fLocksText="0">
      <xdr:nvSpPr>
        <xdr:cNvPr id="9" name="TextBox 8"/>
        <xdr:cNvSpPr txBox="1"/>
      </xdr:nvSpPr>
      <xdr:spPr>
        <a:xfrm>
          <a:off x="31965900" y="8096250"/>
          <a:ext cx="3533775" cy="40671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 fLocksWithSheet="0"/>
  </xdr:twoCellAnchor>
  <xdr:twoCellAnchor>
    <xdr:from>
      <xdr:col>29</xdr:col>
      <xdr:colOff>0</xdr:colOff>
      <xdr:row>50</xdr:row>
      <xdr:rowOff>0</xdr:rowOff>
    </xdr:from>
    <xdr:to>
      <xdr:col>30</xdr:col>
      <xdr:colOff>819150</xdr:colOff>
      <xdr:row>75</xdr:row>
      <xdr:rowOff>19050</xdr:rowOff>
    </xdr:to>
    <xdr:sp macro="" textlink="" fLocksText="0">
      <xdr:nvSpPr>
        <xdr:cNvPr id="10" name="TextBox 9"/>
        <xdr:cNvSpPr txBox="1"/>
      </xdr:nvSpPr>
      <xdr:spPr>
        <a:xfrm>
          <a:off x="35909250" y="8096250"/>
          <a:ext cx="3533775" cy="40671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 fLocksWithSheet="0"/>
  </xdr:twoCellAnchor>
  <xdr:twoCellAnchor>
    <xdr:from>
      <xdr:col>32</xdr:col>
      <xdr:colOff>0</xdr:colOff>
      <xdr:row>50</xdr:row>
      <xdr:rowOff>0</xdr:rowOff>
    </xdr:from>
    <xdr:to>
      <xdr:col>33</xdr:col>
      <xdr:colOff>819150</xdr:colOff>
      <xdr:row>75</xdr:row>
      <xdr:rowOff>19050</xdr:rowOff>
    </xdr:to>
    <xdr:sp macro="" textlink="" fLocksText="0">
      <xdr:nvSpPr>
        <xdr:cNvPr id="11" name="TextBox 10"/>
        <xdr:cNvSpPr txBox="1"/>
      </xdr:nvSpPr>
      <xdr:spPr>
        <a:xfrm>
          <a:off x="39852600" y="8096250"/>
          <a:ext cx="3533775" cy="40671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n-Farm%20Equipment/On-Farm%20Inspected%20Kitchen%20Template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ilities"/>
      <sheetName val="Variable Costs &amp; Pricing"/>
      <sheetName val="Net Returns"/>
      <sheetName val="Farm Fresh Equiv Pricing"/>
    </sheetNames>
    <sheetDataSet>
      <sheetData sheetId="0">
        <row r="6">
          <cell r="C6">
            <v>60</v>
          </cell>
        </row>
        <row r="204">
          <cell r="B204" t="str">
            <v>A = All</v>
          </cell>
          <cell r="C204" t="str">
            <v>A</v>
          </cell>
        </row>
        <row r="205">
          <cell r="B205" t="str">
            <v>B = Baking</v>
          </cell>
          <cell r="C205" t="str">
            <v>B</v>
          </cell>
        </row>
        <row r="206">
          <cell r="B206" t="str">
            <v>C = Canning</v>
          </cell>
          <cell r="C206" t="str">
            <v>C</v>
          </cell>
        </row>
        <row r="207">
          <cell r="B207" t="str">
            <v>D = Drying</v>
          </cell>
          <cell r="C207" t="str">
            <v>D</v>
          </cell>
        </row>
        <row r="208">
          <cell r="B208" t="str">
            <v>CB = Canning/Baking</v>
          </cell>
          <cell r="C208" t="str">
            <v>CB</v>
          </cell>
        </row>
        <row r="209">
          <cell r="B209" t="str">
            <v>DB = Drying/Baking</v>
          </cell>
          <cell r="C209" t="str">
            <v>DB</v>
          </cell>
        </row>
        <row r="210">
          <cell r="B210" t="str">
            <v>DC = Drying/Canning</v>
          </cell>
          <cell r="C210" t="str">
            <v>DC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apc@okstate.edu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6:V38"/>
  <sheetViews>
    <sheetView showGridLines="0" showRowColHeaders="0" tabSelected="1" workbookViewId="0">
      <selection activeCell="C27" sqref="C27:F27"/>
    </sheetView>
  </sheetViews>
  <sheetFormatPr defaultColWidth="8.85546875" defaultRowHeight="12.75" x14ac:dyDescent="0.2"/>
  <cols>
    <col min="1" max="1" width="5.7109375" style="48" customWidth="1"/>
    <col min="2" max="2" width="21.85546875" style="48" customWidth="1"/>
    <col min="3" max="3" width="8.85546875" style="48"/>
    <col min="4" max="4" width="9.42578125" style="48" customWidth="1"/>
    <col min="5" max="5" width="8.85546875" style="48"/>
    <col min="6" max="6" width="21" style="48" bestFit="1" customWidth="1"/>
    <col min="7" max="11" width="8.85546875" style="48"/>
    <col min="12" max="13" width="9.7109375" style="48" bestFit="1" customWidth="1"/>
    <col min="14" max="16384" width="8.85546875" style="48"/>
  </cols>
  <sheetData>
    <row r="6" spans="2:22" ht="30" x14ac:dyDescent="0.4">
      <c r="B6" s="267" t="s">
        <v>484</v>
      </c>
      <c r="C6" s="47"/>
      <c r="D6" s="47"/>
      <c r="E6" s="47"/>
      <c r="F6" s="47"/>
      <c r="G6" s="47"/>
      <c r="H6" s="47"/>
      <c r="I6" s="47"/>
      <c r="J6" s="47"/>
    </row>
    <row r="7" spans="2:22" ht="18" x14ac:dyDescent="0.25">
      <c r="B7" s="46"/>
      <c r="C7" s="47"/>
      <c r="D7" s="47"/>
      <c r="E7" s="47"/>
      <c r="F7" s="47"/>
      <c r="G7" s="47"/>
      <c r="H7" s="47"/>
      <c r="I7" s="47"/>
      <c r="J7" s="47"/>
    </row>
    <row r="8" spans="2:22" ht="18.75" x14ac:dyDescent="0.3">
      <c r="B8" s="46" t="s">
        <v>98</v>
      </c>
      <c r="C8" s="49" t="s">
        <v>483</v>
      </c>
      <c r="D8" s="47"/>
      <c r="E8" s="47"/>
      <c r="F8" s="47"/>
      <c r="G8" s="47"/>
      <c r="H8" s="47"/>
      <c r="I8" s="47"/>
      <c r="J8" s="47"/>
    </row>
    <row r="9" spans="2:22" ht="18.75" thickBot="1" x14ac:dyDescent="0.3">
      <c r="B9" s="46"/>
      <c r="C9" s="47"/>
      <c r="D9" s="47"/>
      <c r="E9" s="47"/>
      <c r="F9" s="47"/>
      <c r="G9" s="47"/>
      <c r="H9" s="47"/>
      <c r="I9" s="47"/>
      <c r="J9" s="47"/>
    </row>
    <row r="10" spans="2:22" ht="16.5" x14ac:dyDescent="0.25">
      <c r="B10" s="252" t="s">
        <v>486</v>
      </c>
      <c r="C10" s="253"/>
      <c r="D10" s="253"/>
      <c r="E10" s="253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  <c r="V10" s="254"/>
    </row>
    <row r="11" spans="2:22" ht="16.5" x14ac:dyDescent="0.25">
      <c r="B11" s="255" t="s">
        <v>469</v>
      </c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56"/>
      <c r="P11" s="256"/>
      <c r="Q11" s="256"/>
      <c r="R11" s="256"/>
      <c r="S11" s="256"/>
      <c r="T11" s="256"/>
      <c r="U11" s="256"/>
      <c r="V11" s="257"/>
    </row>
    <row r="12" spans="2:22" ht="16.5" x14ac:dyDescent="0.25">
      <c r="B12" s="255" t="s">
        <v>482</v>
      </c>
      <c r="C12" s="256"/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256"/>
      <c r="P12" s="256"/>
      <c r="Q12" s="256"/>
      <c r="R12" s="256"/>
      <c r="S12" s="256"/>
      <c r="T12" s="256"/>
      <c r="U12" s="256"/>
      <c r="V12" s="257"/>
    </row>
    <row r="13" spans="2:22" ht="17.25" thickBot="1" x14ac:dyDescent="0.3">
      <c r="B13" s="258" t="s">
        <v>470</v>
      </c>
      <c r="C13" s="259"/>
      <c r="D13" s="259"/>
      <c r="E13" s="259"/>
      <c r="F13" s="259"/>
      <c r="G13" s="259"/>
      <c r="H13" s="259"/>
      <c r="I13" s="259"/>
      <c r="J13" s="259"/>
      <c r="K13" s="259"/>
      <c r="L13" s="259"/>
      <c r="M13" s="259"/>
      <c r="N13" s="259"/>
      <c r="O13" s="259"/>
      <c r="P13" s="259"/>
      <c r="Q13" s="259"/>
      <c r="R13" s="259"/>
      <c r="S13" s="259"/>
      <c r="T13" s="259"/>
      <c r="U13" s="259"/>
      <c r="V13" s="260"/>
    </row>
    <row r="14" spans="2:22" ht="16.5" x14ac:dyDescent="0.25">
      <c r="B14" s="50" t="s">
        <v>471</v>
      </c>
      <c r="C14" s="47"/>
      <c r="D14" s="47"/>
      <c r="F14" s="50"/>
      <c r="H14" s="50"/>
      <c r="I14" s="47"/>
      <c r="J14" s="51"/>
      <c r="K14" s="226" t="s">
        <v>458</v>
      </c>
      <c r="L14" s="227"/>
    </row>
    <row r="15" spans="2:22" ht="16.5" x14ac:dyDescent="0.25">
      <c r="B15" s="50" t="s">
        <v>485</v>
      </c>
      <c r="C15" s="47"/>
      <c r="D15" s="47"/>
      <c r="E15" s="47"/>
      <c r="F15" s="47"/>
      <c r="G15" s="47"/>
      <c r="H15" s="47"/>
      <c r="I15" s="47"/>
      <c r="J15" s="47"/>
      <c r="N15" s="52"/>
    </row>
    <row r="16" spans="2:22" x14ac:dyDescent="0.2">
      <c r="B16" s="47"/>
      <c r="C16" s="47"/>
      <c r="D16" s="47"/>
      <c r="E16" s="47"/>
      <c r="F16" s="47"/>
      <c r="G16" s="47"/>
      <c r="H16" s="47"/>
      <c r="I16" s="47"/>
      <c r="J16" s="47"/>
    </row>
    <row r="17" spans="2:12" ht="16.5" x14ac:dyDescent="0.25">
      <c r="B17" s="50" t="s">
        <v>472</v>
      </c>
      <c r="C17" s="47"/>
      <c r="D17" s="47"/>
      <c r="E17" s="47"/>
      <c r="F17" s="47"/>
      <c r="G17" s="47"/>
      <c r="H17" s="47"/>
      <c r="I17" s="47"/>
      <c r="J17" s="47"/>
    </row>
    <row r="18" spans="2:12" ht="16.5" x14ac:dyDescent="0.25">
      <c r="B18" s="50" t="s">
        <v>437</v>
      </c>
      <c r="C18" s="47"/>
      <c r="D18" s="47"/>
      <c r="E18" s="47"/>
      <c r="F18" s="47"/>
      <c r="G18" s="47"/>
      <c r="H18" s="47"/>
      <c r="I18" s="47"/>
      <c r="J18" s="47"/>
    </row>
    <row r="19" spans="2:12" ht="16.5" x14ac:dyDescent="0.25">
      <c r="B19" s="50" t="s">
        <v>438</v>
      </c>
      <c r="C19" s="47"/>
      <c r="D19" s="47"/>
      <c r="E19" s="47"/>
      <c r="F19" s="47"/>
      <c r="G19" s="47"/>
      <c r="H19" s="47"/>
      <c r="I19" s="47"/>
      <c r="J19" s="47"/>
    </row>
    <row r="20" spans="2:12" ht="16.5" x14ac:dyDescent="0.25">
      <c r="B20" s="50" t="s">
        <v>439</v>
      </c>
      <c r="C20" s="47"/>
      <c r="D20" s="47"/>
      <c r="E20" s="47"/>
      <c r="F20" s="47"/>
      <c r="G20" s="47"/>
      <c r="H20" s="47"/>
      <c r="I20" s="47"/>
      <c r="J20" s="47"/>
    </row>
    <row r="21" spans="2:12" ht="16.5" x14ac:dyDescent="0.25">
      <c r="B21" s="50" t="s">
        <v>440</v>
      </c>
      <c r="F21" s="53"/>
      <c r="G21" s="53"/>
      <c r="H21" s="53"/>
      <c r="I21" s="47"/>
      <c r="J21" s="47"/>
    </row>
    <row r="22" spans="2:12" ht="16.5" x14ac:dyDescent="0.25">
      <c r="B22" s="50" t="s">
        <v>441</v>
      </c>
      <c r="F22" s="53"/>
      <c r="G22" s="53"/>
      <c r="H22" s="53"/>
      <c r="I22" s="47"/>
      <c r="J22" s="47"/>
    </row>
    <row r="23" spans="2:12" ht="16.5" x14ac:dyDescent="0.25">
      <c r="B23" s="50" t="s">
        <v>442</v>
      </c>
      <c r="C23" s="54"/>
      <c r="D23" s="54"/>
      <c r="F23" s="54"/>
      <c r="G23" s="54"/>
      <c r="H23" s="54"/>
      <c r="I23" s="54"/>
      <c r="J23" s="54"/>
    </row>
    <row r="24" spans="2:12" ht="16.5" x14ac:dyDescent="0.25">
      <c r="B24" s="50" t="s">
        <v>443</v>
      </c>
      <c r="C24" s="54"/>
      <c r="D24" s="54"/>
      <c r="E24" s="54"/>
      <c r="F24" s="54"/>
      <c r="G24" s="54"/>
      <c r="H24" s="54"/>
      <c r="I24" s="54"/>
      <c r="J24" s="54"/>
    </row>
    <row r="25" spans="2:12" ht="23.25" x14ac:dyDescent="0.35">
      <c r="B25" s="55"/>
    </row>
    <row r="26" spans="2:12" ht="15.75" x14ac:dyDescent="0.25">
      <c r="C26" s="56" t="s">
        <v>415</v>
      </c>
      <c r="H26" s="198"/>
      <c r="I26" s="198"/>
      <c r="J26" s="198"/>
      <c r="K26" s="198"/>
      <c r="L26" s="198"/>
    </row>
    <row r="27" spans="2:12" ht="15.75" x14ac:dyDescent="0.25">
      <c r="C27" s="273" t="s">
        <v>276</v>
      </c>
      <c r="D27" s="273"/>
      <c r="E27" s="273"/>
      <c r="F27" s="273"/>
      <c r="H27" s="198"/>
      <c r="I27" s="198"/>
      <c r="J27" s="198"/>
      <c r="K27" s="198"/>
      <c r="L27" s="198"/>
    </row>
    <row r="28" spans="2:12" ht="15.75" x14ac:dyDescent="0.25">
      <c r="C28" s="274" t="s">
        <v>408</v>
      </c>
      <c r="D28" s="274"/>
      <c r="E28" s="274"/>
      <c r="F28" s="274"/>
      <c r="G28" s="57"/>
      <c r="H28" s="268"/>
      <c r="I28" s="198"/>
      <c r="J28" s="198"/>
      <c r="K28" s="198"/>
      <c r="L28" s="198"/>
    </row>
    <row r="29" spans="2:12" ht="15.75" x14ac:dyDescent="0.25">
      <c r="C29" s="274" t="s">
        <v>409</v>
      </c>
      <c r="D29" s="274"/>
      <c r="E29" s="274"/>
      <c r="G29" s="47"/>
      <c r="H29" s="269"/>
      <c r="I29" s="198"/>
      <c r="J29" s="198"/>
      <c r="K29" s="198"/>
      <c r="L29" s="198"/>
    </row>
    <row r="30" spans="2:12" ht="15.75" x14ac:dyDescent="0.25">
      <c r="C30" s="60" t="s">
        <v>410</v>
      </c>
      <c r="H30" s="270"/>
      <c r="I30" s="198"/>
      <c r="J30" s="198"/>
      <c r="K30" s="198"/>
      <c r="L30" s="198"/>
    </row>
    <row r="31" spans="2:12" ht="15.75" x14ac:dyDescent="0.25">
      <c r="C31" s="60" t="s">
        <v>411</v>
      </c>
      <c r="H31" s="198"/>
      <c r="I31" s="198"/>
      <c r="J31" s="198"/>
      <c r="K31" s="198"/>
      <c r="L31" s="198"/>
    </row>
    <row r="32" spans="2:12" ht="15.75" x14ac:dyDescent="0.25">
      <c r="C32" s="60" t="s">
        <v>413</v>
      </c>
      <c r="H32" s="198"/>
      <c r="I32" s="198"/>
      <c r="J32" s="198"/>
      <c r="K32" s="198"/>
      <c r="L32" s="198"/>
    </row>
    <row r="33" spans="2:12" ht="15.75" x14ac:dyDescent="0.25">
      <c r="C33" s="60" t="s">
        <v>414</v>
      </c>
      <c r="H33" s="270" t="s">
        <v>488</v>
      </c>
      <c r="I33" s="198"/>
      <c r="J33" s="198"/>
      <c r="K33" s="198"/>
      <c r="L33" s="198"/>
    </row>
    <row r="34" spans="2:12" x14ac:dyDescent="0.2">
      <c r="H34" s="198"/>
      <c r="I34" s="198"/>
      <c r="J34" s="198"/>
      <c r="K34" s="198"/>
      <c r="L34" s="198"/>
    </row>
    <row r="36" spans="2:12" ht="15.75" x14ac:dyDescent="0.25">
      <c r="B36" s="56" t="s">
        <v>99</v>
      </c>
      <c r="C36" s="53"/>
      <c r="D36" s="53"/>
      <c r="F36" s="58" t="s">
        <v>489</v>
      </c>
    </row>
    <row r="37" spans="2:12" ht="15.75" x14ac:dyDescent="0.25">
      <c r="B37" s="59"/>
      <c r="C37" s="56"/>
      <c r="D37" s="56"/>
      <c r="F37" s="271" t="s">
        <v>490</v>
      </c>
    </row>
    <row r="38" spans="2:12" ht="15.75" x14ac:dyDescent="0.25">
      <c r="F38" s="272" t="s">
        <v>491</v>
      </c>
    </row>
  </sheetData>
  <sheetProtection password="E114" sheet="1" objects="1" scenarios="1" selectLockedCells="1"/>
  <mergeCells count="3">
    <mergeCell ref="C27:F27"/>
    <mergeCell ref="C28:F28"/>
    <mergeCell ref="C29:E29"/>
  </mergeCells>
  <phoneticPr fontId="0" type="noConversion"/>
  <hyperlinks>
    <hyperlink ref="C27" location="'Input Value'!A1" display="FORWARD TO INPUTS"/>
    <hyperlink ref="C28" location="'Production Assumptions'!A1" display="Production Assumptions"/>
    <hyperlink ref="C29" location="'Personnel Expenses'!A1" display="Personnel Expenses"/>
    <hyperlink ref="C30" location="'Market Projection'!A1" display="Market Projection"/>
    <hyperlink ref="C31" location="'Expense Projection'!A1" display="Expense Projection"/>
    <hyperlink ref="C32" location="'Profit &amp; Loss'!A1" display="Profit/Loss Summary"/>
    <hyperlink ref="C33" location="'Return On Investment'!A1" display="Return on Investment"/>
    <hyperlink ref="C27:F27" location="'Plant, Prop &amp; Equip'!A1" display="Plant, Property, &amp; Equipment"/>
    <hyperlink ref="F37" r:id="rId1"/>
  </hyperlinks>
  <pageMargins left="0.75" right="0.75" top="1" bottom="1" header="0.5" footer="0.5"/>
  <pageSetup orientation="portrait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AcroExch.Document.DC" dvAspect="DVASPECT_ICON" shapeId="21507" r:id="rId5">
          <objectPr locked="0" defaultSize="0" autoPict="0" r:id="rId6">
            <anchor moveWithCells="1">
              <from>
                <xdr:col>7</xdr:col>
                <xdr:colOff>0</xdr:colOff>
                <xdr:row>26</xdr:row>
                <xdr:rowOff>0</xdr:rowOff>
              </from>
              <to>
                <xdr:col>9</xdr:col>
                <xdr:colOff>371475</xdr:colOff>
                <xdr:row>31</xdr:row>
                <xdr:rowOff>161925</xdr:rowOff>
              </to>
            </anchor>
          </objectPr>
        </oleObject>
      </mc:Choice>
      <mc:Fallback>
        <oleObject progId="AcroExch.Document.DC" dvAspect="DVASPECT_ICON" shapeId="21507" r:id="rId5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showGridLines="0" showRowColHeaders="0" workbookViewId="0">
      <selection activeCell="B3" sqref="B3"/>
    </sheetView>
  </sheetViews>
  <sheetFormatPr defaultColWidth="8.85546875" defaultRowHeight="12.75" x14ac:dyDescent="0.2"/>
  <cols>
    <col min="1" max="1" width="5.7109375" style="48" customWidth="1"/>
    <col min="2" max="2" width="19.140625" style="48" bestFit="1" customWidth="1"/>
    <col min="3" max="13" width="12.7109375" style="48" customWidth="1"/>
    <col min="14" max="16384" width="8.85546875" style="48"/>
  </cols>
  <sheetData>
    <row r="1" spans="1:14" x14ac:dyDescent="0.2">
      <c r="B1" s="61" t="s">
        <v>431</v>
      </c>
    </row>
    <row r="2" spans="1:14" x14ac:dyDescent="0.2">
      <c r="B2" s="57" t="s">
        <v>415</v>
      </c>
    </row>
    <row r="3" spans="1:14" x14ac:dyDescent="0.2">
      <c r="A3" s="198"/>
      <c r="B3" s="119" t="s">
        <v>276</v>
      </c>
    </row>
    <row r="4" spans="1:14" x14ac:dyDescent="0.2">
      <c r="B4" s="78" t="s">
        <v>408</v>
      </c>
    </row>
    <row r="5" spans="1:14" x14ac:dyDescent="0.2">
      <c r="B5" s="78" t="s">
        <v>409</v>
      </c>
    </row>
    <row r="6" spans="1:14" x14ac:dyDescent="0.2">
      <c r="B6" s="78" t="s">
        <v>410</v>
      </c>
    </row>
    <row r="7" spans="1:14" x14ac:dyDescent="0.2">
      <c r="B7" s="78" t="s">
        <v>411</v>
      </c>
    </row>
    <row r="8" spans="1:14" x14ac:dyDescent="0.2">
      <c r="B8" s="78" t="s">
        <v>414</v>
      </c>
    </row>
    <row r="9" spans="1:14" x14ac:dyDescent="0.2">
      <c r="B9" s="289"/>
      <c r="C9" s="289"/>
      <c r="D9" s="289"/>
    </row>
    <row r="10" spans="1:14" x14ac:dyDescent="0.2">
      <c r="B10" s="61" t="s">
        <v>86</v>
      </c>
      <c r="C10" s="203">
        <v>0.3</v>
      </c>
    </row>
    <row r="12" spans="1:14" x14ac:dyDescent="0.2">
      <c r="B12" s="204" t="s">
        <v>312</v>
      </c>
    </row>
    <row r="13" spans="1:14" x14ac:dyDescent="0.2">
      <c r="C13" s="189" t="s">
        <v>444</v>
      </c>
      <c r="D13" s="189" t="s">
        <v>0</v>
      </c>
      <c r="E13" s="189" t="s">
        <v>1</v>
      </c>
      <c r="F13" s="189" t="s">
        <v>2</v>
      </c>
      <c r="G13" s="189" t="s">
        <v>3</v>
      </c>
      <c r="H13" s="189" t="s">
        <v>4</v>
      </c>
      <c r="I13" s="189" t="s">
        <v>5</v>
      </c>
      <c r="J13" s="189" t="s">
        <v>6</v>
      </c>
      <c r="K13" s="189" t="s">
        <v>7</v>
      </c>
      <c r="L13" s="189" t="s">
        <v>8</v>
      </c>
      <c r="M13" s="189" t="s">
        <v>9</v>
      </c>
    </row>
    <row r="14" spans="1:14" x14ac:dyDescent="0.2">
      <c r="B14" s="61" t="s">
        <v>103</v>
      </c>
      <c r="C14" s="67">
        <v>0</v>
      </c>
      <c r="D14" s="129">
        <f>'Market Projection'!D27</f>
        <v>0</v>
      </c>
      <c r="E14" s="129">
        <f>'Market Projection'!E27</f>
        <v>0</v>
      </c>
      <c r="F14" s="129">
        <f>'Market Projection'!F27</f>
        <v>0</v>
      </c>
      <c r="G14" s="129">
        <f>'Market Projection'!G27</f>
        <v>0</v>
      </c>
      <c r="H14" s="129">
        <f>'Market Projection'!H27</f>
        <v>0</v>
      </c>
      <c r="I14" s="129">
        <f>'Market Projection'!I27</f>
        <v>0</v>
      </c>
      <c r="J14" s="129">
        <f>'Market Projection'!J27</f>
        <v>0</v>
      </c>
      <c r="K14" s="129">
        <f>'Market Projection'!K27</f>
        <v>0</v>
      </c>
      <c r="L14" s="129">
        <f>'Market Projection'!L27</f>
        <v>0</v>
      </c>
      <c r="M14" s="129">
        <f>'Market Projection'!M27</f>
        <v>0</v>
      </c>
      <c r="N14" s="129"/>
    </row>
    <row r="16" spans="1:14" x14ac:dyDescent="0.2">
      <c r="B16" s="204" t="s">
        <v>52</v>
      </c>
    </row>
    <row r="17" spans="2:13" x14ac:dyDescent="0.2">
      <c r="B17" s="61" t="s">
        <v>34</v>
      </c>
      <c r="C17" s="129">
        <f>'Expense Projection'!C23</f>
        <v>0</v>
      </c>
      <c r="D17" s="129">
        <f>'Expense Projection'!D23</f>
        <v>271394</v>
      </c>
      <c r="E17" s="129">
        <f>'Expense Projection'!E23</f>
        <v>274107.94</v>
      </c>
      <c r="F17" s="129">
        <f>'Expense Projection'!F23</f>
        <v>276849.01939999999</v>
      </c>
      <c r="G17" s="129">
        <f>'Expense Projection'!G23</f>
        <v>279617.509594</v>
      </c>
      <c r="H17" s="129">
        <f>'Expense Projection'!H23</f>
        <v>282413.68468994001</v>
      </c>
      <c r="I17" s="129">
        <f>'Expense Projection'!I23</f>
        <v>285237.82153683942</v>
      </c>
      <c r="J17" s="129">
        <f>'Expense Projection'!J23</f>
        <v>288090.19975220785</v>
      </c>
      <c r="K17" s="129">
        <f>'Expense Projection'!K23</f>
        <v>290971.10174972989</v>
      </c>
      <c r="L17" s="129">
        <f>'Expense Projection'!L23</f>
        <v>293880.81276722718</v>
      </c>
      <c r="M17" s="129">
        <f>'Expense Projection'!M23</f>
        <v>296819.62089489942</v>
      </c>
    </row>
    <row r="18" spans="2:13" x14ac:dyDescent="0.2">
      <c r="B18" s="61" t="s">
        <v>37</v>
      </c>
      <c r="C18" s="129">
        <f>'Expense Projection'!C36</f>
        <v>0</v>
      </c>
      <c r="D18" s="129">
        <f>'Expense Projection'!D36</f>
        <v>131724.04627653849</v>
      </c>
      <c r="E18" s="129">
        <f>'Expense Projection'!E36</f>
        <v>159148.9144016307</v>
      </c>
      <c r="F18" s="129">
        <f>'Expense Projection'!F36</f>
        <v>140881.64146162357</v>
      </c>
      <c r="G18" s="129">
        <f>'Expense Projection'!G36</f>
        <v>127919.61584322737</v>
      </c>
      <c r="H18" s="129">
        <f>'Expense Projection'!H36</f>
        <v>118774.5462435465</v>
      </c>
      <c r="I18" s="129">
        <f>'Expense Projection'!I36</f>
        <v>119050.00804417307</v>
      </c>
      <c r="J18" s="129">
        <f>'Expense Projection'!J36</f>
        <v>119368.79231983796</v>
      </c>
      <c r="K18" s="129">
        <f>'Expense Projection'!K36</f>
        <v>107777.14312533334</v>
      </c>
      <c r="L18" s="129">
        <f>'Expense Projection'!L36</f>
        <v>96200.053004948684</v>
      </c>
      <c r="M18" s="129">
        <f>'Expense Projection'!M36</f>
        <v>96456.179364043201</v>
      </c>
    </row>
    <row r="19" spans="2:13" x14ac:dyDescent="0.2">
      <c r="B19" s="61" t="s">
        <v>47</v>
      </c>
      <c r="C19" s="129">
        <f>'Expense Projection'!C43</f>
        <v>21000</v>
      </c>
      <c r="D19" s="129">
        <f>'Expense Projection'!D43</f>
        <v>12500</v>
      </c>
      <c r="E19" s="129">
        <f>'Expense Projection'!E43</f>
        <v>12625</v>
      </c>
      <c r="F19" s="129">
        <f>'Expense Projection'!F43</f>
        <v>12751.25</v>
      </c>
      <c r="G19" s="129">
        <f>'Expense Projection'!G43</f>
        <v>12878.762500000001</v>
      </c>
      <c r="H19" s="129">
        <f>'Expense Projection'!H43</f>
        <v>13007.550125</v>
      </c>
      <c r="I19" s="129">
        <f>'Expense Projection'!I43</f>
        <v>13137.625626250001</v>
      </c>
      <c r="J19" s="129">
        <f>'Expense Projection'!J43</f>
        <v>13269.001882512501</v>
      </c>
      <c r="K19" s="129">
        <f>'Expense Projection'!K43</f>
        <v>13401.691901337626</v>
      </c>
      <c r="L19" s="129">
        <f>'Expense Projection'!L43</f>
        <v>13535.708820351003</v>
      </c>
      <c r="M19" s="129">
        <f>'Expense Projection'!M43</f>
        <v>13671.065908554512</v>
      </c>
    </row>
    <row r="20" spans="2:13" x14ac:dyDescent="0.2"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</row>
    <row r="21" spans="2:13" x14ac:dyDescent="0.2">
      <c r="B21" s="61" t="s">
        <v>50</v>
      </c>
      <c r="C21" s="205">
        <f t="shared" ref="C21:M21" si="0">SUM(C17:C19)</f>
        <v>21000</v>
      </c>
      <c r="D21" s="205">
        <f t="shared" si="0"/>
        <v>415618.04627653852</v>
      </c>
      <c r="E21" s="205">
        <f t="shared" si="0"/>
        <v>445881.8544016307</v>
      </c>
      <c r="F21" s="205">
        <f t="shared" si="0"/>
        <v>430481.91086162359</v>
      </c>
      <c r="G21" s="205">
        <f t="shared" si="0"/>
        <v>420415.88793722738</v>
      </c>
      <c r="H21" s="205">
        <f t="shared" si="0"/>
        <v>414195.78105848649</v>
      </c>
      <c r="I21" s="205">
        <f t="shared" si="0"/>
        <v>417425.45520726248</v>
      </c>
      <c r="J21" s="205">
        <f t="shared" si="0"/>
        <v>420727.99395455827</v>
      </c>
      <c r="K21" s="205">
        <f t="shared" si="0"/>
        <v>412149.93677640089</v>
      </c>
      <c r="L21" s="205">
        <f t="shared" si="0"/>
        <v>403616.57459252683</v>
      </c>
      <c r="M21" s="205">
        <f t="shared" si="0"/>
        <v>406946.86616749718</v>
      </c>
    </row>
    <row r="22" spans="2:13" x14ac:dyDescent="0.2">
      <c r="B22" s="61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</row>
    <row r="23" spans="2:13" x14ac:dyDescent="0.2">
      <c r="B23" s="61" t="s">
        <v>95</v>
      </c>
      <c r="C23" s="129">
        <f>C14-C21</f>
        <v>-21000</v>
      </c>
      <c r="D23" s="129">
        <f t="shared" ref="D23:M23" si="1">D14-D21</f>
        <v>-415618.04627653852</v>
      </c>
      <c r="E23" s="129">
        <f t="shared" si="1"/>
        <v>-445881.8544016307</v>
      </c>
      <c r="F23" s="129">
        <f t="shared" si="1"/>
        <v>-430481.91086162359</v>
      </c>
      <c r="G23" s="129">
        <f t="shared" si="1"/>
        <v>-420415.88793722738</v>
      </c>
      <c r="H23" s="129">
        <f t="shared" si="1"/>
        <v>-414195.78105848649</v>
      </c>
      <c r="I23" s="129">
        <f t="shared" si="1"/>
        <v>-417425.45520726248</v>
      </c>
      <c r="J23" s="129">
        <f t="shared" si="1"/>
        <v>-420727.99395455827</v>
      </c>
      <c r="K23" s="129">
        <f t="shared" si="1"/>
        <v>-412149.93677640089</v>
      </c>
      <c r="L23" s="129">
        <f t="shared" si="1"/>
        <v>-403616.57459252683</v>
      </c>
      <c r="M23" s="129">
        <f t="shared" si="1"/>
        <v>-406946.86616749718</v>
      </c>
    </row>
    <row r="24" spans="2:13" x14ac:dyDescent="0.2">
      <c r="B24" s="61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</row>
    <row r="25" spans="2:13" x14ac:dyDescent="0.2">
      <c r="B25" s="61" t="s">
        <v>96</v>
      </c>
      <c r="C25" s="137">
        <f>IF(C23&gt;0, ('Profit &amp; Loss'!$C$10*C23), 0)</f>
        <v>0</v>
      </c>
      <c r="D25" s="137">
        <f>IF(D23&gt;0, ('Profit &amp; Loss'!$C$10*D23), 0)</f>
        <v>0</v>
      </c>
      <c r="E25" s="137">
        <f>IF(E23&gt;0, ('Profit &amp; Loss'!$C$10*E23), 0)</f>
        <v>0</v>
      </c>
      <c r="F25" s="137">
        <f>IF(F23&gt;0, ('Profit &amp; Loss'!$C$10*F23), 0)</f>
        <v>0</v>
      </c>
      <c r="G25" s="137">
        <f>IF(G23&gt;0, ('Profit &amp; Loss'!$C$10*G23), 0)</f>
        <v>0</v>
      </c>
      <c r="H25" s="137">
        <f>IF(H23&gt;0, ('Profit &amp; Loss'!$C$10*H23), 0)</f>
        <v>0</v>
      </c>
      <c r="I25" s="137">
        <f>IF(I23&gt;0, ('Profit &amp; Loss'!$C$10*I23), 0)</f>
        <v>0</v>
      </c>
      <c r="J25" s="137">
        <f>IF(J23&gt;0, ('Profit &amp; Loss'!$C$10*J23), 0)</f>
        <v>0</v>
      </c>
      <c r="K25" s="137">
        <f>IF(K23&gt;0, ('Profit &amp; Loss'!$C$10*K23), 0)</f>
        <v>0</v>
      </c>
      <c r="L25" s="137">
        <f>IF(L23&gt;0, ('Profit &amp; Loss'!$C$10*L23), 0)</f>
        <v>0</v>
      </c>
      <c r="M25" s="137">
        <f>IF(M23&gt;0, ('Profit &amp; Loss'!$C$10*M23), 0)</f>
        <v>0</v>
      </c>
    </row>
    <row r="26" spans="2:13" x14ac:dyDescent="0.2">
      <c r="B26" s="61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</row>
    <row r="27" spans="2:13" x14ac:dyDescent="0.2">
      <c r="B27" s="61" t="s">
        <v>97</v>
      </c>
      <c r="C27" s="206">
        <f t="shared" ref="C27:M27" si="2">+C23-C25</f>
        <v>-21000</v>
      </c>
      <c r="D27" s="206">
        <f t="shared" si="2"/>
        <v>-415618.04627653852</v>
      </c>
      <c r="E27" s="206">
        <f t="shared" si="2"/>
        <v>-445881.8544016307</v>
      </c>
      <c r="F27" s="206">
        <f t="shared" si="2"/>
        <v>-430481.91086162359</v>
      </c>
      <c r="G27" s="206">
        <f t="shared" si="2"/>
        <v>-420415.88793722738</v>
      </c>
      <c r="H27" s="206">
        <f t="shared" si="2"/>
        <v>-414195.78105848649</v>
      </c>
      <c r="I27" s="206">
        <f t="shared" si="2"/>
        <v>-417425.45520726248</v>
      </c>
      <c r="J27" s="206">
        <f t="shared" si="2"/>
        <v>-420727.99395455827</v>
      </c>
      <c r="K27" s="206">
        <f t="shared" si="2"/>
        <v>-412149.93677640089</v>
      </c>
      <c r="L27" s="206">
        <f t="shared" si="2"/>
        <v>-403616.57459252683</v>
      </c>
      <c r="M27" s="206">
        <f t="shared" si="2"/>
        <v>-406946.86616749718</v>
      </c>
    </row>
    <row r="31" spans="2:13" x14ac:dyDescent="0.2">
      <c r="B31" s="204" t="s">
        <v>109</v>
      </c>
    </row>
    <row r="32" spans="2:13" x14ac:dyDescent="0.2">
      <c r="C32" s="189" t="str">
        <f t="shared" ref="C32:M32" si="3">C13</f>
        <v>Startup</v>
      </c>
      <c r="D32" s="189" t="str">
        <f t="shared" si="3"/>
        <v>Year 1</v>
      </c>
      <c r="E32" s="189" t="str">
        <f t="shared" si="3"/>
        <v>Year 2</v>
      </c>
      <c r="F32" s="189" t="str">
        <f t="shared" si="3"/>
        <v>Year 3</v>
      </c>
      <c r="G32" s="189" t="str">
        <f t="shared" si="3"/>
        <v>Year 4</v>
      </c>
      <c r="H32" s="189" t="str">
        <f t="shared" si="3"/>
        <v>Year 5</v>
      </c>
      <c r="I32" s="189" t="str">
        <f t="shared" si="3"/>
        <v>Year 6</v>
      </c>
      <c r="J32" s="189" t="str">
        <f t="shared" si="3"/>
        <v>Year 7</v>
      </c>
      <c r="K32" s="189" t="str">
        <f t="shared" si="3"/>
        <v>Year 8</v>
      </c>
      <c r="L32" s="189" t="str">
        <f t="shared" si="3"/>
        <v>Year 9</v>
      </c>
      <c r="M32" s="189" t="str">
        <f t="shared" si="3"/>
        <v>Year 10</v>
      </c>
    </row>
    <row r="33" spans="2:13" x14ac:dyDescent="0.2">
      <c r="B33" s="48" t="s">
        <v>105</v>
      </c>
      <c r="C33" s="207">
        <f t="shared" ref="C33:M33" si="4">C27</f>
        <v>-21000</v>
      </c>
      <c r="D33" s="137">
        <f t="shared" si="4"/>
        <v>-415618.04627653852</v>
      </c>
      <c r="E33" s="137">
        <f t="shared" si="4"/>
        <v>-445881.8544016307</v>
      </c>
      <c r="F33" s="137">
        <f t="shared" si="4"/>
        <v>-430481.91086162359</v>
      </c>
      <c r="G33" s="137">
        <f t="shared" si="4"/>
        <v>-420415.88793722738</v>
      </c>
      <c r="H33" s="137">
        <f t="shared" si="4"/>
        <v>-414195.78105848649</v>
      </c>
      <c r="I33" s="137">
        <f t="shared" si="4"/>
        <v>-417425.45520726248</v>
      </c>
      <c r="J33" s="137">
        <f t="shared" si="4"/>
        <v>-420727.99395455827</v>
      </c>
      <c r="K33" s="137">
        <f t="shared" si="4"/>
        <v>-412149.93677640089</v>
      </c>
      <c r="L33" s="137">
        <f t="shared" si="4"/>
        <v>-403616.57459252683</v>
      </c>
      <c r="M33" s="137">
        <f t="shared" si="4"/>
        <v>-406946.86616749718</v>
      </c>
    </row>
    <row r="34" spans="2:13" x14ac:dyDescent="0.2">
      <c r="B34" s="48" t="s">
        <v>46</v>
      </c>
      <c r="C34" s="207">
        <v>0</v>
      </c>
      <c r="D34" s="137">
        <f>Depreciation!C39</f>
        <v>49580.489839038462</v>
      </c>
      <c r="E34" s="137">
        <f>Depreciation!D39</f>
        <v>76673.268289038475</v>
      </c>
      <c r="F34" s="137">
        <f>Depreciation!E39</f>
        <v>58080.185039038464</v>
      </c>
      <c r="G34" s="137">
        <f>Depreciation!F39</f>
        <v>44799.411289038464</v>
      </c>
      <c r="H34" s="137">
        <f>Depreciation!G39</f>
        <v>35343.500379038465</v>
      </c>
      <c r="I34" s="137">
        <f>Depreciation!H39</f>
        <v>35316.938831538464</v>
      </c>
      <c r="J34" s="137">
        <f>Depreciation!I39</f>
        <v>35343.500379038465</v>
      </c>
      <c r="K34" s="137">
        <f>Depreciation!J39</f>
        <v>23470.488646538462</v>
      </c>
      <c r="L34" s="137">
        <f>Depreciation!K39</f>
        <v>11624.038461538461</v>
      </c>
      <c r="M34" s="137">
        <f>Depreciation!L39</f>
        <v>11624.038461538461</v>
      </c>
    </row>
    <row r="35" spans="2:13" x14ac:dyDescent="0.2">
      <c r="B35" s="48" t="s">
        <v>106</v>
      </c>
      <c r="C35" s="207">
        <v>0</v>
      </c>
      <c r="D35" s="137">
        <f>'Borrowing &amp; Debt'!C19</f>
        <v>1969.2844821037288</v>
      </c>
      <c r="E35" s="137">
        <f>'Borrowing &amp; Debt'!D19</f>
        <v>2116.9808182615088</v>
      </c>
      <c r="F35" s="137">
        <f>'Borrowing &amp; Debt'!E19</f>
        <v>2275.754379631122</v>
      </c>
      <c r="G35" s="137">
        <f>'Borrowing &amp; Debt'!F19</f>
        <v>2446.4359581034587</v>
      </c>
      <c r="H35" s="137">
        <f>'Borrowing &amp; Debt'!G19</f>
        <v>2629.9186549612132</v>
      </c>
      <c r="I35" s="137">
        <f>'Borrowing &amp; Debt'!H19</f>
        <v>2827.1625540833047</v>
      </c>
      <c r="J35" s="137">
        <f>'Borrowing &amp; Debt'!I19</f>
        <v>3039.1997456395547</v>
      </c>
      <c r="K35" s="137">
        <f>'Borrowing &amp; Debt'!J19</f>
        <v>3267.1397265625237</v>
      </c>
      <c r="L35" s="137">
        <f>'Borrowing &amp; Debt'!K19</f>
        <v>3512.1752060547151</v>
      </c>
      <c r="M35" s="137">
        <f>'Borrowing &amp; Debt'!L19</f>
        <v>3775.5883465088191</v>
      </c>
    </row>
    <row r="36" spans="2:13" x14ac:dyDescent="0.2">
      <c r="B36" s="61" t="s">
        <v>107</v>
      </c>
      <c r="C36" s="206">
        <f t="shared" ref="C36:M36" si="5">C33+C34-C35</f>
        <v>-21000</v>
      </c>
      <c r="D36" s="206">
        <f t="shared" si="5"/>
        <v>-368006.84091960377</v>
      </c>
      <c r="E36" s="206">
        <f t="shared" si="5"/>
        <v>-371325.56693085376</v>
      </c>
      <c r="F36" s="206">
        <f t="shared" si="5"/>
        <v>-374677.48020221625</v>
      </c>
      <c r="G36" s="206">
        <f t="shared" si="5"/>
        <v>-378062.91260629235</v>
      </c>
      <c r="H36" s="206">
        <f t="shared" si="5"/>
        <v>-381482.19933440926</v>
      </c>
      <c r="I36" s="206">
        <f t="shared" si="5"/>
        <v>-384935.67892980727</v>
      </c>
      <c r="J36" s="206">
        <f t="shared" si="5"/>
        <v>-388423.6933211594</v>
      </c>
      <c r="K36" s="206">
        <f t="shared" si="5"/>
        <v>-391946.58785642497</v>
      </c>
      <c r="L36" s="206">
        <f t="shared" si="5"/>
        <v>-395504.71133704309</v>
      </c>
      <c r="M36" s="206">
        <f t="shared" si="5"/>
        <v>-399098.41605246754</v>
      </c>
    </row>
    <row r="37" spans="2:13" x14ac:dyDescent="0.2">
      <c r="B37" s="61" t="s">
        <v>111</v>
      </c>
    </row>
  </sheetData>
  <sheetProtection password="E114" sheet="1" objects="1" scenarios="1" selectLockedCells="1"/>
  <mergeCells count="1">
    <mergeCell ref="B9:D9"/>
  </mergeCells>
  <phoneticPr fontId="0" type="noConversion"/>
  <hyperlinks>
    <hyperlink ref="B3" location="'Plant, Prop &amp; Equip'!A1" display="Plant, Property, &amp; Equipment"/>
    <hyperlink ref="B4" location="'Production Assumptions'!A1" display="Production Assumptions"/>
    <hyperlink ref="B5" location="'Personnel Expenses'!A1" display="Personnel Expenses"/>
    <hyperlink ref="B6" location="'Market Projection'!A1" display="Market Projection"/>
    <hyperlink ref="B7" location="'Expense Projection'!A1" display="Expense Projection"/>
    <hyperlink ref="B8" location="'Return On Investment'!A1" display="Return on Investment"/>
  </hyperlinks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showGridLines="0" showRowColHeaders="0" workbookViewId="0">
      <selection activeCell="B3" sqref="B3"/>
    </sheetView>
  </sheetViews>
  <sheetFormatPr defaultColWidth="8.85546875" defaultRowHeight="12.75" x14ac:dyDescent="0.2"/>
  <cols>
    <col min="1" max="1" width="5.7109375" style="48" customWidth="1"/>
    <col min="2" max="2" width="22" style="48" bestFit="1" customWidth="1"/>
    <col min="3" max="14" width="12.7109375" style="48" customWidth="1"/>
    <col min="15" max="16384" width="8.85546875" style="48"/>
  </cols>
  <sheetData>
    <row r="1" spans="1:14" x14ac:dyDescent="0.2">
      <c r="A1" s="198"/>
      <c r="B1" s="61" t="s">
        <v>432</v>
      </c>
    </row>
    <row r="2" spans="1:14" x14ac:dyDescent="0.2">
      <c r="B2" s="57" t="s">
        <v>415</v>
      </c>
    </row>
    <row r="3" spans="1:14" x14ac:dyDescent="0.2">
      <c r="B3" s="119" t="s">
        <v>276</v>
      </c>
    </row>
    <row r="4" spans="1:14" x14ac:dyDescent="0.2">
      <c r="B4" s="78" t="s">
        <v>408</v>
      </c>
    </row>
    <row r="5" spans="1:14" x14ac:dyDescent="0.2">
      <c r="B5" s="78" t="s">
        <v>409</v>
      </c>
    </row>
    <row r="6" spans="1:14" x14ac:dyDescent="0.2">
      <c r="B6" s="78" t="s">
        <v>410</v>
      </c>
    </row>
    <row r="7" spans="1:14" x14ac:dyDescent="0.2">
      <c r="B7" s="78" t="s">
        <v>411</v>
      </c>
    </row>
    <row r="8" spans="1:14" x14ac:dyDescent="0.2">
      <c r="B8" s="78" t="s">
        <v>413</v>
      </c>
    </row>
    <row r="9" spans="1:14" x14ac:dyDescent="0.2">
      <c r="B9" s="61"/>
      <c r="C9" s="208"/>
    </row>
    <row r="10" spans="1:14" x14ac:dyDescent="0.2">
      <c r="B10" s="61" t="s">
        <v>479</v>
      </c>
      <c r="C10" s="208"/>
    </row>
    <row r="11" spans="1:14" x14ac:dyDescent="0.2">
      <c r="B11" s="61"/>
      <c r="C11" s="208"/>
    </row>
    <row r="12" spans="1:14" x14ac:dyDescent="0.2">
      <c r="B12" s="61" t="s">
        <v>325</v>
      </c>
      <c r="C12" s="218">
        <v>0.12</v>
      </c>
      <c r="N12" s="52"/>
    </row>
    <row r="14" spans="1:14" x14ac:dyDescent="0.2">
      <c r="B14" s="131" t="s">
        <v>62</v>
      </c>
      <c r="D14" s="131" t="s">
        <v>444</v>
      </c>
      <c r="E14" s="131">
        <v>1</v>
      </c>
      <c r="F14" s="131">
        <v>2</v>
      </c>
      <c r="G14" s="131">
        <v>3</v>
      </c>
      <c r="H14" s="131">
        <v>4</v>
      </c>
      <c r="I14" s="131">
        <v>5</v>
      </c>
      <c r="J14" s="131">
        <v>6</v>
      </c>
      <c r="K14" s="131">
        <v>7</v>
      </c>
      <c r="L14" s="131">
        <v>8</v>
      </c>
      <c r="M14" s="131">
        <v>9</v>
      </c>
      <c r="N14" s="131">
        <v>10</v>
      </c>
    </row>
    <row r="15" spans="1:14" x14ac:dyDescent="0.2">
      <c r="B15" s="61" t="s">
        <v>53</v>
      </c>
      <c r="D15" s="129"/>
      <c r="E15" s="129">
        <f>'Market Projection'!D27</f>
        <v>0</v>
      </c>
      <c r="F15" s="129">
        <f>'Market Projection'!E27</f>
        <v>0</v>
      </c>
      <c r="G15" s="129">
        <f>'Market Projection'!F27</f>
        <v>0</v>
      </c>
      <c r="H15" s="129">
        <f>'Market Projection'!G27</f>
        <v>0</v>
      </c>
      <c r="I15" s="129">
        <f>'Market Projection'!H27</f>
        <v>0</v>
      </c>
      <c r="J15" s="129">
        <f>'Market Projection'!I27</f>
        <v>0</v>
      </c>
      <c r="K15" s="129">
        <f>'Market Projection'!J27</f>
        <v>0</v>
      </c>
      <c r="L15" s="129">
        <f>'Market Projection'!K27</f>
        <v>0</v>
      </c>
      <c r="M15" s="129">
        <f>'Market Projection'!L27</f>
        <v>0</v>
      </c>
      <c r="N15" s="129">
        <f>'Market Projection'!M27</f>
        <v>0</v>
      </c>
    </row>
    <row r="16" spans="1:14" x14ac:dyDescent="0.2">
      <c r="B16" s="61" t="s">
        <v>54</v>
      </c>
      <c r="D16" s="48">
        <v>1</v>
      </c>
      <c r="E16" s="48">
        <f t="shared" ref="E16:N16" si="0">1/((1+$C$12)^E14)</f>
        <v>0.89285714285714279</v>
      </c>
      <c r="F16" s="48">
        <f t="shared" si="0"/>
        <v>0.79719387755102034</v>
      </c>
      <c r="G16" s="48">
        <f t="shared" si="0"/>
        <v>0.71178024781341087</v>
      </c>
      <c r="H16" s="48">
        <f t="shared" si="0"/>
        <v>0.63551807840483121</v>
      </c>
      <c r="I16" s="48">
        <f t="shared" si="0"/>
        <v>0.56742685571859919</v>
      </c>
      <c r="J16" s="48">
        <f t="shared" si="0"/>
        <v>0.50663112117732068</v>
      </c>
      <c r="K16" s="48">
        <f t="shared" si="0"/>
        <v>0.45234921533689343</v>
      </c>
      <c r="L16" s="48">
        <f t="shared" si="0"/>
        <v>0.4038832279793691</v>
      </c>
      <c r="M16" s="48">
        <f t="shared" si="0"/>
        <v>0.36061002498157957</v>
      </c>
      <c r="N16" s="48">
        <f t="shared" si="0"/>
        <v>0.32197323659069599</v>
      </c>
    </row>
    <row r="17" spans="2:14" x14ac:dyDescent="0.2">
      <c r="B17" s="61" t="s">
        <v>55</v>
      </c>
      <c r="C17" s="129"/>
      <c r="D17" s="129">
        <f t="shared" ref="D17:N17" si="1">D15*D16</f>
        <v>0</v>
      </c>
      <c r="E17" s="129">
        <f t="shared" si="1"/>
        <v>0</v>
      </c>
      <c r="F17" s="129">
        <f t="shared" si="1"/>
        <v>0</v>
      </c>
      <c r="G17" s="129">
        <f t="shared" si="1"/>
        <v>0</v>
      </c>
      <c r="H17" s="129">
        <f t="shared" si="1"/>
        <v>0</v>
      </c>
      <c r="I17" s="129">
        <f t="shared" si="1"/>
        <v>0</v>
      </c>
      <c r="J17" s="129">
        <f t="shared" si="1"/>
        <v>0</v>
      </c>
      <c r="K17" s="129">
        <f t="shared" si="1"/>
        <v>0</v>
      </c>
      <c r="L17" s="129">
        <f t="shared" si="1"/>
        <v>0</v>
      </c>
      <c r="M17" s="129">
        <f t="shared" si="1"/>
        <v>0</v>
      </c>
      <c r="N17" s="129">
        <f t="shared" si="1"/>
        <v>0</v>
      </c>
    </row>
    <row r="19" spans="2:14" x14ac:dyDescent="0.2">
      <c r="B19" s="61" t="s">
        <v>56</v>
      </c>
      <c r="D19" s="129">
        <f>'Expense Projection'!C45</f>
        <v>21000</v>
      </c>
      <c r="E19" s="129">
        <f>'Expense Projection'!D45</f>
        <v>415618.04627653852</v>
      </c>
      <c r="F19" s="129">
        <f>'Expense Projection'!D45</f>
        <v>415618.04627653852</v>
      </c>
      <c r="G19" s="129">
        <f>'Expense Projection'!E45</f>
        <v>445881.8544016307</v>
      </c>
      <c r="H19" s="129">
        <f>'Expense Projection'!F45</f>
        <v>430481.91086162359</v>
      </c>
      <c r="I19" s="129">
        <f>'Expense Projection'!G45</f>
        <v>420415.88793722738</v>
      </c>
      <c r="J19" s="129">
        <f>'Expense Projection'!H45</f>
        <v>414195.78105848649</v>
      </c>
      <c r="K19" s="129">
        <f>'Expense Projection'!I45</f>
        <v>417425.45520726248</v>
      </c>
      <c r="L19" s="129">
        <f>'Expense Projection'!J45</f>
        <v>420727.99395455827</v>
      </c>
      <c r="M19" s="129">
        <f>'Expense Projection'!K45</f>
        <v>412149.93677640089</v>
      </c>
      <c r="N19" s="129">
        <f>'Expense Projection'!L45</f>
        <v>403616.57459252683</v>
      </c>
    </row>
    <row r="20" spans="2:14" x14ac:dyDescent="0.2">
      <c r="B20" s="61" t="s">
        <v>114</v>
      </c>
      <c r="D20" s="146"/>
      <c r="E20" s="129">
        <f>'Expense Projection'!D32+'Expense Projection'!D34-'Borrowing &amp; Debt'!$C$26</f>
        <v>83145.445151538472</v>
      </c>
      <c r="F20" s="129">
        <f>'Expense Projection'!E32+'Expense Projection'!E34-'Borrowing &amp; Debt'!$C$26</f>
        <v>110090.52726538069</v>
      </c>
      <c r="G20" s="129">
        <f>'Expense Projection'!F32+'Expense Projection'!F34-'Borrowing &amp; Debt'!$C$26</f>
        <v>91338.670454011066</v>
      </c>
      <c r="H20" s="129">
        <f>'Expense Projection'!G32+'Expense Projection'!G34-'Borrowing &amp; Debt'!$C$26</f>
        <v>77887.215125538729</v>
      </c>
      <c r="I20" s="129">
        <f>'Expense Projection'!H32+'Expense Projection'!H34-'Borrowing &amp; Debt'!$C$26</f>
        <v>68247.821518680983</v>
      </c>
      <c r="J20" s="129">
        <f>'Expense Projection'!I32+'Expense Projection'!I34-'Borrowing &amp; Debt'!$C$26</f>
        <v>68024.01607205889</v>
      </c>
      <c r="K20" s="129">
        <f>'Expense Projection'!J32+'Expense Projection'!J34-'Borrowing &amp; Debt'!$C$26</f>
        <v>67838.540428002641</v>
      </c>
      <c r="L20" s="129">
        <f>'Expense Projection'!K32+'Expense Projection'!K34-'Borrowing &amp; Debt'!$C$26</f>
        <v>55737.588714579673</v>
      </c>
      <c r="M20" s="129">
        <f>'Expense Projection'!L32+'Expense Projection'!L34-'Borrowing &amp; Debt'!$C$26</f>
        <v>43646.103050087477</v>
      </c>
      <c r="N20" s="129">
        <f>'Expense Projection'!M32+'Expense Projection'!M34-'Borrowing &amp; Debt'!$C$26</f>
        <v>43382.689909633373</v>
      </c>
    </row>
    <row r="22" spans="2:14" x14ac:dyDescent="0.2">
      <c r="B22" s="61" t="s">
        <v>57</v>
      </c>
      <c r="D22" s="129">
        <f>+D19-D20+Depreciation!D31</f>
        <v>916065.47500000009</v>
      </c>
      <c r="E22" s="129">
        <f t="shared" ref="E22:N22" si="2">+E19-E20</f>
        <v>332472.60112500004</v>
      </c>
      <c r="F22" s="129">
        <f t="shared" si="2"/>
        <v>305527.5190111578</v>
      </c>
      <c r="G22" s="129">
        <f t="shared" si="2"/>
        <v>354543.18394761963</v>
      </c>
      <c r="H22" s="129">
        <f t="shared" si="2"/>
        <v>352594.69573608483</v>
      </c>
      <c r="I22" s="129">
        <f t="shared" si="2"/>
        <v>352168.06641854637</v>
      </c>
      <c r="J22" s="129">
        <f t="shared" si="2"/>
        <v>346171.76498642762</v>
      </c>
      <c r="K22" s="129">
        <f t="shared" si="2"/>
        <v>349586.91477925982</v>
      </c>
      <c r="L22" s="129">
        <f t="shared" si="2"/>
        <v>364990.40523997857</v>
      </c>
      <c r="M22" s="129">
        <f t="shared" si="2"/>
        <v>368503.83372631343</v>
      </c>
      <c r="N22" s="129">
        <f t="shared" si="2"/>
        <v>360233.88468289346</v>
      </c>
    </row>
    <row r="23" spans="2:14" x14ac:dyDescent="0.2">
      <c r="B23" s="61" t="s">
        <v>54</v>
      </c>
      <c r="D23" s="48">
        <v>1</v>
      </c>
      <c r="E23" s="48">
        <f t="shared" ref="E23:N23" si="3">E16</f>
        <v>0.89285714285714279</v>
      </c>
      <c r="F23" s="48">
        <f t="shared" si="3"/>
        <v>0.79719387755102034</v>
      </c>
      <c r="G23" s="48">
        <f t="shared" si="3"/>
        <v>0.71178024781341087</v>
      </c>
      <c r="H23" s="48">
        <f t="shared" si="3"/>
        <v>0.63551807840483121</v>
      </c>
      <c r="I23" s="48">
        <f t="shared" si="3"/>
        <v>0.56742685571859919</v>
      </c>
      <c r="J23" s="48">
        <f t="shared" si="3"/>
        <v>0.50663112117732068</v>
      </c>
      <c r="K23" s="48">
        <f t="shared" si="3"/>
        <v>0.45234921533689343</v>
      </c>
      <c r="L23" s="48">
        <f t="shared" si="3"/>
        <v>0.4038832279793691</v>
      </c>
      <c r="M23" s="48">
        <f t="shared" si="3"/>
        <v>0.36061002498157957</v>
      </c>
      <c r="N23" s="48">
        <f t="shared" si="3"/>
        <v>0.32197323659069599</v>
      </c>
    </row>
    <row r="24" spans="2:14" x14ac:dyDescent="0.2">
      <c r="B24" s="61" t="s">
        <v>58</v>
      </c>
      <c r="C24" s="129"/>
      <c r="D24" s="129">
        <f t="shared" ref="D24:N24" si="4">D22*D23</f>
        <v>916065.47500000009</v>
      </c>
      <c r="E24" s="129">
        <f t="shared" si="4"/>
        <v>296850.53671875002</v>
      </c>
      <c r="F24" s="129">
        <f t="shared" si="4"/>
        <v>243564.66757904796</v>
      </c>
      <c r="G24" s="129">
        <f t="shared" si="4"/>
        <v>252356.83533079241</v>
      </c>
      <c r="H24" s="129">
        <f t="shared" si="4"/>
        <v>224080.30348993276</v>
      </c>
      <c r="I24" s="129">
        <f t="shared" si="4"/>
        <v>199829.61861237456</v>
      </c>
      <c r="J24" s="129">
        <f t="shared" si="4"/>
        <v>175381.38941500577</v>
      </c>
      <c r="K24" s="129">
        <f t="shared" si="4"/>
        <v>158135.36659244361</v>
      </c>
      <c r="L24" s="129">
        <f t="shared" si="4"/>
        <v>147413.50304982057</v>
      </c>
      <c r="M24" s="129">
        <f t="shared" si="4"/>
        <v>132886.17668585372</v>
      </c>
      <c r="N24" s="196">
        <f t="shared" si="4"/>
        <v>115985.66978099075</v>
      </c>
    </row>
    <row r="26" spans="2:14" x14ac:dyDescent="0.2">
      <c r="B26" s="61" t="s">
        <v>59</v>
      </c>
      <c r="D26" s="129">
        <f t="shared" ref="D26:N26" si="5">D15-D22</f>
        <v>-916065.47500000009</v>
      </c>
      <c r="E26" s="129">
        <f t="shared" si="5"/>
        <v>-332472.60112500004</v>
      </c>
      <c r="F26" s="129">
        <f t="shared" si="5"/>
        <v>-305527.5190111578</v>
      </c>
      <c r="G26" s="129">
        <f t="shared" si="5"/>
        <v>-354543.18394761963</v>
      </c>
      <c r="H26" s="129">
        <f t="shared" si="5"/>
        <v>-352594.69573608483</v>
      </c>
      <c r="I26" s="129">
        <f t="shared" si="5"/>
        <v>-352168.06641854637</v>
      </c>
      <c r="J26" s="129">
        <f t="shared" si="5"/>
        <v>-346171.76498642762</v>
      </c>
      <c r="K26" s="129">
        <f t="shared" si="5"/>
        <v>-349586.91477925982</v>
      </c>
      <c r="L26" s="129">
        <f t="shared" si="5"/>
        <v>-364990.40523997857</v>
      </c>
      <c r="M26" s="129">
        <f t="shared" si="5"/>
        <v>-368503.83372631343</v>
      </c>
      <c r="N26" s="129">
        <f t="shared" si="5"/>
        <v>-360233.88468289346</v>
      </c>
    </row>
    <row r="27" spans="2:14" x14ac:dyDescent="0.2">
      <c r="B27" s="61" t="s">
        <v>92</v>
      </c>
      <c r="D27" s="129">
        <f t="shared" ref="D27:N27" si="6">+D17-D24</f>
        <v>-916065.47500000009</v>
      </c>
      <c r="E27" s="129">
        <f t="shared" si="6"/>
        <v>-296850.53671875002</v>
      </c>
      <c r="F27" s="129">
        <f t="shared" si="6"/>
        <v>-243564.66757904796</v>
      </c>
      <c r="G27" s="129">
        <f t="shared" si="6"/>
        <v>-252356.83533079241</v>
      </c>
      <c r="H27" s="129">
        <f t="shared" si="6"/>
        <v>-224080.30348993276</v>
      </c>
      <c r="I27" s="129">
        <f t="shared" si="6"/>
        <v>-199829.61861237456</v>
      </c>
      <c r="J27" s="129">
        <f t="shared" si="6"/>
        <v>-175381.38941500577</v>
      </c>
      <c r="K27" s="129">
        <f t="shared" si="6"/>
        <v>-158135.36659244361</v>
      </c>
      <c r="L27" s="129">
        <f t="shared" si="6"/>
        <v>-147413.50304982057</v>
      </c>
      <c r="M27" s="129">
        <f t="shared" si="6"/>
        <v>-132886.17668585372</v>
      </c>
      <c r="N27" s="129">
        <f t="shared" si="6"/>
        <v>-115985.66978099075</v>
      </c>
    </row>
    <row r="29" spans="2:14" x14ac:dyDescent="0.2">
      <c r="B29" s="61" t="s">
        <v>90</v>
      </c>
      <c r="C29" s="67">
        <f>SUM(D17:N17)</f>
        <v>0</v>
      </c>
    </row>
    <row r="30" spans="2:14" x14ac:dyDescent="0.2">
      <c r="B30" s="61" t="s">
        <v>91</v>
      </c>
      <c r="C30" s="129">
        <f>SUM(D24:N24)</f>
        <v>2862549.5422550119</v>
      </c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2:14" x14ac:dyDescent="0.2">
      <c r="B31" s="61" t="s">
        <v>60</v>
      </c>
      <c r="C31" s="209">
        <f>C29-C30</f>
        <v>-2862549.5422550119</v>
      </c>
    </row>
    <row r="32" spans="2:14" x14ac:dyDescent="0.2">
      <c r="B32" s="61" t="s">
        <v>61</v>
      </c>
      <c r="C32" s="210" t="str">
        <f>IFERROR(IRR(D26:N26),"Negative")</f>
        <v>Negative</v>
      </c>
    </row>
    <row r="33" spans="2:15" x14ac:dyDescent="0.2">
      <c r="B33" s="61" t="s">
        <v>100</v>
      </c>
      <c r="C33" s="211">
        <f>C29/C30</f>
        <v>0</v>
      </c>
    </row>
    <row r="34" spans="2:15" x14ac:dyDescent="0.2">
      <c r="B34" s="61"/>
      <c r="C34" s="212"/>
    </row>
    <row r="35" spans="2:15" x14ac:dyDescent="0.2">
      <c r="B35" s="213" t="s">
        <v>108</v>
      </c>
      <c r="D35" s="214">
        <f>'Profit &amp; Loss'!C27/Depreciation!$D$31</f>
        <v>-2.3461970756943784E-2</v>
      </c>
      <c r="E35" s="214">
        <f>'Profit &amp; Loss'!D27/Depreciation!$D$31</f>
        <v>-0.4643437356094407</v>
      </c>
      <c r="F35" s="214">
        <f>'Profit &amp; Loss'!E27/Depreciation!$D$31</f>
        <v>-0.49815557281061551</v>
      </c>
      <c r="G35" s="214">
        <f>'Profit &amp; Loss'!F27/Depreciation!$D$31</f>
        <v>-0.48095019066803302</v>
      </c>
      <c r="H35" s="214">
        <f>'Profit &amp; Loss'!G27/Depreciation!$D$31</f>
        <v>-0.46970406040656115</v>
      </c>
      <c r="I35" s="214">
        <f>'Profit &amp; Loss'!H27/Depreciation!$D$31</f>
        <v>-0.46275472870684287</v>
      </c>
      <c r="J35" s="214">
        <f>'Profit &amp; Loss'!I27/Depreciation!$D$31</f>
        <v>-0.46636303920365429</v>
      </c>
      <c r="K35" s="214">
        <f>'Profit &amp; Loss'!J27/Depreciation!$D$31</f>
        <v>-0.47005275670426033</v>
      </c>
      <c r="L35" s="214">
        <f>'Profit &amp; Loss'!K27/Depreciation!$D$31</f>
        <v>-0.46046903638686415</v>
      </c>
      <c r="M35" s="214">
        <f>'Profit &amp; Loss'!L27/Depreciation!$D$31</f>
        <v>-0.45093525095750875</v>
      </c>
      <c r="N35" s="214">
        <f>'Profit &amp; Loss'!M27/Depreciation!$D$31</f>
        <v>-0.4546559749357969</v>
      </c>
      <c r="O35" s="215"/>
    </row>
    <row r="36" spans="2:15" x14ac:dyDescent="0.2">
      <c r="B36" s="216" t="s">
        <v>110</v>
      </c>
    </row>
    <row r="37" spans="2:15" x14ac:dyDescent="0.2">
      <c r="B37" s="216" t="s">
        <v>121</v>
      </c>
      <c r="C37" s="214">
        <f>AVERAGE(D35:N35)</f>
        <v>-0.42744057428604737</v>
      </c>
    </row>
    <row r="38" spans="2:15" x14ac:dyDescent="0.2">
      <c r="B38" s="216"/>
    </row>
    <row r="39" spans="2:15" x14ac:dyDescent="0.2">
      <c r="B39" s="213" t="s">
        <v>122</v>
      </c>
      <c r="D39" s="214">
        <f>'Profit &amp; Loss'!C27/('Plant, Prop &amp; Equip'!$C$13-'Plant, Prop &amp; Equip'!$G$9)</f>
        <v>-4.6923941513887568E-2</v>
      </c>
      <c r="E39" s="214">
        <f>'Profit &amp; Loss'!D27/('Plant, Prop &amp; Equip'!$C$13-'Plant, Prop &amp; Equip'!$G$9)</f>
        <v>-0.9286874712188814</v>
      </c>
      <c r="F39" s="214">
        <f>'Profit &amp; Loss'!E27/('Plant, Prop &amp; Equip'!$C$13-'Plant, Prop &amp; Equip'!$G$9)</f>
        <v>-0.99631114562123102</v>
      </c>
      <c r="G39" s="214">
        <f>'Profit &amp; Loss'!F27/('Plant, Prop &amp; Equip'!$C$13-'Plant, Prop &amp; Equip'!$G$9)</f>
        <v>-0.96190038133606603</v>
      </c>
      <c r="H39" s="214">
        <f>'Profit &amp; Loss'!G27/('Plant, Prop &amp; Equip'!$C$13-'Plant, Prop &amp; Equip'!$G$9)</f>
        <v>-0.9394081208131223</v>
      </c>
      <c r="I39" s="214">
        <f>'Profit &amp; Loss'!H27/('Plant, Prop &amp; Equip'!$C$13-'Plant, Prop &amp; Equip'!$G$9)</f>
        <v>-0.92550945741368573</v>
      </c>
      <c r="J39" s="214">
        <f>'Profit &amp; Loss'!I27/('Plant, Prop &amp; Equip'!$C$13-'Plant, Prop &amp; Equip'!$G$9)</f>
        <v>-0.93272607840730859</v>
      </c>
      <c r="K39" s="214">
        <f>'Profit &amp; Loss'!J27/('Plant, Prop &amp; Equip'!$C$13-'Plant, Prop &amp; Equip'!$G$9)</f>
        <v>-0.94010551340852067</v>
      </c>
      <c r="L39" s="214">
        <f>'Profit &amp; Loss'!K27/('Plant, Prop &amp; Equip'!$C$13-'Plant, Prop &amp; Equip'!$G$9)</f>
        <v>-0.9209380727737283</v>
      </c>
      <c r="M39" s="214">
        <f>'Profit &amp; Loss'!L27/('Plant, Prop &amp; Equip'!$C$13-'Plant, Prop &amp; Equip'!$G$9)</f>
        <v>-0.9018705019150175</v>
      </c>
      <c r="N39" s="214">
        <f>'Profit &amp; Loss'!M27/('Plant, Prop &amp; Equip'!$C$13-'Plant, Prop &amp; Equip'!$G$9)</f>
        <v>-0.90931194987159381</v>
      </c>
    </row>
    <row r="40" spans="2:15" x14ac:dyDescent="0.2">
      <c r="B40" s="216" t="s">
        <v>120</v>
      </c>
    </row>
    <row r="41" spans="2:15" x14ac:dyDescent="0.2">
      <c r="B41" s="216" t="s">
        <v>123</v>
      </c>
      <c r="C41" s="214">
        <f>AVERAGE(D39:N39)</f>
        <v>-0.85488114857209474</v>
      </c>
    </row>
    <row r="43" spans="2:15" x14ac:dyDescent="0.2">
      <c r="B43" s="204" t="s">
        <v>112</v>
      </c>
      <c r="C43" s="48" t="str">
        <f>IF(MIN(E61:N61)&gt;0,MIN(E61:N61),"")</f>
        <v/>
      </c>
    </row>
    <row r="44" spans="2:15" x14ac:dyDescent="0.2">
      <c r="B44" s="216" t="s">
        <v>113</v>
      </c>
    </row>
    <row r="61" spans="5:14" x14ac:dyDescent="0.2">
      <c r="E61" s="217" t="str">
        <f>IF(SUM('Profit &amp; Loss'!$D$36:E36)&gt;'Plant, Prop &amp; Equip'!$C$13,1,"")</f>
        <v/>
      </c>
      <c r="F61" s="217" t="str">
        <f>IF(SUM('Profit &amp; Loss'!$D$36:F36)&gt;'Plant, Prop &amp; Equip'!$C$13,1,"")</f>
        <v/>
      </c>
      <c r="G61" s="217" t="str">
        <f>IF(SUM('Profit &amp; Loss'!$D$36:G36)&gt;'Plant, Prop &amp; Equip'!$C$13,1,"")</f>
        <v/>
      </c>
      <c r="H61" s="217" t="str">
        <f>IF(SUM('Profit &amp; Loss'!$D$36:H36)&gt;'Plant, Prop &amp; Equip'!$C$13,1,"")</f>
        <v/>
      </c>
      <c r="I61" s="217" t="str">
        <f>IF(SUM('Profit &amp; Loss'!$D$36:I36)&gt;'Plant, Prop &amp; Equip'!$C$13,1,"")</f>
        <v/>
      </c>
      <c r="J61" s="217" t="str">
        <f>IF(SUM('Profit &amp; Loss'!$D$36:J36)&gt;'Plant, Prop &amp; Equip'!$C$13,1,"")</f>
        <v/>
      </c>
      <c r="K61" s="217" t="str">
        <f>IF(SUM('Profit &amp; Loss'!$D$36:K36)&gt;'Plant, Prop &amp; Equip'!$C$13,1,"")</f>
        <v/>
      </c>
      <c r="L61" s="217" t="str">
        <f>IF(SUM('Profit &amp; Loss'!$D$36:L36)&gt;'Plant, Prop &amp; Equip'!$C$13,1,"")</f>
        <v/>
      </c>
      <c r="M61" s="217" t="str">
        <f>IF(SUM('Profit &amp; Loss'!$D$36:M36)&gt;'Plant, Prop &amp; Equip'!$C$13,1,"")</f>
        <v/>
      </c>
      <c r="N61" s="217" t="str">
        <f>IF(SUM('Profit &amp; Loss'!$D$36:N36)&gt;'Plant, Prop &amp; Equip'!$C$13,1,"")</f>
        <v/>
      </c>
    </row>
  </sheetData>
  <sheetProtection password="E114" sheet="1" objects="1" scenarios="1" selectLockedCells="1"/>
  <phoneticPr fontId="0" type="noConversion"/>
  <hyperlinks>
    <hyperlink ref="B3" location="'Plant, Prop &amp; Equip'!A1" display="Plant, Property, &amp; Equipment"/>
    <hyperlink ref="B4" location="'Production Assumptions'!A1" display="Production Assumptions"/>
    <hyperlink ref="B5" location="'Personnel Expenses'!A1" display="Personnel Expenses"/>
    <hyperlink ref="B6" location="'Market Projection'!A1" display="Market Projection"/>
    <hyperlink ref="B7" location="'Expense Projection'!A1" display="Expense Projection"/>
    <hyperlink ref="B8" location="'Profit &amp; Loss'!A1" display="Profit/Loss Summary"/>
  </hyperlinks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16"/>
  <sheetViews>
    <sheetView showGridLines="0" showRowColHeaders="0" zoomScaleNormal="100" workbookViewId="0">
      <selection activeCell="B4" sqref="B4"/>
    </sheetView>
  </sheetViews>
  <sheetFormatPr defaultColWidth="8.85546875" defaultRowHeight="12.75" x14ac:dyDescent="0.2"/>
  <cols>
    <col min="1" max="1" width="5.7109375" style="48" customWidth="1"/>
    <col min="2" max="2" width="41.7109375" style="48" customWidth="1"/>
    <col min="3" max="10" width="11.140625" style="48" bestFit="1" customWidth="1"/>
    <col min="11" max="11" width="64.28515625" style="48" customWidth="1"/>
    <col min="12" max="16384" width="8.85546875" style="48"/>
  </cols>
  <sheetData>
    <row r="1" spans="2:9" x14ac:dyDescent="0.2">
      <c r="B1" s="61" t="s">
        <v>412</v>
      </c>
    </row>
    <row r="2" spans="2:9" x14ac:dyDescent="0.2">
      <c r="B2" s="62" t="s">
        <v>480</v>
      </c>
    </row>
    <row r="3" spans="2:9" x14ac:dyDescent="0.2">
      <c r="B3" s="57" t="s">
        <v>415</v>
      </c>
    </row>
    <row r="4" spans="2:9" x14ac:dyDescent="0.2">
      <c r="B4" s="78" t="s">
        <v>408</v>
      </c>
      <c r="E4" s="279" t="s">
        <v>456</v>
      </c>
      <c r="F4" s="280"/>
      <c r="G4" s="221">
        <v>0</v>
      </c>
    </row>
    <row r="5" spans="2:9" x14ac:dyDescent="0.2">
      <c r="B5" s="78" t="s">
        <v>409</v>
      </c>
      <c r="E5" s="281" t="s">
        <v>487</v>
      </c>
      <c r="F5" s="278"/>
      <c r="G5" s="222">
        <f>C13-G4</f>
        <v>895065.47500000009</v>
      </c>
    </row>
    <row r="6" spans="2:9" x14ac:dyDescent="0.2">
      <c r="B6" s="78" t="s">
        <v>410</v>
      </c>
      <c r="E6" s="277" t="s">
        <v>13</v>
      </c>
      <c r="F6" s="278"/>
      <c r="G6" s="223">
        <v>0.5</v>
      </c>
    </row>
    <row r="7" spans="2:9" x14ac:dyDescent="0.2">
      <c r="B7" s="78" t="s">
        <v>411</v>
      </c>
      <c r="E7" s="277" t="s">
        <v>12</v>
      </c>
      <c r="F7" s="278"/>
      <c r="G7" s="223">
        <v>7.4999999999999997E-2</v>
      </c>
    </row>
    <row r="8" spans="2:9" x14ac:dyDescent="0.2">
      <c r="B8" s="78" t="s">
        <v>413</v>
      </c>
      <c r="E8" s="277" t="s">
        <v>11</v>
      </c>
      <c r="F8" s="278"/>
      <c r="G8" s="224">
        <v>40</v>
      </c>
    </row>
    <row r="9" spans="2:9" x14ac:dyDescent="0.2">
      <c r="B9" s="78" t="s">
        <v>414</v>
      </c>
      <c r="C9" s="64"/>
      <c r="E9" s="275" t="s">
        <v>416</v>
      </c>
      <c r="F9" s="276"/>
      <c r="G9" s="225">
        <f>G5*G6</f>
        <v>447532.73750000005</v>
      </c>
    </row>
    <row r="10" spans="2:9" x14ac:dyDescent="0.2">
      <c r="E10" s="64" t="s">
        <v>418</v>
      </c>
      <c r="F10" s="220"/>
    </row>
    <row r="11" spans="2:9" x14ac:dyDescent="0.2">
      <c r="E11" s="64" t="s">
        <v>435</v>
      </c>
      <c r="H11" s="78" t="s">
        <v>417</v>
      </c>
    </row>
    <row r="12" spans="2:9" ht="13.5" thickBot="1" x14ac:dyDescent="0.25"/>
    <row r="13" spans="2:9" ht="13.5" thickBot="1" x14ac:dyDescent="0.25">
      <c r="B13" s="61" t="s">
        <v>268</v>
      </c>
      <c r="C13" s="65">
        <f>C18+C33+C113</f>
        <v>895065.47500000009</v>
      </c>
      <c r="D13" s="64" t="s">
        <v>434</v>
      </c>
      <c r="I13" s="78" t="s">
        <v>46</v>
      </c>
    </row>
    <row r="14" spans="2:9" x14ac:dyDescent="0.2">
      <c r="D14" s="64" t="s">
        <v>433</v>
      </c>
    </row>
    <row r="15" spans="2:9" x14ac:dyDescent="0.2">
      <c r="D15" s="64"/>
      <c r="I15" s="63"/>
    </row>
    <row r="16" spans="2:9" x14ac:dyDescent="0.2">
      <c r="B16" s="66" t="s">
        <v>267</v>
      </c>
      <c r="C16" s="79" t="s">
        <v>124</v>
      </c>
    </row>
    <row r="17" spans="2:10" x14ac:dyDescent="0.2">
      <c r="C17" s="67"/>
    </row>
    <row r="18" spans="2:10" x14ac:dyDescent="0.2">
      <c r="B18" s="61" t="s">
        <v>271</v>
      </c>
      <c r="C18" s="80">
        <v>25000</v>
      </c>
    </row>
    <row r="20" spans="2:10" x14ac:dyDescent="0.2">
      <c r="D20" s="68" t="s">
        <v>253</v>
      </c>
      <c r="E20" s="68" t="s">
        <v>254</v>
      </c>
      <c r="F20" s="68" t="s">
        <v>255</v>
      </c>
      <c r="G20" s="68" t="s">
        <v>256</v>
      </c>
      <c r="H20" s="68" t="s">
        <v>257</v>
      </c>
      <c r="I20" s="68" t="s">
        <v>258</v>
      </c>
      <c r="J20" s="68" t="s">
        <v>259</v>
      </c>
    </row>
    <row r="21" spans="2:10" x14ac:dyDescent="0.2">
      <c r="B21" s="61" t="s">
        <v>269</v>
      </c>
      <c r="D21" s="68" t="s">
        <v>260</v>
      </c>
      <c r="E21" s="68" t="s">
        <v>261</v>
      </c>
      <c r="F21" s="68" t="s">
        <v>262</v>
      </c>
      <c r="G21" s="68" t="s">
        <v>263</v>
      </c>
      <c r="H21" s="68" t="s">
        <v>264</v>
      </c>
      <c r="I21" s="68" t="s">
        <v>265</v>
      </c>
      <c r="J21" s="68" t="s">
        <v>266</v>
      </c>
    </row>
    <row r="22" spans="2:10" x14ac:dyDescent="0.2">
      <c r="B22" s="48" t="s">
        <v>248</v>
      </c>
      <c r="D22" s="81">
        <v>3000</v>
      </c>
      <c r="E22" s="81">
        <v>1800</v>
      </c>
      <c r="F22" s="81">
        <v>2400</v>
      </c>
      <c r="G22" s="81">
        <v>1800</v>
      </c>
      <c r="H22" s="81">
        <v>3000</v>
      </c>
      <c r="I22" s="81">
        <v>3000</v>
      </c>
      <c r="J22" s="81">
        <v>3000</v>
      </c>
    </row>
    <row r="23" spans="2:10" x14ac:dyDescent="0.2">
      <c r="B23" s="48" t="s">
        <v>249</v>
      </c>
      <c r="D23" s="81">
        <v>600</v>
      </c>
      <c r="E23" s="81">
        <v>400</v>
      </c>
      <c r="F23" s="81">
        <v>500</v>
      </c>
      <c r="G23" s="81">
        <v>400</v>
      </c>
      <c r="H23" s="81">
        <v>600</v>
      </c>
      <c r="I23" s="81">
        <v>600</v>
      </c>
      <c r="J23" s="81">
        <v>600</v>
      </c>
    </row>
    <row r="24" spans="2:10" x14ac:dyDescent="0.2">
      <c r="B24" s="69" t="s">
        <v>242</v>
      </c>
      <c r="C24" s="82">
        <v>150</v>
      </c>
      <c r="D24" s="70">
        <f t="shared" ref="D24:J24" si="0">D22*$C24</f>
        <v>450000</v>
      </c>
      <c r="E24" s="70">
        <f>E22*$C24</f>
        <v>270000</v>
      </c>
      <c r="F24" s="70">
        <f>F22*$C24</f>
        <v>360000</v>
      </c>
      <c r="G24" s="70">
        <f>G22*$C24</f>
        <v>270000</v>
      </c>
      <c r="H24" s="70">
        <f t="shared" si="0"/>
        <v>450000</v>
      </c>
      <c r="I24" s="70">
        <f t="shared" si="0"/>
        <v>450000</v>
      </c>
      <c r="J24" s="70">
        <f t="shared" si="0"/>
        <v>450000</v>
      </c>
    </row>
    <row r="25" spans="2:10" x14ac:dyDescent="0.2">
      <c r="B25" s="69" t="s">
        <v>243</v>
      </c>
      <c r="C25" s="82">
        <v>125</v>
      </c>
      <c r="D25" s="70">
        <f t="shared" ref="D25:J25" si="1">D$23*$C25</f>
        <v>75000</v>
      </c>
      <c r="E25" s="70">
        <f>E$23*$C25</f>
        <v>50000</v>
      </c>
      <c r="F25" s="70">
        <f>F$23*$C25</f>
        <v>62500</v>
      </c>
      <c r="G25" s="70">
        <f>G$23*$C25</f>
        <v>50000</v>
      </c>
      <c r="H25" s="70">
        <f t="shared" si="1"/>
        <v>75000</v>
      </c>
      <c r="I25" s="70">
        <f t="shared" si="1"/>
        <v>75000</v>
      </c>
      <c r="J25" s="70">
        <f t="shared" si="1"/>
        <v>75000</v>
      </c>
    </row>
    <row r="26" spans="2:10" x14ac:dyDescent="0.2">
      <c r="B26" s="69" t="s">
        <v>244</v>
      </c>
      <c r="C26" s="82">
        <v>12000</v>
      </c>
      <c r="D26" s="70">
        <f>1*$C26</f>
        <v>12000</v>
      </c>
      <c r="E26" s="70">
        <f>0.5*$C26</f>
        <v>6000</v>
      </c>
      <c r="F26" s="70">
        <f>1*$C26</f>
        <v>12000</v>
      </c>
      <c r="G26" s="70">
        <f>0.5*$C26</f>
        <v>6000</v>
      </c>
      <c r="H26" s="70">
        <f t="shared" ref="H26:J29" si="2">$C26</f>
        <v>12000</v>
      </c>
      <c r="I26" s="70">
        <f t="shared" si="2"/>
        <v>12000</v>
      </c>
      <c r="J26" s="70">
        <f t="shared" si="2"/>
        <v>12000</v>
      </c>
    </row>
    <row r="27" spans="2:10" x14ac:dyDescent="0.2">
      <c r="B27" s="69" t="s">
        <v>245</v>
      </c>
      <c r="C27" s="82">
        <v>3000</v>
      </c>
      <c r="D27" s="70">
        <f t="shared" ref="D27:D29" si="3">$C27</f>
        <v>3000</v>
      </c>
      <c r="E27" s="70">
        <f t="shared" ref="E27:G29" si="4">$C27</f>
        <v>3000</v>
      </c>
      <c r="F27" s="70">
        <f t="shared" si="4"/>
        <v>3000</v>
      </c>
      <c r="G27" s="70">
        <f t="shared" si="4"/>
        <v>3000</v>
      </c>
      <c r="H27" s="70">
        <f t="shared" si="2"/>
        <v>3000</v>
      </c>
      <c r="I27" s="70">
        <f t="shared" si="2"/>
        <v>3000</v>
      </c>
      <c r="J27" s="70">
        <f t="shared" si="2"/>
        <v>3000</v>
      </c>
    </row>
    <row r="28" spans="2:10" x14ac:dyDescent="0.2">
      <c r="B28" s="69" t="s">
        <v>246</v>
      </c>
      <c r="C28" s="82">
        <v>4500</v>
      </c>
      <c r="D28" s="70">
        <f t="shared" si="3"/>
        <v>4500</v>
      </c>
      <c r="E28" s="70">
        <f t="shared" si="4"/>
        <v>4500</v>
      </c>
      <c r="F28" s="70">
        <f t="shared" si="4"/>
        <v>4500</v>
      </c>
      <c r="G28" s="70">
        <f t="shared" si="4"/>
        <v>4500</v>
      </c>
      <c r="H28" s="70">
        <f t="shared" si="2"/>
        <v>4500</v>
      </c>
      <c r="I28" s="70">
        <f t="shared" si="2"/>
        <v>4500</v>
      </c>
      <c r="J28" s="70">
        <f t="shared" si="2"/>
        <v>4500</v>
      </c>
    </row>
    <row r="29" spans="2:10" x14ac:dyDescent="0.2">
      <c r="B29" s="69" t="s">
        <v>247</v>
      </c>
      <c r="C29" s="82">
        <v>5000</v>
      </c>
      <c r="D29" s="70">
        <f t="shared" si="3"/>
        <v>5000</v>
      </c>
      <c r="E29" s="70">
        <f t="shared" si="4"/>
        <v>5000</v>
      </c>
      <c r="F29" s="70">
        <f t="shared" si="4"/>
        <v>5000</v>
      </c>
      <c r="G29" s="70">
        <f t="shared" si="4"/>
        <v>5000</v>
      </c>
      <c r="H29" s="70">
        <f t="shared" si="2"/>
        <v>5000</v>
      </c>
      <c r="I29" s="70">
        <f t="shared" si="2"/>
        <v>5000</v>
      </c>
      <c r="J29" s="70">
        <f t="shared" si="2"/>
        <v>5000</v>
      </c>
    </row>
    <row r="30" spans="2:10" x14ac:dyDescent="0.2">
      <c r="B30" s="71" t="s">
        <v>252</v>
      </c>
      <c r="C30" s="83">
        <v>0.1</v>
      </c>
      <c r="D30" s="70">
        <f t="shared" ref="D30:J30" si="5">SUM(D24:D29)*$C30</f>
        <v>54950</v>
      </c>
      <c r="E30" s="70">
        <f>SUM(E24:E29)*$C30</f>
        <v>33850</v>
      </c>
      <c r="F30" s="70">
        <f>SUM(F24:F29)*$C30</f>
        <v>44700</v>
      </c>
      <c r="G30" s="70">
        <f>SUM(G24:G29)*$C30</f>
        <v>33850</v>
      </c>
      <c r="H30" s="70">
        <f t="shared" si="5"/>
        <v>54950</v>
      </c>
      <c r="I30" s="70">
        <f t="shared" si="5"/>
        <v>54950</v>
      </c>
      <c r="J30" s="70">
        <f t="shared" si="5"/>
        <v>54950</v>
      </c>
    </row>
    <row r="31" spans="2:10" x14ac:dyDescent="0.2">
      <c r="C31" s="48" t="s">
        <v>241</v>
      </c>
      <c r="D31" s="67">
        <f t="shared" ref="D31:J31" si="6">SUM(D24:D30)</f>
        <v>604450</v>
      </c>
      <c r="E31" s="67">
        <f t="shared" si="6"/>
        <v>372350</v>
      </c>
      <c r="F31" s="67">
        <f t="shared" si="6"/>
        <v>491700</v>
      </c>
      <c r="G31" s="67">
        <f t="shared" si="6"/>
        <v>372350</v>
      </c>
      <c r="H31" s="67">
        <f t="shared" si="6"/>
        <v>604450</v>
      </c>
      <c r="I31" s="67">
        <f t="shared" si="6"/>
        <v>604450</v>
      </c>
      <c r="J31" s="67">
        <f t="shared" si="6"/>
        <v>604450</v>
      </c>
    </row>
    <row r="33" spans="2:11" x14ac:dyDescent="0.2">
      <c r="B33" s="61" t="s">
        <v>273</v>
      </c>
      <c r="C33" s="72">
        <f>IF($C$16="A",D31,IF($C$16="B",G31,IF($C$16="C",F31,IF($C$16="D",E31,IF($C$16="CB",J31,IF($C$16="DB",I31,IF($C$16="DC",H31,)))))))</f>
        <v>604450</v>
      </c>
    </row>
    <row r="35" spans="2:11" x14ac:dyDescent="0.2">
      <c r="B35" s="61" t="s">
        <v>270</v>
      </c>
      <c r="D35" s="48" t="s">
        <v>125</v>
      </c>
    </row>
    <row r="36" spans="2:11" x14ac:dyDescent="0.2">
      <c r="D36" s="68" t="s">
        <v>253</v>
      </c>
      <c r="E36" s="68" t="s">
        <v>254</v>
      </c>
      <c r="F36" s="68" t="s">
        <v>255</v>
      </c>
      <c r="G36" s="68" t="s">
        <v>256</v>
      </c>
      <c r="H36" s="68" t="s">
        <v>257</v>
      </c>
      <c r="I36" s="68" t="s">
        <v>258</v>
      </c>
      <c r="J36" s="68" t="s">
        <v>259</v>
      </c>
    </row>
    <row r="37" spans="2:11" x14ac:dyDescent="0.2">
      <c r="B37" s="48" t="s">
        <v>126</v>
      </c>
      <c r="C37" s="48" t="s">
        <v>127</v>
      </c>
      <c r="D37" s="68" t="s">
        <v>260</v>
      </c>
      <c r="E37" s="68" t="s">
        <v>261</v>
      </c>
      <c r="F37" s="68" t="s">
        <v>262</v>
      </c>
      <c r="G37" s="68" t="s">
        <v>263</v>
      </c>
      <c r="H37" s="68" t="s">
        <v>264</v>
      </c>
      <c r="I37" s="68" t="s">
        <v>265</v>
      </c>
      <c r="J37" s="68" t="s">
        <v>266</v>
      </c>
      <c r="K37" s="48" t="s">
        <v>128</v>
      </c>
    </row>
    <row r="38" spans="2:11" x14ac:dyDescent="0.2">
      <c r="B38" s="265" t="s">
        <v>129</v>
      </c>
      <c r="C38" s="266" t="s">
        <v>124</v>
      </c>
      <c r="D38" s="82">
        <v>2800</v>
      </c>
      <c r="E38" s="70">
        <f t="shared" ref="E38:E69" si="7">IF(OR($C38="D",$C38="A",$C38="DC",$C38="DB"),$D38,)</f>
        <v>2800</v>
      </c>
      <c r="F38" s="70">
        <f t="shared" ref="F38:F69" si="8">IF(OR($C38="C",$C38="A", $C38="DC",$C38="CB"),$D38,)</f>
        <v>2800</v>
      </c>
      <c r="G38" s="70">
        <f t="shared" ref="G38:G69" si="9">IF(OR($C38="B",$C38="A",$C38="DB",$C38="CB"),$D38,)</f>
        <v>2800</v>
      </c>
      <c r="H38" s="70">
        <f t="shared" ref="H38:H107" si="10">IF(OR($C38="A",$C38="C",$C38="D",$C38="DC"),$D38,)</f>
        <v>2800</v>
      </c>
      <c r="I38" s="70">
        <f t="shared" ref="I38:I107" si="11">IF(OR($C38="A",$C38="D",$C38="B",$C38="DB"),$D38,)</f>
        <v>2800</v>
      </c>
      <c r="J38" s="70">
        <f t="shared" ref="J38:J107" si="12">IF(OR($C38="A",$C38="C",$C38="B",$C38="CB"),$D38,)</f>
        <v>2800</v>
      </c>
      <c r="K38" s="265" t="s">
        <v>130</v>
      </c>
    </row>
    <row r="39" spans="2:11" x14ac:dyDescent="0.2">
      <c r="B39" s="265" t="s">
        <v>131</v>
      </c>
      <c r="C39" s="266" t="s">
        <v>124</v>
      </c>
      <c r="D39" s="82">
        <v>250</v>
      </c>
      <c r="E39" s="70">
        <f t="shared" si="7"/>
        <v>250</v>
      </c>
      <c r="F39" s="70">
        <f t="shared" si="8"/>
        <v>250</v>
      </c>
      <c r="G39" s="70">
        <f t="shared" si="9"/>
        <v>250</v>
      </c>
      <c r="H39" s="70">
        <f t="shared" si="10"/>
        <v>250</v>
      </c>
      <c r="I39" s="70">
        <f t="shared" si="11"/>
        <v>250</v>
      </c>
      <c r="J39" s="70">
        <f t="shared" si="12"/>
        <v>250</v>
      </c>
      <c r="K39" s="265" t="s">
        <v>132</v>
      </c>
    </row>
    <row r="40" spans="2:11" x14ac:dyDescent="0.2">
      <c r="B40" s="265" t="s">
        <v>133</v>
      </c>
      <c r="C40" s="266" t="s">
        <v>124</v>
      </c>
      <c r="D40" s="82">
        <v>3000</v>
      </c>
      <c r="E40" s="70">
        <f t="shared" si="7"/>
        <v>3000</v>
      </c>
      <c r="F40" s="70">
        <f t="shared" si="8"/>
        <v>3000</v>
      </c>
      <c r="G40" s="70">
        <f t="shared" si="9"/>
        <v>3000</v>
      </c>
      <c r="H40" s="70">
        <f t="shared" si="10"/>
        <v>3000</v>
      </c>
      <c r="I40" s="70">
        <f t="shared" si="11"/>
        <v>3000</v>
      </c>
      <c r="J40" s="70">
        <f t="shared" si="12"/>
        <v>3000</v>
      </c>
      <c r="K40" s="265" t="s">
        <v>134</v>
      </c>
    </row>
    <row r="41" spans="2:11" x14ac:dyDescent="0.2">
      <c r="B41" s="265" t="s">
        <v>135</v>
      </c>
      <c r="C41" s="266" t="s">
        <v>124</v>
      </c>
      <c r="D41" s="82">
        <v>2831</v>
      </c>
      <c r="E41" s="70">
        <f t="shared" si="7"/>
        <v>2831</v>
      </c>
      <c r="F41" s="70">
        <f t="shared" si="8"/>
        <v>2831</v>
      </c>
      <c r="G41" s="70">
        <f t="shared" si="9"/>
        <v>2831</v>
      </c>
      <c r="H41" s="70">
        <f t="shared" si="10"/>
        <v>2831</v>
      </c>
      <c r="I41" s="70">
        <f t="shared" si="11"/>
        <v>2831</v>
      </c>
      <c r="J41" s="70">
        <f t="shared" si="12"/>
        <v>2831</v>
      </c>
      <c r="K41" s="265" t="s">
        <v>136</v>
      </c>
    </row>
    <row r="42" spans="2:11" x14ac:dyDescent="0.2">
      <c r="B42" s="265" t="s">
        <v>137</v>
      </c>
      <c r="C42" s="266" t="s">
        <v>124</v>
      </c>
      <c r="D42" s="82">
        <v>3500</v>
      </c>
      <c r="E42" s="70">
        <f t="shared" si="7"/>
        <v>3500</v>
      </c>
      <c r="F42" s="70">
        <f t="shared" si="8"/>
        <v>3500</v>
      </c>
      <c r="G42" s="70">
        <f t="shared" si="9"/>
        <v>3500</v>
      </c>
      <c r="H42" s="70">
        <f t="shared" si="10"/>
        <v>3500</v>
      </c>
      <c r="I42" s="70">
        <f t="shared" si="11"/>
        <v>3500</v>
      </c>
      <c r="J42" s="70">
        <f t="shared" si="12"/>
        <v>3500</v>
      </c>
      <c r="K42" s="265" t="s">
        <v>138</v>
      </c>
    </row>
    <row r="43" spans="2:11" x14ac:dyDescent="0.2">
      <c r="B43" s="265" t="s">
        <v>139</v>
      </c>
      <c r="C43" s="266" t="s">
        <v>124</v>
      </c>
      <c r="D43" s="82">
        <v>500</v>
      </c>
      <c r="E43" s="70">
        <f t="shared" si="7"/>
        <v>500</v>
      </c>
      <c r="F43" s="70">
        <f t="shared" si="8"/>
        <v>500</v>
      </c>
      <c r="G43" s="70">
        <f t="shared" si="9"/>
        <v>500</v>
      </c>
      <c r="H43" s="70">
        <f t="shared" si="10"/>
        <v>500</v>
      </c>
      <c r="I43" s="70">
        <f t="shared" si="11"/>
        <v>500</v>
      </c>
      <c r="J43" s="70">
        <f t="shared" si="12"/>
        <v>500</v>
      </c>
      <c r="K43" s="265" t="s">
        <v>140</v>
      </c>
    </row>
    <row r="44" spans="2:11" x14ac:dyDescent="0.2">
      <c r="B44" s="265" t="s">
        <v>141</v>
      </c>
      <c r="C44" s="266" t="s">
        <v>124</v>
      </c>
      <c r="D44" s="82">
        <v>1500</v>
      </c>
      <c r="E44" s="70">
        <f t="shared" si="7"/>
        <v>1500</v>
      </c>
      <c r="F44" s="70">
        <f t="shared" si="8"/>
        <v>1500</v>
      </c>
      <c r="G44" s="70">
        <f t="shared" si="9"/>
        <v>1500</v>
      </c>
      <c r="H44" s="70">
        <f t="shared" si="10"/>
        <v>1500</v>
      </c>
      <c r="I44" s="70">
        <f t="shared" si="11"/>
        <v>1500</v>
      </c>
      <c r="J44" s="70">
        <f t="shared" si="12"/>
        <v>1500</v>
      </c>
      <c r="K44" s="265" t="s">
        <v>142</v>
      </c>
    </row>
    <row r="45" spans="2:11" x14ac:dyDescent="0.2">
      <c r="B45" s="265" t="s">
        <v>143</v>
      </c>
      <c r="C45" s="266" t="s">
        <v>124</v>
      </c>
      <c r="D45" s="82">
        <f>3*850</f>
        <v>2550</v>
      </c>
      <c r="E45" s="70">
        <f t="shared" si="7"/>
        <v>2550</v>
      </c>
      <c r="F45" s="70">
        <f t="shared" si="8"/>
        <v>2550</v>
      </c>
      <c r="G45" s="70">
        <f t="shared" si="9"/>
        <v>2550</v>
      </c>
      <c r="H45" s="70">
        <f t="shared" si="10"/>
        <v>2550</v>
      </c>
      <c r="I45" s="70">
        <f t="shared" si="11"/>
        <v>2550</v>
      </c>
      <c r="J45" s="70">
        <f t="shared" si="12"/>
        <v>2550</v>
      </c>
      <c r="K45" s="265" t="s">
        <v>144</v>
      </c>
    </row>
    <row r="46" spans="2:11" x14ac:dyDescent="0.2">
      <c r="B46" s="265" t="s">
        <v>145</v>
      </c>
      <c r="C46" s="266" t="s">
        <v>124</v>
      </c>
      <c r="D46" s="82">
        <f>2*245</f>
        <v>490</v>
      </c>
      <c r="E46" s="70">
        <f t="shared" si="7"/>
        <v>490</v>
      </c>
      <c r="F46" s="70">
        <f t="shared" si="8"/>
        <v>490</v>
      </c>
      <c r="G46" s="70">
        <f t="shared" si="9"/>
        <v>490</v>
      </c>
      <c r="H46" s="70">
        <f t="shared" si="10"/>
        <v>490</v>
      </c>
      <c r="I46" s="70">
        <f t="shared" si="11"/>
        <v>490</v>
      </c>
      <c r="J46" s="70">
        <f t="shared" si="12"/>
        <v>490</v>
      </c>
      <c r="K46" s="265" t="s">
        <v>130</v>
      </c>
    </row>
    <row r="47" spans="2:11" x14ac:dyDescent="0.2">
      <c r="B47" s="265" t="s">
        <v>146</v>
      </c>
      <c r="C47" s="266" t="s">
        <v>124</v>
      </c>
      <c r="D47" s="82">
        <v>5500</v>
      </c>
      <c r="E47" s="70">
        <f t="shared" si="7"/>
        <v>5500</v>
      </c>
      <c r="F47" s="70">
        <f t="shared" si="8"/>
        <v>5500</v>
      </c>
      <c r="G47" s="70">
        <f t="shared" si="9"/>
        <v>5500</v>
      </c>
      <c r="H47" s="70">
        <f t="shared" si="10"/>
        <v>5500</v>
      </c>
      <c r="I47" s="70">
        <f t="shared" si="11"/>
        <v>5500</v>
      </c>
      <c r="J47" s="70">
        <f t="shared" si="12"/>
        <v>5500</v>
      </c>
      <c r="K47" s="265" t="s">
        <v>147</v>
      </c>
    </row>
    <row r="48" spans="2:11" x14ac:dyDescent="0.2">
      <c r="B48" s="265" t="s">
        <v>148</v>
      </c>
      <c r="C48" s="266" t="s">
        <v>124</v>
      </c>
      <c r="D48" s="82">
        <v>2500</v>
      </c>
      <c r="E48" s="70">
        <f t="shared" si="7"/>
        <v>2500</v>
      </c>
      <c r="F48" s="70">
        <f t="shared" si="8"/>
        <v>2500</v>
      </c>
      <c r="G48" s="70">
        <f t="shared" si="9"/>
        <v>2500</v>
      </c>
      <c r="H48" s="70">
        <f t="shared" si="10"/>
        <v>2500</v>
      </c>
      <c r="I48" s="70">
        <f t="shared" si="11"/>
        <v>2500</v>
      </c>
      <c r="J48" s="70">
        <f t="shared" si="12"/>
        <v>2500</v>
      </c>
      <c r="K48" s="265" t="s">
        <v>149</v>
      </c>
    </row>
    <row r="49" spans="2:11" x14ac:dyDescent="0.2">
      <c r="B49" s="265" t="s">
        <v>150</v>
      </c>
      <c r="C49" s="266" t="s">
        <v>124</v>
      </c>
      <c r="D49" s="82">
        <v>600</v>
      </c>
      <c r="E49" s="70">
        <f t="shared" si="7"/>
        <v>600</v>
      </c>
      <c r="F49" s="70">
        <f t="shared" si="8"/>
        <v>600</v>
      </c>
      <c r="G49" s="70">
        <f t="shared" si="9"/>
        <v>600</v>
      </c>
      <c r="H49" s="70">
        <f t="shared" si="10"/>
        <v>600</v>
      </c>
      <c r="I49" s="70">
        <f t="shared" si="11"/>
        <v>600</v>
      </c>
      <c r="J49" s="70">
        <f t="shared" si="12"/>
        <v>600</v>
      </c>
      <c r="K49" s="265" t="s">
        <v>151</v>
      </c>
    </row>
    <row r="50" spans="2:11" x14ac:dyDescent="0.2">
      <c r="B50" s="265" t="s">
        <v>152</v>
      </c>
      <c r="C50" s="266" t="s">
        <v>124</v>
      </c>
      <c r="D50" s="82">
        <v>650</v>
      </c>
      <c r="E50" s="70">
        <f t="shared" si="7"/>
        <v>650</v>
      </c>
      <c r="F50" s="70">
        <f t="shared" si="8"/>
        <v>650</v>
      </c>
      <c r="G50" s="70">
        <f t="shared" si="9"/>
        <v>650</v>
      </c>
      <c r="H50" s="70">
        <f t="shared" si="10"/>
        <v>650</v>
      </c>
      <c r="I50" s="70">
        <f t="shared" si="11"/>
        <v>650</v>
      </c>
      <c r="J50" s="70">
        <f t="shared" si="12"/>
        <v>650</v>
      </c>
      <c r="K50" s="265" t="s">
        <v>132</v>
      </c>
    </row>
    <row r="51" spans="2:11" x14ac:dyDescent="0.2">
      <c r="B51" s="265" t="s">
        <v>153</v>
      </c>
      <c r="C51" s="266" t="s">
        <v>124</v>
      </c>
      <c r="D51" s="82">
        <v>7000</v>
      </c>
      <c r="E51" s="70">
        <f t="shared" si="7"/>
        <v>7000</v>
      </c>
      <c r="F51" s="70">
        <f t="shared" si="8"/>
        <v>7000</v>
      </c>
      <c r="G51" s="70">
        <f t="shared" si="9"/>
        <v>7000</v>
      </c>
      <c r="H51" s="70">
        <f t="shared" si="10"/>
        <v>7000</v>
      </c>
      <c r="I51" s="70">
        <f t="shared" si="11"/>
        <v>7000</v>
      </c>
      <c r="J51" s="70">
        <f t="shared" si="12"/>
        <v>7000</v>
      </c>
      <c r="K51" s="265" t="s">
        <v>154</v>
      </c>
    </row>
    <row r="52" spans="2:11" x14ac:dyDescent="0.2">
      <c r="B52" s="265" t="s">
        <v>155</v>
      </c>
      <c r="C52" s="266" t="s">
        <v>124</v>
      </c>
      <c r="D52" s="82">
        <v>1400</v>
      </c>
      <c r="E52" s="70">
        <f t="shared" si="7"/>
        <v>1400</v>
      </c>
      <c r="F52" s="70">
        <f t="shared" si="8"/>
        <v>1400</v>
      </c>
      <c r="G52" s="70">
        <f t="shared" si="9"/>
        <v>1400</v>
      </c>
      <c r="H52" s="70">
        <f t="shared" si="10"/>
        <v>1400</v>
      </c>
      <c r="I52" s="70">
        <f t="shared" si="11"/>
        <v>1400</v>
      </c>
      <c r="J52" s="70">
        <f t="shared" si="12"/>
        <v>1400</v>
      </c>
      <c r="K52" s="265" t="s">
        <v>130</v>
      </c>
    </row>
    <row r="53" spans="2:11" x14ac:dyDescent="0.2">
      <c r="B53" s="265" t="s">
        <v>156</v>
      </c>
      <c r="C53" s="266" t="s">
        <v>124</v>
      </c>
      <c r="D53" s="82">
        <v>7500</v>
      </c>
      <c r="E53" s="70">
        <f t="shared" si="7"/>
        <v>7500</v>
      </c>
      <c r="F53" s="70">
        <f t="shared" si="8"/>
        <v>7500</v>
      </c>
      <c r="G53" s="70">
        <f t="shared" si="9"/>
        <v>7500</v>
      </c>
      <c r="H53" s="70">
        <f t="shared" si="10"/>
        <v>7500</v>
      </c>
      <c r="I53" s="70">
        <f t="shared" si="11"/>
        <v>7500</v>
      </c>
      <c r="J53" s="70">
        <f t="shared" si="12"/>
        <v>7500</v>
      </c>
      <c r="K53" s="265" t="s">
        <v>157</v>
      </c>
    </row>
    <row r="54" spans="2:11" x14ac:dyDescent="0.2">
      <c r="B54" s="265" t="s">
        <v>158</v>
      </c>
      <c r="C54" s="266" t="s">
        <v>124</v>
      </c>
      <c r="D54" s="82">
        <v>750</v>
      </c>
      <c r="E54" s="70">
        <f t="shared" si="7"/>
        <v>750</v>
      </c>
      <c r="F54" s="70">
        <f t="shared" si="8"/>
        <v>750</v>
      </c>
      <c r="G54" s="70">
        <f t="shared" si="9"/>
        <v>750</v>
      </c>
      <c r="H54" s="70">
        <f t="shared" si="10"/>
        <v>750</v>
      </c>
      <c r="I54" s="70">
        <f t="shared" si="11"/>
        <v>750</v>
      </c>
      <c r="J54" s="70">
        <f t="shared" si="12"/>
        <v>750</v>
      </c>
      <c r="K54" s="265" t="s">
        <v>159</v>
      </c>
    </row>
    <row r="55" spans="2:11" x14ac:dyDescent="0.2">
      <c r="B55" s="265" t="s">
        <v>160</v>
      </c>
      <c r="C55" s="266" t="s">
        <v>124</v>
      </c>
      <c r="D55" s="82">
        <v>1000</v>
      </c>
      <c r="E55" s="70">
        <f t="shared" si="7"/>
        <v>1000</v>
      </c>
      <c r="F55" s="70">
        <f t="shared" si="8"/>
        <v>1000</v>
      </c>
      <c r="G55" s="70">
        <f t="shared" si="9"/>
        <v>1000</v>
      </c>
      <c r="H55" s="70">
        <f t="shared" si="10"/>
        <v>1000</v>
      </c>
      <c r="I55" s="70">
        <f t="shared" si="11"/>
        <v>1000</v>
      </c>
      <c r="J55" s="70">
        <f t="shared" si="12"/>
        <v>1000</v>
      </c>
      <c r="K55" s="265" t="s">
        <v>161</v>
      </c>
    </row>
    <row r="56" spans="2:11" x14ac:dyDescent="0.2">
      <c r="B56" s="265" t="s">
        <v>162</v>
      </c>
      <c r="C56" s="266" t="s">
        <v>124</v>
      </c>
      <c r="D56" s="82">
        <v>8600</v>
      </c>
      <c r="E56" s="70">
        <f t="shared" si="7"/>
        <v>8600</v>
      </c>
      <c r="F56" s="70">
        <f t="shared" si="8"/>
        <v>8600</v>
      </c>
      <c r="G56" s="70">
        <f t="shared" si="9"/>
        <v>8600</v>
      </c>
      <c r="H56" s="70">
        <f t="shared" si="10"/>
        <v>8600</v>
      </c>
      <c r="I56" s="70">
        <f t="shared" si="11"/>
        <v>8600</v>
      </c>
      <c r="J56" s="70">
        <f t="shared" si="12"/>
        <v>8600</v>
      </c>
      <c r="K56" s="265" t="s">
        <v>163</v>
      </c>
    </row>
    <row r="57" spans="2:11" x14ac:dyDescent="0.2">
      <c r="B57" s="265" t="s">
        <v>164</v>
      </c>
      <c r="C57" s="266" t="s">
        <v>124</v>
      </c>
      <c r="D57" s="82">
        <v>500</v>
      </c>
      <c r="E57" s="70">
        <f t="shared" si="7"/>
        <v>500</v>
      </c>
      <c r="F57" s="70">
        <f t="shared" si="8"/>
        <v>500</v>
      </c>
      <c r="G57" s="70">
        <f t="shared" si="9"/>
        <v>500</v>
      </c>
      <c r="H57" s="70">
        <f t="shared" si="10"/>
        <v>500</v>
      </c>
      <c r="I57" s="70">
        <f t="shared" si="11"/>
        <v>500</v>
      </c>
      <c r="J57" s="70">
        <f t="shared" si="12"/>
        <v>500</v>
      </c>
      <c r="K57" s="265" t="s">
        <v>165</v>
      </c>
    </row>
    <row r="58" spans="2:11" x14ac:dyDescent="0.2">
      <c r="B58" s="265" t="s">
        <v>166</v>
      </c>
      <c r="C58" s="266" t="s">
        <v>124</v>
      </c>
      <c r="D58" s="82">
        <v>3500</v>
      </c>
      <c r="E58" s="70">
        <f t="shared" si="7"/>
        <v>3500</v>
      </c>
      <c r="F58" s="70">
        <f t="shared" si="8"/>
        <v>3500</v>
      </c>
      <c r="G58" s="70">
        <f t="shared" si="9"/>
        <v>3500</v>
      </c>
      <c r="H58" s="70">
        <f t="shared" si="10"/>
        <v>3500</v>
      </c>
      <c r="I58" s="70">
        <f t="shared" si="11"/>
        <v>3500</v>
      </c>
      <c r="J58" s="70">
        <f t="shared" si="12"/>
        <v>3500</v>
      </c>
      <c r="K58" s="265" t="s">
        <v>167</v>
      </c>
    </row>
    <row r="59" spans="2:11" x14ac:dyDescent="0.2">
      <c r="B59" s="265" t="s">
        <v>168</v>
      </c>
      <c r="C59" s="266" t="s">
        <v>124</v>
      </c>
      <c r="D59" s="82">
        <v>3000</v>
      </c>
      <c r="E59" s="70">
        <f t="shared" si="7"/>
        <v>3000</v>
      </c>
      <c r="F59" s="70">
        <f t="shared" si="8"/>
        <v>3000</v>
      </c>
      <c r="G59" s="70">
        <f t="shared" si="9"/>
        <v>3000</v>
      </c>
      <c r="H59" s="70">
        <f t="shared" si="10"/>
        <v>3000</v>
      </c>
      <c r="I59" s="70">
        <f t="shared" si="11"/>
        <v>3000</v>
      </c>
      <c r="J59" s="70">
        <f t="shared" si="12"/>
        <v>3000</v>
      </c>
      <c r="K59" s="265" t="s">
        <v>169</v>
      </c>
    </row>
    <row r="60" spans="2:11" x14ac:dyDescent="0.2">
      <c r="B60" s="265" t="s">
        <v>170</v>
      </c>
      <c r="C60" s="266" t="s">
        <v>124</v>
      </c>
      <c r="D60" s="82">
        <v>10000</v>
      </c>
      <c r="E60" s="70">
        <f t="shared" si="7"/>
        <v>10000</v>
      </c>
      <c r="F60" s="70">
        <f t="shared" si="8"/>
        <v>10000</v>
      </c>
      <c r="G60" s="70">
        <f t="shared" si="9"/>
        <v>10000</v>
      </c>
      <c r="H60" s="70">
        <f t="shared" si="10"/>
        <v>10000</v>
      </c>
      <c r="I60" s="70">
        <f t="shared" si="11"/>
        <v>10000</v>
      </c>
      <c r="J60" s="70">
        <f t="shared" si="12"/>
        <v>10000</v>
      </c>
      <c r="K60" s="265" t="s">
        <v>171</v>
      </c>
    </row>
    <row r="61" spans="2:11" x14ac:dyDescent="0.2">
      <c r="B61" s="265" t="s">
        <v>172</v>
      </c>
      <c r="C61" s="266" t="s">
        <v>124</v>
      </c>
      <c r="D61" s="82">
        <v>1100</v>
      </c>
      <c r="E61" s="70">
        <f t="shared" si="7"/>
        <v>1100</v>
      </c>
      <c r="F61" s="70">
        <f t="shared" si="8"/>
        <v>1100</v>
      </c>
      <c r="G61" s="70">
        <f t="shared" si="9"/>
        <v>1100</v>
      </c>
      <c r="H61" s="70">
        <f t="shared" si="10"/>
        <v>1100</v>
      </c>
      <c r="I61" s="70">
        <f t="shared" si="11"/>
        <v>1100</v>
      </c>
      <c r="J61" s="70">
        <f t="shared" si="12"/>
        <v>1100</v>
      </c>
      <c r="K61" s="265" t="s">
        <v>173</v>
      </c>
    </row>
    <row r="62" spans="2:11" x14ac:dyDescent="0.2">
      <c r="B62" s="265" t="s">
        <v>174</v>
      </c>
      <c r="C62" s="266" t="s">
        <v>124</v>
      </c>
      <c r="D62" s="82">
        <v>200</v>
      </c>
      <c r="E62" s="70">
        <f t="shared" si="7"/>
        <v>200</v>
      </c>
      <c r="F62" s="70">
        <f t="shared" si="8"/>
        <v>200</v>
      </c>
      <c r="G62" s="70">
        <f t="shared" si="9"/>
        <v>200</v>
      </c>
      <c r="H62" s="70">
        <f t="shared" si="10"/>
        <v>200</v>
      </c>
      <c r="I62" s="70">
        <f t="shared" si="11"/>
        <v>200</v>
      </c>
      <c r="J62" s="70">
        <f t="shared" si="12"/>
        <v>200</v>
      </c>
      <c r="K62" s="265" t="s">
        <v>175</v>
      </c>
    </row>
    <row r="63" spans="2:11" x14ac:dyDescent="0.2">
      <c r="B63" s="265" t="s">
        <v>176</v>
      </c>
      <c r="C63" s="266" t="s">
        <v>124</v>
      </c>
      <c r="D63" s="82">
        <v>750</v>
      </c>
      <c r="E63" s="70">
        <f t="shared" si="7"/>
        <v>750</v>
      </c>
      <c r="F63" s="70">
        <f t="shared" si="8"/>
        <v>750</v>
      </c>
      <c r="G63" s="70">
        <f t="shared" si="9"/>
        <v>750</v>
      </c>
      <c r="H63" s="70">
        <f t="shared" si="10"/>
        <v>750</v>
      </c>
      <c r="I63" s="70">
        <f t="shared" si="11"/>
        <v>750</v>
      </c>
      <c r="J63" s="70">
        <f t="shared" si="12"/>
        <v>750</v>
      </c>
      <c r="K63" s="265" t="s">
        <v>177</v>
      </c>
    </row>
    <row r="64" spans="2:11" x14ac:dyDescent="0.2">
      <c r="B64" s="265" t="s">
        <v>178</v>
      </c>
      <c r="C64" s="266" t="s">
        <v>124</v>
      </c>
      <c r="D64" s="82">
        <v>5500</v>
      </c>
      <c r="E64" s="70">
        <f t="shared" si="7"/>
        <v>5500</v>
      </c>
      <c r="F64" s="70">
        <f t="shared" si="8"/>
        <v>5500</v>
      </c>
      <c r="G64" s="70">
        <f t="shared" si="9"/>
        <v>5500</v>
      </c>
      <c r="H64" s="70">
        <f t="shared" si="10"/>
        <v>5500</v>
      </c>
      <c r="I64" s="70">
        <f t="shared" si="11"/>
        <v>5500</v>
      </c>
      <c r="J64" s="70">
        <f t="shared" si="12"/>
        <v>5500</v>
      </c>
      <c r="K64" s="265" t="s">
        <v>179</v>
      </c>
    </row>
    <row r="65" spans="2:11" x14ac:dyDescent="0.2">
      <c r="B65" s="265" t="s">
        <v>180</v>
      </c>
      <c r="C65" s="266" t="s">
        <v>124</v>
      </c>
      <c r="D65" s="82">
        <v>2000</v>
      </c>
      <c r="E65" s="70">
        <f t="shared" si="7"/>
        <v>2000</v>
      </c>
      <c r="F65" s="70">
        <f t="shared" si="8"/>
        <v>2000</v>
      </c>
      <c r="G65" s="70">
        <f t="shared" si="9"/>
        <v>2000</v>
      </c>
      <c r="H65" s="70">
        <f t="shared" si="10"/>
        <v>2000</v>
      </c>
      <c r="I65" s="70">
        <f t="shared" si="11"/>
        <v>2000</v>
      </c>
      <c r="J65" s="70">
        <f t="shared" si="12"/>
        <v>2000</v>
      </c>
      <c r="K65" s="265" t="s">
        <v>181</v>
      </c>
    </row>
    <row r="66" spans="2:11" x14ac:dyDescent="0.2">
      <c r="B66" s="265" t="s">
        <v>182</v>
      </c>
      <c r="C66" s="266" t="s">
        <v>124</v>
      </c>
      <c r="D66" s="82">
        <v>1500</v>
      </c>
      <c r="E66" s="70">
        <f t="shared" si="7"/>
        <v>1500</v>
      </c>
      <c r="F66" s="70">
        <f t="shared" si="8"/>
        <v>1500</v>
      </c>
      <c r="G66" s="70">
        <f t="shared" si="9"/>
        <v>1500</v>
      </c>
      <c r="H66" s="70">
        <f t="shared" si="10"/>
        <v>1500</v>
      </c>
      <c r="I66" s="70">
        <f t="shared" si="11"/>
        <v>1500</v>
      </c>
      <c r="J66" s="70">
        <f t="shared" si="12"/>
        <v>1500</v>
      </c>
      <c r="K66" s="265" t="s">
        <v>183</v>
      </c>
    </row>
    <row r="67" spans="2:11" x14ac:dyDescent="0.2">
      <c r="B67" s="265" t="s">
        <v>184</v>
      </c>
      <c r="C67" s="266" t="s">
        <v>124</v>
      </c>
      <c r="D67" s="82">
        <f>4*650</f>
        <v>2600</v>
      </c>
      <c r="E67" s="70">
        <f t="shared" si="7"/>
        <v>2600</v>
      </c>
      <c r="F67" s="70">
        <f t="shared" si="8"/>
        <v>2600</v>
      </c>
      <c r="G67" s="70">
        <f t="shared" si="9"/>
        <v>2600</v>
      </c>
      <c r="H67" s="70">
        <f t="shared" si="10"/>
        <v>2600</v>
      </c>
      <c r="I67" s="70">
        <f t="shared" si="11"/>
        <v>2600</v>
      </c>
      <c r="J67" s="70">
        <f t="shared" si="12"/>
        <v>2600</v>
      </c>
      <c r="K67" s="265" t="s">
        <v>185</v>
      </c>
    </row>
    <row r="68" spans="2:11" x14ac:dyDescent="0.2">
      <c r="B68" s="265" t="s">
        <v>186</v>
      </c>
      <c r="C68" s="266" t="s">
        <v>115</v>
      </c>
      <c r="D68" s="82">
        <v>750</v>
      </c>
      <c r="E68" s="70">
        <f t="shared" si="7"/>
        <v>0</v>
      </c>
      <c r="F68" s="70">
        <f t="shared" si="8"/>
        <v>0</v>
      </c>
      <c r="G68" s="70">
        <f t="shared" si="9"/>
        <v>750</v>
      </c>
      <c r="H68" s="70">
        <f t="shared" si="10"/>
        <v>0</v>
      </c>
      <c r="I68" s="70">
        <f t="shared" si="11"/>
        <v>750</v>
      </c>
      <c r="J68" s="70">
        <f t="shared" si="12"/>
        <v>750</v>
      </c>
      <c r="K68" s="265" t="s">
        <v>187</v>
      </c>
    </row>
    <row r="69" spans="2:11" x14ac:dyDescent="0.2">
      <c r="B69" s="265" t="s">
        <v>188</v>
      </c>
      <c r="C69" s="266" t="s">
        <v>115</v>
      </c>
      <c r="D69" s="82">
        <v>1500</v>
      </c>
      <c r="E69" s="70">
        <f t="shared" si="7"/>
        <v>0</v>
      </c>
      <c r="F69" s="70">
        <f t="shared" si="8"/>
        <v>0</v>
      </c>
      <c r="G69" s="70">
        <f t="shared" si="9"/>
        <v>1500</v>
      </c>
      <c r="H69" s="70">
        <f t="shared" si="10"/>
        <v>0</v>
      </c>
      <c r="I69" s="70">
        <f t="shared" si="11"/>
        <v>1500</v>
      </c>
      <c r="J69" s="70">
        <f t="shared" si="12"/>
        <v>1500</v>
      </c>
      <c r="K69" s="265" t="s">
        <v>189</v>
      </c>
    </row>
    <row r="70" spans="2:11" x14ac:dyDescent="0.2">
      <c r="B70" s="265" t="s">
        <v>190</v>
      </c>
      <c r="C70" s="266" t="s">
        <v>115</v>
      </c>
      <c r="D70" s="82">
        <v>1800</v>
      </c>
      <c r="E70" s="70">
        <f t="shared" ref="E70:E101" si="13">IF(OR($C70="D",$C70="A",$C70="DC",$C70="DB"),$D70,)</f>
        <v>0</v>
      </c>
      <c r="F70" s="70">
        <f t="shared" ref="F70:F101" si="14">IF(OR($C70="C",$C70="A", $C70="DC",$C70="CB"),$D70,)</f>
        <v>0</v>
      </c>
      <c r="G70" s="70">
        <f t="shared" ref="G70:G101" si="15">IF(OR($C70="B",$C70="A",$C70="DB",$C70="CB"),$D70,)</f>
        <v>1800</v>
      </c>
      <c r="H70" s="70">
        <f t="shared" si="10"/>
        <v>0</v>
      </c>
      <c r="I70" s="70">
        <f t="shared" si="11"/>
        <v>1800</v>
      </c>
      <c r="J70" s="70">
        <f t="shared" si="12"/>
        <v>1800</v>
      </c>
      <c r="K70" s="265" t="s">
        <v>191</v>
      </c>
    </row>
    <row r="71" spans="2:11" x14ac:dyDescent="0.2">
      <c r="B71" s="265" t="s">
        <v>192</v>
      </c>
      <c r="C71" s="266" t="s">
        <v>115</v>
      </c>
      <c r="D71" s="82">
        <v>5500</v>
      </c>
      <c r="E71" s="70">
        <f t="shared" si="13"/>
        <v>0</v>
      </c>
      <c r="F71" s="70">
        <f t="shared" si="14"/>
        <v>0</v>
      </c>
      <c r="G71" s="70">
        <f t="shared" si="15"/>
        <v>5500</v>
      </c>
      <c r="H71" s="70">
        <f t="shared" si="10"/>
        <v>0</v>
      </c>
      <c r="I71" s="70">
        <f t="shared" si="11"/>
        <v>5500</v>
      </c>
      <c r="J71" s="70">
        <f t="shared" si="12"/>
        <v>5500</v>
      </c>
      <c r="K71" s="265" t="s">
        <v>193</v>
      </c>
    </row>
    <row r="72" spans="2:11" x14ac:dyDescent="0.2">
      <c r="B72" s="265" t="s">
        <v>194</v>
      </c>
      <c r="C72" s="266" t="s">
        <v>115</v>
      </c>
      <c r="D72" s="82">
        <v>2000</v>
      </c>
      <c r="E72" s="70">
        <f t="shared" si="13"/>
        <v>0</v>
      </c>
      <c r="F72" s="70">
        <f t="shared" si="14"/>
        <v>0</v>
      </c>
      <c r="G72" s="70">
        <f t="shared" si="15"/>
        <v>2000</v>
      </c>
      <c r="H72" s="70">
        <f t="shared" si="10"/>
        <v>0</v>
      </c>
      <c r="I72" s="70">
        <f t="shared" si="11"/>
        <v>2000</v>
      </c>
      <c r="J72" s="70">
        <f t="shared" si="12"/>
        <v>2000</v>
      </c>
      <c r="K72" s="265" t="s">
        <v>195</v>
      </c>
    </row>
    <row r="73" spans="2:11" x14ac:dyDescent="0.2">
      <c r="B73" s="265" t="s">
        <v>196</v>
      </c>
      <c r="C73" s="266" t="s">
        <v>115</v>
      </c>
      <c r="D73" s="82">
        <v>1200</v>
      </c>
      <c r="E73" s="70">
        <f t="shared" si="13"/>
        <v>0</v>
      </c>
      <c r="F73" s="70">
        <f t="shared" si="14"/>
        <v>0</v>
      </c>
      <c r="G73" s="70">
        <f t="shared" si="15"/>
        <v>1200</v>
      </c>
      <c r="H73" s="70">
        <f t="shared" si="10"/>
        <v>0</v>
      </c>
      <c r="I73" s="70">
        <f t="shared" si="11"/>
        <v>1200</v>
      </c>
      <c r="J73" s="70">
        <f t="shared" si="12"/>
        <v>1200</v>
      </c>
      <c r="K73" s="265" t="s">
        <v>197</v>
      </c>
    </row>
    <row r="74" spans="2:11" x14ac:dyDescent="0.2">
      <c r="B74" s="265" t="s">
        <v>198</v>
      </c>
      <c r="C74" s="266" t="s">
        <v>115</v>
      </c>
      <c r="D74" s="82">
        <v>8500</v>
      </c>
      <c r="E74" s="70">
        <f t="shared" si="13"/>
        <v>0</v>
      </c>
      <c r="F74" s="70">
        <f t="shared" si="14"/>
        <v>0</v>
      </c>
      <c r="G74" s="70">
        <f t="shared" si="15"/>
        <v>8500</v>
      </c>
      <c r="H74" s="70">
        <f t="shared" si="10"/>
        <v>0</v>
      </c>
      <c r="I74" s="70">
        <f t="shared" si="11"/>
        <v>8500</v>
      </c>
      <c r="J74" s="70">
        <f t="shared" si="12"/>
        <v>8500</v>
      </c>
      <c r="K74" s="265" t="s">
        <v>199</v>
      </c>
    </row>
    <row r="75" spans="2:11" x14ac:dyDescent="0.2">
      <c r="B75" s="265" t="s">
        <v>200</v>
      </c>
      <c r="C75" s="266" t="s">
        <v>115</v>
      </c>
      <c r="D75" s="82">
        <v>5500</v>
      </c>
      <c r="E75" s="70">
        <f t="shared" si="13"/>
        <v>0</v>
      </c>
      <c r="F75" s="70">
        <f t="shared" si="14"/>
        <v>0</v>
      </c>
      <c r="G75" s="70">
        <f t="shared" si="15"/>
        <v>5500</v>
      </c>
      <c r="H75" s="70">
        <f t="shared" si="10"/>
        <v>0</v>
      </c>
      <c r="I75" s="70">
        <f t="shared" si="11"/>
        <v>5500</v>
      </c>
      <c r="J75" s="70">
        <f t="shared" si="12"/>
        <v>5500</v>
      </c>
      <c r="K75" s="265" t="s">
        <v>201</v>
      </c>
    </row>
    <row r="76" spans="2:11" x14ac:dyDescent="0.2">
      <c r="B76" s="265" t="s">
        <v>202</v>
      </c>
      <c r="C76" s="266" t="s">
        <v>115</v>
      </c>
      <c r="D76" s="82">
        <v>1600</v>
      </c>
      <c r="E76" s="70">
        <f t="shared" si="13"/>
        <v>0</v>
      </c>
      <c r="F76" s="70">
        <f t="shared" si="14"/>
        <v>0</v>
      </c>
      <c r="G76" s="70">
        <f t="shared" si="15"/>
        <v>1600</v>
      </c>
      <c r="H76" s="70">
        <f t="shared" si="10"/>
        <v>0</v>
      </c>
      <c r="I76" s="70">
        <f t="shared" si="11"/>
        <v>1600</v>
      </c>
      <c r="J76" s="70">
        <f t="shared" si="12"/>
        <v>1600</v>
      </c>
      <c r="K76" s="265" t="s">
        <v>203</v>
      </c>
    </row>
    <row r="77" spans="2:11" x14ac:dyDescent="0.2">
      <c r="B77" s="265" t="s">
        <v>204</v>
      </c>
      <c r="C77" s="266" t="s">
        <v>116</v>
      </c>
      <c r="D77" s="82">
        <v>3000</v>
      </c>
      <c r="E77" s="70">
        <f t="shared" si="13"/>
        <v>0</v>
      </c>
      <c r="F77" s="70">
        <f t="shared" si="14"/>
        <v>3000</v>
      </c>
      <c r="G77" s="70">
        <f t="shared" si="15"/>
        <v>0</v>
      </c>
      <c r="H77" s="70">
        <f t="shared" si="10"/>
        <v>3000</v>
      </c>
      <c r="I77" s="70">
        <f t="shared" si="11"/>
        <v>0</v>
      </c>
      <c r="J77" s="70">
        <f t="shared" si="12"/>
        <v>3000</v>
      </c>
      <c r="K77" s="265" t="s">
        <v>205</v>
      </c>
    </row>
    <row r="78" spans="2:11" x14ac:dyDescent="0.2">
      <c r="B78" s="265" t="s">
        <v>206</v>
      </c>
      <c r="C78" s="266" t="s">
        <v>116</v>
      </c>
      <c r="D78" s="82">
        <v>5500</v>
      </c>
      <c r="E78" s="70">
        <f t="shared" si="13"/>
        <v>0</v>
      </c>
      <c r="F78" s="70">
        <f t="shared" si="14"/>
        <v>5500</v>
      </c>
      <c r="G78" s="70">
        <f t="shared" si="15"/>
        <v>0</v>
      </c>
      <c r="H78" s="70">
        <f t="shared" si="10"/>
        <v>5500</v>
      </c>
      <c r="I78" s="70">
        <f t="shared" si="11"/>
        <v>0</v>
      </c>
      <c r="J78" s="70">
        <f t="shared" si="12"/>
        <v>5500</v>
      </c>
      <c r="K78" s="265" t="s">
        <v>207</v>
      </c>
    </row>
    <row r="79" spans="2:11" x14ac:dyDescent="0.2">
      <c r="B79" s="265" t="s">
        <v>208</v>
      </c>
      <c r="C79" s="266" t="s">
        <v>116</v>
      </c>
      <c r="D79" s="82">
        <v>2500</v>
      </c>
      <c r="E79" s="70">
        <f t="shared" si="13"/>
        <v>0</v>
      </c>
      <c r="F79" s="70">
        <f t="shared" si="14"/>
        <v>2500</v>
      </c>
      <c r="G79" s="70">
        <f t="shared" si="15"/>
        <v>0</v>
      </c>
      <c r="H79" s="70">
        <f t="shared" si="10"/>
        <v>2500</v>
      </c>
      <c r="I79" s="70">
        <f t="shared" si="11"/>
        <v>0</v>
      </c>
      <c r="J79" s="70">
        <f t="shared" si="12"/>
        <v>2500</v>
      </c>
      <c r="K79" s="265" t="s">
        <v>209</v>
      </c>
    </row>
    <row r="80" spans="2:11" x14ac:dyDescent="0.2">
      <c r="B80" s="265" t="s">
        <v>210</v>
      </c>
      <c r="C80" s="266" t="s">
        <v>116</v>
      </c>
      <c r="D80" s="82">
        <v>750</v>
      </c>
      <c r="E80" s="70">
        <f t="shared" si="13"/>
        <v>0</v>
      </c>
      <c r="F80" s="70">
        <f t="shared" si="14"/>
        <v>750</v>
      </c>
      <c r="G80" s="70">
        <f t="shared" si="15"/>
        <v>0</v>
      </c>
      <c r="H80" s="70">
        <f t="shared" si="10"/>
        <v>750</v>
      </c>
      <c r="I80" s="70">
        <f t="shared" si="11"/>
        <v>0</v>
      </c>
      <c r="J80" s="70">
        <f t="shared" si="12"/>
        <v>750</v>
      </c>
      <c r="K80" s="265" t="s">
        <v>211</v>
      </c>
    </row>
    <row r="81" spans="2:11" x14ac:dyDescent="0.2">
      <c r="B81" s="265" t="s">
        <v>212</v>
      </c>
      <c r="C81" s="266" t="s">
        <v>116</v>
      </c>
      <c r="D81" s="82">
        <f>110.78+16.32</f>
        <v>127.1</v>
      </c>
      <c r="E81" s="70">
        <f t="shared" si="13"/>
        <v>0</v>
      </c>
      <c r="F81" s="70">
        <f t="shared" si="14"/>
        <v>127.1</v>
      </c>
      <c r="G81" s="70">
        <f t="shared" si="15"/>
        <v>0</v>
      </c>
      <c r="H81" s="70">
        <f t="shared" si="10"/>
        <v>127.1</v>
      </c>
      <c r="I81" s="70">
        <f t="shared" si="11"/>
        <v>0</v>
      </c>
      <c r="J81" s="70">
        <f t="shared" si="12"/>
        <v>127.1</v>
      </c>
      <c r="K81" s="265" t="s">
        <v>213</v>
      </c>
    </row>
    <row r="82" spans="2:11" x14ac:dyDescent="0.2">
      <c r="B82" s="265" t="s">
        <v>214</v>
      </c>
      <c r="C82" s="266" t="s">
        <v>116</v>
      </c>
      <c r="D82" s="82">
        <f>4*(136.3+24.77)</f>
        <v>644.28000000000009</v>
      </c>
      <c r="E82" s="70">
        <f t="shared" si="13"/>
        <v>0</v>
      </c>
      <c r="F82" s="70">
        <f t="shared" si="14"/>
        <v>644.28000000000009</v>
      </c>
      <c r="G82" s="70">
        <f t="shared" si="15"/>
        <v>0</v>
      </c>
      <c r="H82" s="70">
        <f t="shared" si="10"/>
        <v>644.28000000000009</v>
      </c>
      <c r="I82" s="70">
        <f t="shared" si="11"/>
        <v>0</v>
      </c>
      <c r="J82" s="70">
        <f t="shared" si="12"/>
        <v>644.28000000000009</v>
      </c>
      <c r="K82" s="265" t="s">
        <v>213</v>
      </c>
    </row>
    <row r="83" spans="2:11" x14ac:dyDescent="0.2">
      <c r="B83" s="265" t="s">
        <v>215</v>
      </c>
      <c r="C83" s="266" t="s">
        <v>116</v>
      </c>
      <c r="D83" s="82">
        <v>7500</v>
      </c>
      <c r="E83" s="70">
        <f t="shared" si="13"/>
        <v>0</v>
      </c>
      <c r="F83" s="70">
        <f t="shared" si="14"/>
        <v>7500</v>
      </c>
      <c r="G83" s="70">
        <f t="shared" si="15"/>
        <v>0</v>
      </c>
      <c r="H83" s="70">
        <f t="shared" si="10"/>
        <v>7500</v>
      </c>
      <c r="I83" s="70">
        <f t="shared" si="11"/>
        <v>0</v>
      </c>
      <c r="J83" s="70">
        <f t="shared" si="12"/>
        <v>7500</v>
      </c>
      <c r="K83" s="265" t="s">
        <v>216</v>
      </c>
    </row>
    <row r="84" spans="2:11" x14ac:dyDescent="0.2">
      <c r="B84" s="265" t="s">
        <v>217</v>
      </c>
      <c r="C84" s="266" t="s">
        <v>116</v>
      </c>
      <c r="D84" s="82">
        <v>24000</v>
      </c>
      <c r="E84" s="70">
        <f t="shared" si="13"/>
        <v>0</v>
      </c>
      <c r="F84" s="70">
        <f t="shared" si="14"/>
        <v>24000</v>
      </c>
      <c r="G84" s="70">
        <f t="shared" si="15"/>
        <v>0</v>
      </c>
      <c r="H84" s="70">
        <f t="shared" si="10"/>
        <v>24000</v>
      </c>
      <c r="I84" s="70">
        <f t="shared" si="11"/>
        <v>0</v>
      </c>
      <c r="J84" s="70">
        <f t="shared" si="12"/>
        <v>24000</v>
      </c>
      <c r="K84" s="265" t="s">
        <v>218</v>
      </c>
    </row>
    <row r="85" spans="2:11" x14ac:dyDescent="0.2">
      <c r="B85" s="265" t="s">
        <v>219</v>
      </c>
      <c r="C85" s="266" t="s">
        <v>116</v>
      </c>
      <c r="D85" s="82">
        <f>4*150</f>
        <v>600</v>
      </c>
      <c r="E85" s="70">
        <f t="shared" si="13"/>
        <v>0</v>
      </c>
      <c r="F85" s="70">
        <f t="shared" si="14"/>
        <v>600</v>
      </c>
      <c r="G85" s="70">
        <f t="shared" si="15"/>
        <v>0</v>
      </c>
      <c r="H85" s="70">
        <f t="shared" si="10"/>
        <v>600</v>
      </c>
      <c r="I85" s="70">
        <f t="shared" si="11"/>
        <v>0</v>
      </c>
      <c r="J85" s="70">
        <f t="shared" si="12"/>
        <v>600</v>
      </c>
      <c r="K85" s="265" t="s">
        <v>220</v>
      </c>
    </row>
    <row r="86" spans="2:11" x14ac:dyDescent="0.2">
      <c r="B86" s="265" t="s">
        <v>221</v>
      </c>
      <c r="C86" s="266" t="s">
        <v>116</v>
      </c>
      <c r="D86" s="82">
        <v>9500</v>
      </c>
      <c r="E86" s="70">
        <f t="shared" si="13"/>
        <v>0</v>
      </c>
      <c r="F86" s="70">
        <f t="shared" si="14"/>
        <v>9500</v>
      </c>
      <c r="G86" s="70">
        <f t="shared" si="15"/>
        <v>0</v>
      </c>
      <c r="H86" s="70">
        <f t="shared" si="10"/>
        <v>9500</v>
      </c>
      <c r="I86" s="70">
        <f t="shared" si="11"/>
        <v>0</v>
      </c>
      <c r="J86" s="70">
        <f t="shared" si="12"/>
        <v>9500</v>
      </c>
      <c r="K86" s="265" t="s">
        <v>222</v>
      </c>
    </row>
    <row r="87" spans="2:11" x14ac:dyDescent="0.2">
      <c r="B87" s="265" t="s">
        <v>223</v>
      </c>
      <c r="C87" s="266" t="s">
        <v>117</v>
      </c>
      <c r="D87" s="82">
        <v>25200</v>
      </c>
      <c r="E87" s="70">
        <f t="shared" si="13"/>
        <v>25200</v>
      </c>
      <c r="F87" s="70">
        <f t="shared" si="14"/>
        <v>0</v>
      </c>
      <c r="G87" s="70">
        <f t="shared" si="15"/>
        <v>0</v>
      </c>
      <c r="H87" s="70">
        <f t="shared" si="10"/>
        <v>25200</v>
      </c>
      <c r="I87" s="70">
        <f t="shared" si="11"/>
        <v>25200</v>
      </c>
      <c r="J87" s="70">
        <f t="shared" si="12"/>
        <v>0</v>
      </c>
      <c r="K87" s="265" t="s">
        <v>224</v>
      </c>
    </row>
    <row r="88" spans="2:11" x14ac:dyDescent="0.2">
      <c r="B88" s="265" t="s">
        <v>225</v>
      </c>
      <c r="C88" s="266" t="s">
        <v>117</v>
      </c>
      <c r="D88" s="82">
        <v>500</v>
      </c>
      <c r="E88" s="70">
        <f t="shared" si="13"/>
        <v>500</v>
      </c>
      <c r="F88" s="70">
        <f t="shared" si="14"/>
        <v>0</v>
      </c>
      <c r="G88" s="70">
        <f t="shared" si="15"/>
        <v>0</v>
      </c>
      <c r="H88" s="70">
        <f t="shared" si="10"/>
        <v>500</v>
      </c>
      <c r="I88" s="70">
        <f t="shared" si="11"/>
        <v>500</v>
      </c>
      <c r="J88" s="70">
        <f t="shared" si="12"/>
        <v>0</v>
      </c>
      <c r="K88" s="265" t="s">
        <v>226</v>
      </c>
    </row>
    <row r="89" spans="2:11" x14ac:dyDescent="0.2">
      <c r="B89" s="265" t="s">
        <v>227</v>
      </c>
      <c r="C89" s="266" t="s">
        <v>228</v>
      </c>
      <c r="D89" s="82">
        <v>4500</v>
      </c>
      <c r="E89" s="70">
        <f t="shared" si="13"/>
        <v>4500</v>
      </c>
      <c r="F89" s="70">
        <f t="shared" si="14"/>
        <v>4500</v>
      </c>
      <c r="G89" s="70">
        <f t="shared" si="15"/>
        <v>0</v>
      </c>
      <c r="H89" s="70">
        <f t="shared" si="10"/>
        <v>4500</v>
      </c>
      <c r="I89" s="70">
        <f t="shared" si="11"/>
        <v>0</v>
      </c>
      <c r="J89" s="70">
        <f t="shared" si="12"/>
        <v>0</v>
      </c>
      <c r="K89" s="265" t="s">
        <v>229</v>
      </c>
    </row>
    <row r="90" spans="2:11" x14ac:dyDescent="0.2">
      <c r="B90" s="265" t="s">
        <v>230</v>
      </c>
      <c r="C90" s="266" t="s">
        <v>228</v>
      </c>
      <c r="D90" s="82">
        <v>1750</v>
      </c>
      <c r="E90" s="70">
        <f t="shared" si="13"/>
        <v>1750</v>
      </c>
      <c r="F90" s="70">
        <f t="shared" si="14"/>
        <v>1750</v>
      </c>
      <c r="G90" s="70">
        <f t="shared" si="15"/>
        <v>0</v>
      </c>
      <c r="H90" s="70">
        <f t="shared" si="10"/>
        <v>1750</v>
      </c>
      <c r="I90" s="70">
        <f t="shared" si="11"/>
        <v>0</v>
      </c>
      <c r="J90" s="70">
        <f t="shared" si="12"/>
        <v>0</v>
      </c>
      <c r="K90" s="265" t="s">
        <v>231</v>
      </c>
    </row>
    <row r="91" spans="2:11" x14ac:dyDescent="0.2">
      <c r="B91" s="265" t="s">
        <v>232</v>
      </c>
      <c r="C91" s="266" t="s">
        <v>228</v>
      </c>
      <c r="D91" s="82">
        <v>3000</v>
      </c>
      <c r="E91" s="70">
        <f t="shared" si="13"/>
        <v>3000</v>
      </c>
      <c r="F91" s="70">
        <f t="shared" si="14"/>
        <v>3000</v>
      </c>
      <c r="G91" s="70">
        <f t="shared" si="15"/>
        <v>0</v>
      </c>
      <c r="H91" s="70">
        <f t="shared" si="10"/>
        <v>3000</v>
      </c>
      <c r="I91" s="70">
        <f t="shared" si="11"/>
        <v>0</v>
      </c>
      <c r="J91" s="70">
        <f t="shared" si="12"/>
        <v>0</v>
      </c>
      <c r="K91" s="265" t="s">
        <v>233</v>
      </c>
    </row>
    <row r="92" spans="2:11" x14ac:dyDescent="0.2">
      <c r="B92" s="265" t="s">
        <v>234</v>
      </c>
      <c r="C92" s="266" t="s">
        <v>228</v>
      </c>
      <c r="D92" s="82">
        <v>5000</v>
      </c>
      <c r="E92" s="70">
        <f t="shared" si="13"/>
        <v>5000</v>
      </c>
      <c r="F92" s="70">
        <f t="shared" si="14"/>
        <v>5000</v>
      </c>
      <c r="G92" s="70">
        <f t="shared" si="15"/>
        <v>0</v>
      </c>
      <c r="H92" s="70">
        <f t="shared" si="10"/>
        <v>5000</v>
      </c>
      <c r="I92" s="70">
        <f t="shared" si="11"/>
        <v>0</v>
      </c>
      <c r="J92" s="70">
        <f t="shared" si="12"/>
        <v>0</v>
      </c>
      <c r="K92" s="265" t="s">
        <v>235</v>
      </c>
    </row>
    <row r="93" spans="2:11" x14ac:dyDescent="0.2">
      <c r="B93" s="265" t="s">
        <v>236</v>
      </c>
      <c r="C93" s="266" t="s">
        <v>228</v>
      </c>
      <c r="D93" s="82">
        <v>6500</v>
      </c>
      <c r="E93" s="70">
        <f t="shared" si="13"/>
        <v>6500</v>
      </c>
      <c r="F93" s="70">
        <f t="shared" si="14"/>
        <v>6500</v>
      </c>
      <c r="G93" s="70">
        <f t="shared" si="15"/>
        <v>0</v>
      </c>
      <c r="H93" s="70">
        <f t="shared" si="10"/>
        <v>6500</v>
      </c>
      <c r="I93" s="70">
        <f t="shared" si="11"/>
        <v>0</v>
      </c>
      <c r="J93" s="70">
        <f t="shared" si="12"/>
        <v>0</v>
      </c>
      <c r="K93" s="265" t="s">
        <v>237</v>
      </c>
    </row>
    <row r="94" spans="2:11" x14ac:dyDescent="0.2">
      <c r="B94" s="265"/>
      <c r="C94" s="266" t="s">
        <v>124</v>
      </c>
      <c r="D94" s="82"/>
      <c r="E94" s="70">
        <f t="shared" si="13"/>
        <v>0</v>
      </c>
      <c r="F94" s="70">
        <f t="shared" si="14"/>
        <v>0</v>
      </c>
      <c r="G94" s="70">
        <f t="shared" si="15"/>
        <v>0</v>
      </c>
      <c r="H94" s="70">
        <f t="shared" si="10"/>
        <v>0</v>
      </c>
      <c r="I94" s="70">
        <f t="shared" si="11"/>
        <v>0</v>
      </c>
      <c r="J94" s="70">
        <f t="shared" si="12"/>
        <v>0</v>
      </c>
      <c r="K94" s="265"/>
    </row>
    <row r="95" spans="2:11" x14ac:dyDescent="0.2">
      <c r="B95" s="265"/>
      <c r="C95" s="266" t="s">
        <v>124</v>
      </c>
      <c r="D95" s="82"/>
      <c r="E95" s="70">
        <f t="shared" si="13"/>
        <v>0</v>
      </c>
      <c r="F95" s="70">
        <f t="shared" si="14"/>
        <v>0</v>
      </c>
      <c r="G95" s="70">
        <f t="shared" si="15"/>
        <v>0</v>
      </c>
      <c r="H95" s="70">
        <f t="shared" si="10"/>
        <v>0</v>
      </c>
      <c r="I95" s="70">
        <f t="shared" si="11"/>
        <v>0</v>
      </c>
      <c r="J95" s="70">
        <f t="shared" si="12"/>
        <v>0</v>
      </c>
      <c r="K95" s="265"/>
    </row>
    <row r="96" spans="2:11" x14ac:dyDescent="0.2">
      <c r="B96" s="265"/>
      <c r="C96" s="266" t="s">
        <v>124</v>
      </c>
      <c r="D96" s="82"/>
      <c r="E96" s="70">
        <f t="shared" si="13"/>
        <v>0</v>
      </c>
      <c r="F96" s="70">
        <f t="shared" si="14"/>
        <v>0</v>
      </c>
      <c r="G96" s="70">
        <f t="shared" si="15"/>
        <v>0</v>
      </c>
      <c r="H96" s="70">
        <f t="shared" si="10"/>
        <v>0</v>
      </c>
      <c r="I96" s="70">
        <f t="shared" si="11"/>
        <v>0</v>
      </c>
      <c r="J96" s="70">
        <f t="shared" si="12"/>
        <v>0</v>
      </c>
      <c r="K96" s="265"/>
    </row>
    <row r="97" spans="2:11" x14ac:dyDescent="0.2">
      <c r="B97" s="265"/>
      <c r="C97" s="266" t="s">
        <v>124</v>
      </c>
      <c r="D97" s="82"/>
      <c r="E97" s="70">
        <f t="shared" si="13"/>
        <v>0</v>
      </c>
      <c r="F97" s="70">
        <f t="shared" si="14"/>
        <v>0</v>
      </c>
      <c r="G97" s="70">
        <f t="shared" si="15"/>
        <v>0</v>
      </c>
      <c r="H97" s="70">
        <f t="shared" si="10"/>
        <v>0</v>
      </c>
      <c r="I97" s="70">
        <f t="shared" si="11"/>
        <v>0</v>
      </c>
      <c r="J97" s="70">
        <f t="shared" si="12"/>
        <v>0</v>
      </c>
      <c r="K97" s="265"/>
    </row>
    <row r="98" spans="2:11" x14ac:dyDescent="0.2">
      <c r="B98" s="265"/>
      <c r="C98" s="266" t="s">
        <v>124</v>
      </c>
      <c r="D98" s="82"/>
      <c r="E98" s="70">
        <f t="shared" si="13"/>
        <v>0</v>
      </c>
      <c r="F98" s="70">
        <f t="shared" si="14"/>
        <v>0</v>
      </c>
      <c r="G98" s="70">
        <f t="shared" si="15"/>
        <v>0</v>
      </c>
      <c r="H98" s="70">
        <f t="shared" si="10"/>
        <v>0</v>
      </c>
      <c r="I98" s="70">
        <f t="shared" si="11"/>
        <v>0</v>
      </c>
      <c r="J98" s="70">
        <f t="shared" si="12"/>
        <v>0</v>
      </c>
      <c r="K98" s="265"/>
    </row>
    <row r="99" spans="2:11" x14ac:dyDescent="0.2">
      <c r="B99" s="265"/>
      <c r="C99" s="266" t="s">
        <v>124</v>
      </c>
      <c r="D99" s="82"/>
      <c r="E99" s="70">
        <f t="shared" si="13"/>
        <v>0</v>
      </c>
      <c r="F99" s="70">
        <f t="shared" si="14"/>
        <v>0</v>
      </c>
      <c r="G99" s="70">
        <f t="shared" si="15"/>
        <v>0</v>
      </c>
      <c r="H99" s="70">
        <f t="shared" si="10"/>
        <v>0</v>
      </c>
      <c r="I99" s="70">
        <f t="shared" si="11"/>
        <v>0</v>
      </c>
      <c r="J99" s="70">
        <f t="shared" si="12"/>
        <v>0</v>
      </c>
      <c r="K99" s="265"/>
    </row>
    <row r="100" spans="2:11" x14ac:dyDescent="0.2">
      <c r="B100" s="265"/>
      <c r="C100" s="266" t="s">
        <v>124</v>
      </c>
      <c r="D100" s="82"/>
      <c r="E100" s="70">
        <f t="shared" si="13"/>
        <v>0</v>
      </c>
      <c r="F100" s="70">
        <f t="shared" si="14"/>
        <v>0</v>
      </c>
      <c r="G100" s="70">
        <f t="shared" si="15"/>
        <v>0</v>
      </c>
      <c r="H100" s="70">
        <f t="shared" si="10"/>
        <v>0</v>
      </c>
      <c r="I100" s="70">
        <f t="shared" si="11"/>
        <v>0</v>
      </c>
      <c r="J100" s="70">
        <f t="shared" si="12"/>
        <v>0</v>
      </c>
      <c r="K100" s="265"/>
    </row>
    <row r="101" spans="2:11" x14ac:dyDescent="0.2">
      <c r="B101" s="265"/>
      <c r="C101" s="266" t="s">
        <v>124</v>
      </c>
      <c r="D101" s="82"/>
      <c r="E101" s="70">
        <f t="shared" si="13"/>
        <v>0</v>
      </c>
      <c r="F101" s="70">
        <f t="shared" si="14"/>
        <v>0</v>
      </c>
      <c r="G101" s="70">
        <f t="shared" si="15"/>
        <v>0</v>
      </c>
      <c r="H101" s="70">
        <f t="shared" si="10"/>
        <v>0</v>
      </c>
      <c r="I101" s="70">
        <f t="shared" si="11"/>
        <v>0</v>
      </c>
      <c r="J101" s="70">
        <f t="shared" si="12"/>
        <v>0</v>
      </c>
      <c r="K101" s="265"/>
    </row>
    <row r="102" spans="2:11" x14ac:dyDescent="0.2">
      <c r="B102" s="265"/>
      <c r="C102" s="266" t="s">
        <v>124</v>
      </c>
      <c r="D102" s="82"/>
      <c r="E102" s="70">
        <f t="shared" ref="E102:E107" si="16">IF(OR($C102="D",$C102="A",$C102="DC",$C102="DB"),$D102,)</f>
        <v>0</v>
      </c>
      <c r="F102" s="70">
        <f t="shared" ref="F102:F107" si="17">IF(OR($C102="C",$C102="A", $C102="DC",$C102="CB"),$D102,)</f>
        <v>0</v>
      </c>
      <c r="G102" s="70">
        <f t="shared" ref="G102:G107" si="18">IF(OR($C102="B",$C102="A",$C102="DB",$C102="CB"),$D102,)</f>
        <v>0</v>
      </c>
      <c r="H102" s="70">
        <f t="shared" si="10"/>
        <v>0</v>
      </c>
      <c r="I102" s="70">
        <f t="shared" si="11"/>
        <v>0</v>
      </c>
      <c r="J102" s="70">
        <f t="shared" si="12"/>
        <v>0</v>
      </c>
      <c r="K102" s="265"/>
    </row>
    <row r="103" spans="2:11" x14ac:dyDescent="0.2">
      <c r="B103" s="265"/>
      <c r="C103" s="266" t="s">
        <v>124</v>
      </c>
      <c r="D103" s="82"/>
      <c r="E103" s="70">
        <f t="shared" si="16"/>
        <v>0</v>
      </c>
      <c r="F103" s="70">
        <f t="shared" si="17"/>
        <v>0</v>
      </c>
      <c r="G103" s="70">
        <f t="shared" si="18"/>
        <v>0</v>
      </c>
      <c r="H103" s="70">
        <f t="shared" si="10"/>
        <v>0</v>
      </c>
      <c r="I103" s="70">
        <f t="shared" si="11"/>
        <v>0</v>
      </c>
      <c r="J103" s="70">
        <f t="shared" si="12"/>
        <v>0</v>
      </c>
      <c r="K103" s="265"/>
    </row>
    <row r="104" spans="2:11" x14ac:dyDescent="0.2">
      <c r="B104" s="265"/>
      <c r="C104" s="266" t="s">
        <v>124</v>
      </c>
      <c r="D104" s="82"/>
      <c r="E104" s="70">
        <f t="shared" si="16"/>
        <v>0</v>
      </c>
      <c r="F104" s="70">
        <f t="shared" si="17"/>
        <v>0</v>
      </c>
      <c r="G104" s="70">
        <f t="shared" si="18"/>
        <v>0</v>
      </c>
      <c r="H104" s="70">
        <f t="shared" si="10"/>
        <v>0</v>
      </c>
      <c r="I104" s="70">
        <f t="shared" si="11"/>
        <v>0</v>
      </c>
      <c r="J104" s="70">
        <f t="shared" si="12"/>
        <v>0</v>
      </c>
      <c r="K104" s="265"/>
    </row>
    <row r="105" spans="2:11" x14ac:dyDescent="0.2">
      <c r="B105" s="265"/>
      <c r="C105" s="266" t="s">
        <v>124</v>
      </c>
      <c r="D105" s="82"/>
      <c r="E105" s="70">
        <f t="shared" si="16"/>
        <v>0</v>
      </c>
      <c r="F105" s="70">
        <f t="shared" si="17"/>
        <v>0</v>
      </c>
      <c r="G105" s="70">
        <f t="shared" si="18"/>
        <v>0</v>
      </c>
      <c r="H105" s="70">
        <f t="shared" si="10"/>
        <v>0</v>
      </c>
      <c r="I105" s="70">
        <f t="shared" si="11"/>
        <v>0</v>
      </c>
      <c r="J105" s="70">
        <f t="shared" si="12"/>
        <v>0</v>
      </c>
      <c r="K105" s="265"/>
    </row>
    <row r="106" spans="2:11" x14ac:dyDescent="0.2">
      <c r="B106" s="265"/>
      <c r="C106" s="266" t="s">
        <v>124</v>
      </c>
      <c r="D106" s="82"/>
      <c r="E106" s="70">
        <f t="shared" si="16"/>
        <v>0</v>
      </c>
      <c r="F106" s="70">
        <f t="shared" si="17"/>
        <v>0</v>
      </c>
      <c r="G106" s="70">
        <f t="shared" si="18"/>
        <v>0</v>
      </c>
      <c r="H106" s="70">
        <f t="shared" si="10"/>
        <v>0</v>
      </c>
      <c r="I106" s="70">
        <f t="shared" si="11"/>
        <v>0</v>
      </c>
      <c r="J106" s="70">
        <f t="shared" si="12"/>
        <v>0</v>
      </c>
      <c r="K106" s="265"/>
    </row>
    <row r="107" spans="2:11" x14ac:dyDescent="0.2">
      <c r="B107" s="265"/>
      <c r="C107" s="266" t="s">
        <v>124</v>
      </c>
      <c r="D107" s="82"/>
      <c r="E107" s="70">
        <f t="shared" si="16"/>
        <v>0</v>
      </c>
      <c r="F107" s="70">
        <f t="shared" si="17"/>
        <v>0</v>
      </c>
      <c r="G107" s="70">
        <f t="shared" si="18"/>
        <v>0</v>
      </c>
      <c r="H107" s="70">
        <f t="shared" si="10"/>
        <v>0</v>
      </c>
      <c r="I107" s="70">
        <f t="shared" si="11"/>
        <v>0</v>
      </c>
      <c r="J107" s="70">
        <f t="shared" si="12"/>
        <v>0</v>
      </c>
      <c r="K107" s="265"/>
    </row>
    <row r="108" spans="2:11" x14ac:dyDescent="0.2">
      <c r="C108" s="48" t="s">
        <v>238</v>
      </c>
      <c r="D108" s="67">
        <f t="shared" ref="D108:J108" si="19">SUM(D38:D107)</f>
        <v>212492.38</v>
      </c>
      <c r="E108" s="67">
        <f t="shared" si="19"/>
        <v>130021</v>
      </c>
      <c r="F108" s="67">
        <f t="shared" si="19"/>
        <v>158442.38</v>
      </c>
      <c r="G108" s="67">
        <f t="shared" si="19"/>
        <v>111921</v>
      </c>
      <c r="H108" s="67">
        <f t="shared" si="19"/>
        <v>184142.38</v>
      </c>
      <c r="I108" s="67">
        <f t="shared" si="19"/>
        <v>137621</v>
      </c>
      <c r="J108" s="67">
        <f t="shared" si="19"/>
        <v>166042.38</v>
      </c>
    </row>
    <row r="109" spans="2:11" x14ac:dyDescent="0.2">
      <c r="B109" s="48" t="s">
        <v>239</v>
      </c>
      <c r="D109" s="67">
        <f>D108*0.1</f>
        <v>21249.238000000001</v>
      </c>
      <c r="E109" s="67">
        <f t="shared" ref="E109:J109" si="20">E108*0.1</f>
        <v>13002.1</v>
      </c>
      <c r="F109" s="67">
        <f t="shared" si="20"/>
        <v>15844.238000000001</v>
      </c>
      <c r="G109" s="67">
        <f t="shared" si="20"/>
        <v>11192.1</v>
      </c>
      <c r="H109" s="67">
        <f t="shared" si="20"/>
        <v>18414.238000000001</v>
      </c>
      <c r="I109" s="67">
        <f t="shared" si="20"/>
        <v>13762.1</v>
      </c>
      <c r="J109" s="67">
        <f t="shared" si="20"/>
        <v>16604.238000000001</v>
      </c>
    </row>
    <row r="110" spans="2:11" x14ac:dyDescent="0.2">
      <c r="B110" s="48" t="s">
        <v>240</v>
      </c>
      <c r="D110" s="73">
        <f>D108*0.15</f>
        <v>31873.857</v>
      </c>
      <c r="E110" s="73">
        <f t="shared" ref="E110:J110" si="21">E108*0.15</f>
        <v>19503.149999999998</v>
      </c>
      <c r="F110" s="73">
        <f t="shared" si="21"/>
        <v>23766.357</v>
      </c>
      <c r="G110" s="73">
        <f t="shared" si="21"/>
        <v>16788.149999999998</v>
      </c>
      <c r="H110" s="73">
        <f t="shared" si="21"/>
        <v>27621.357</v>
      </c>
      <c r="I110" s="73">
        <f t="shared" si="21"/>
        <v>20643.149999999998</v>
      </c>
      <c r="J110" s="73">
        <f t="shared" si="21"/>
        <v>24906.357</v>
      </c>
    </row>
    <row r="111" spans="2:11" x14ac:dyDescent="0.2">
      <c r="C111" s="61" t="s">
        <v>241</v>
      </c>
      <c r="D111" s="72">
        <f t="shared" ref="D111:J111" si="22">D108+D109+D110</f>
        <v>265615.47500000003</v>
      </c>
      <c r="E111" s="72">
        <f t="shared" si="22"/>
        <v>162526.25</v>
      </c>
      <c r="F111" s="72">
        <f t="shared" si="22"/>
        <v>198052.97500000001</v>
      </c>
      <c r="G111" s="72">
        <f t="shared" si="22"/>
        <v>139901.25</v>
      </c>
      <c r="H111" s="72">
        <f t="shared" si="22"/>
        <v>230177.97500000001</v>
      </c>
      <c r="I111" s="72">
        <f t="shared" si="22"/>
        <v>172026.25</v>
      </c>
      <c r="J111" s="72">
        <f t="shared" si="22"/>
        <v>207552.97500000001</v>
      </c>
    </row>
    <row r="113" spans="2:5" x14ac:dyDescent="0.2">
      <c r="B113" s="61" t="s">
        <v>274</v>
      </c>
      <c r="C113" s="72">
        <f>IF($C$16="A",D111,IF($C$16="B",G111,IF($C$16="C",F111,IF($C$16="D",E111,IF($C$16="CB",J111,IF($C$16="DB",I111,IF($C$16="DC",H111,)))))))</f>
        <v>265615.47500000003</v>
      </c>
    </row>
    <row r="115" spans="2:5" x14ac:dyDescent="0.2">
      <c r="C115" s="67"/>
      <c r="D115" s="74"/>
      <c r="E115" s="67"/>
    </row>
    <row r="116" spans="2:5" x14ac:dyDescent="0.2">
      <c r="B116" s="61" t="s">
        <v>322</v>
      </c>
    </row>
    <row r="117" spans="2:5" x14ac:dyDescent="0.2">
      <c r="B117" s="61" t="s">
        <v>450</v>
      </c>
      <c r="C117" s="75"/>
    </row>
    <row r="118" spans="2:5" x14ac:dyDescent="0.2">
      <c r="B118" s="64" t="s">
        <v>446</v>
      </c>
      <c r="C118" s="84">
        <v>6381</v>
      </c>
      <c r="D118" s="64" t="s">
        <v>419</v>
      </c>
    </row>
    <row r="119" spans="2:5" x14ac:dyDescent="0.2">
      <c r="B119" s="64" t="s">
        <v>288</v>
      </c>
      <c r="C119" s="84">
        <v>5545</v>
      </c>
      <c r="D119" s="64" t="s">
        <v>421</v>
      </c>
    </row>
    <row r="120" spans="2:5" x14ac:dyDescent="0.2">
      <c r="B120" s="64" t="s">
        <v>334</v>
      </c>
      <c r="C120" s="84">
        <v>1773</v>
      </c>
      <c r="D120" s="64" t="s">
        <v>420</v>
      </c>
      <c r="E120" s="78" t="s">
        <v>422</v>
      </c>
    </row>
    <row r="121" spans="2:5" x14ac:dyDescent="0.2">
      <c r="B121" s="64" t="s">
        <v>447</v>
      </c>
      <c r="C121" s="84">
        <v>5000</v>
      </c>
    </row>
    <row r="122" spans="2:5" x14ac:dyDescent="0.2">
      <c r="B122" s="64" t="s">
        <v>336</v>
      </c>
      <c r="C122" s="84">
        <v>545</v>
      </c>
    </row>
    <row r="123" spans="2:5" x14ac:dyDescent="0.2">
      <c r="B123" s="64" t="s">
        <v>448</v>
      </c>
      <c r="C123" s="84">
        <v>2400</v>
      </c>
    </row>
    <row r="124" spans="2:5" x14ac:dyDescent="0.2">
      <c r="B124" s="61" t="s">
        <v>449</v>
      </c>
      <c r="C124" s="77">
        <f>SUM(C118:C123)</f>
        <v>21644</v>
      </c>
    </row>
    <row r="126" spans="2:5" x14ac:dyDescent="0.2">
      <c r="B126" s="64" t="s">
        <v>326</v>
      </c>
      <c r="C126" s="85">
        <v>0.03</v>
      </c>
      <c r="D126" s="67"/>
    </row>
    <row r="127" spans="2:5" x14ac:dyDescent="0.2">
      <c r="B127" s="64" t="s">
        <v>327</v>
      </c>
      <c r="C127" s="86">
        <v>0.02</v>
      </c>
      <c r="D127" s="67"/>
    </row>
    <row r="128" spans="2:5" x14ac:dyDescent="0.2">
      <c r="B128" s="64" t="s">
        <v>423</v>
      </c>
      <c r="C128" s="86">
        <v>5.0000000000000001E-3</v>
      </c>
      <c r="D128" s="67"/>
    </row>
    <row r="210" spans="1:1" x14ac:dyDescent="0.2">
      <c r="A210" s="48" t="s">
        <v>124</v>
      </c>
    </row>
    <row r="211" spans="1:1" x14ac:dyDescent="0.2">
      <c r="A211" s="48" t="s">
        <v>115</v>
      </c>
    </row>
    <row r="212" spans="1:1" x14ac:dyDescent="0.2">
      <c r="A212" s="48" t="s">
        <v>116</v>
      </c>
    </row>
    <row r="213" spans="1:1" x14ac:dyDescent="0.2">
      <c r="A213" s="48" t="s">
        <v>117</v>
      </c>
    </row>
    <row r="214" spans="1:1" x14ac:dyDescent="0.2">
      <c r="A214" s="48" t="s">
        <v>250</v>
      </c>
    </row>
    <row r="215" spans="1:1" x14ac:dyDescent="0.2">
      <c r="A215" s="48" t="s">
        <v>251</v>
      </c>
    </row>
    <row r="216" spans="1:1" x14ac:dyDescent="0.2">
      <c r="A216" s="48" t="s">
        <v>228</v>
      </c>
    </row>
  </sheetData>
  <sheetProtection password="E114" sheet="1" objects="1" scenarios="1" selectLockedCells="1"/>
  <mergeCells count="6">
    <mergeCell ref="E9:F9"/>
    <mergeCell ref="E8:F8"/>
    <mergeCell ref="E4:F4"/>
    <mergeCell ref="E5:F5"/>
    <mergeCell ref="E6:F6"/>
    <mergeCell ref="E7:F7"/>
  </mergeCells>
  <dataValidations count="2">
    <dataValidation type="list" showInputMessage="1" showErrorMessage="1" promptTitle="Type of Processing" prompt="Select the appropriate type of processing for which the equipment will be used.  In cases where equipment may be used for multiple types of processing, choose &quot;A&quot; for &quot;All.&quot;" sqref="C38:C107">
      <formula1>$A$210:$A$216</formula1>
    </dataValidation>
    <dataValidation type="list" showInputMessage="1" showErrorMessage="1" promptTitle="Plant Processing Capabilities:" prompt="A = All types of processing_x000a_B = Baking only_x000a_C = Canning only_x000a_D = Drying/Dehydration only_x000a_CB = Canning and Baking_x000a_DB = Drying and Baking_x000a_DC = Drying and Canning" sqref="C16">
      <formula1>$A$210:$A$216</formula1>
    </dataValidation>
  </dataValidations>
  <hyperlinks>
    <hyperlink ref="B5" location="'Personnel Expenses'!A1" display="Personnel Expenses"/>
    <hyperlink ref="B6" location="'Market Projection'!A1" display="Market Projection"/>
    <hyperlink ref="B7" location="'Expense Projection'!A1" display="Expense Projection"/>
    <hyperlink ref="B8" location="'Profit &amp; Loss'!A1" display="Profit/Loss Summary"/>
    <hyperlink ref="B9" location="'Return On Investment'!A1" display="Return on Investment"/>
    <hyperlink ref="H11" location="'Borrowing &amp; Debt'!A1" display="Borrowing &amp; Debt"/>
    <hyperlink ref="I13" location="Depreciation!A1" display="Depreciation"/>
    <hyperlink ref="E120" location="'Utilities Estimates'!A1" display="Utilities Estimates"/>
    <hyperlink ref="B4" location="'Production Assumptions'!A1" display="Production Assumptions"/>
  </hyperlinks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showRowColHeaders="0" workbookViewId="0">
      <selection activeCell="C3" sqref="C3"/>
    </sheetView>
  </sheetViews>
  <sheetFormatPr defaultColWidth="8.85546875" defaultRowHeight="15" x14ac:dyDescent="0.25"/>
  <cols>
    <col min="1" max="1" width="5.7109375" style="88" customWidth="1"/>
    <col min="2" max="2" width="11.28515625" style="88" customWidth="1"/>
    <col min="3" max="3" width="9.42578125" style="88" customWidth="1"/>
    <col min="4" max="4" width="16.7109375" style="88" customWidth="1"/>
    <col min="5" max="5" width="10.42578125" style="88" customWidth="1"/>
    <col min="6" max="7" width="8.85546875" style="88"/>
    <col min="8" max="8" width="11" style="88" customWidth="1"/>
    <col min="9" max="9" width="6.28515625" style="88" customWidth="1"/>
    <col min="10" max="10" width="17.140625" style="88" customWidth="1"/>
    <col min="11" max="11" width="8.85546875" style="88" customWidth="1"/>
    <col min="12" max="12" width="8.85546875" style="88"/>
    <col min="13" max="13" width="3.85546875" style="88" customWidth="1"/>
    <col min="14" max="15" width="8.85546875" style="88"/>
    <col min="16" max="16" width="9.42578125" style="88" customWidth="1"/>
    <col min="17" max="17" width="11.140625" style="88" customWidth="1"/>
    <col min="18" max="16384" width="8.85546875" style="88"/>
  </cols>
  <sheetData>
    <row r="1" spans="1:20" x14ac:dyDescent="0.25">
      <c r="A1" s="110"/>
      <c r="B1" s="87" t="s">
        <v>328</v>
      </c>
    </row>
    <row r="2" spans="1:20" x14ac:dyDescent="0.25">
      <c r="B2" s="236" t="s">
        <v>460</v>
      </c>
      <c r="G2" s="261"/>
      <c r="H2" s="219" t="s">
        <v>445</v>
      </c>
    </row>
    <row r="3" spans="1:20" x14ac:dyDescent="0.25">
      <c r="B3" s="89" t="s">
        <v>424</v>
      </c>
      <c r="C3" s="78" t="s">
        <v>276</v>
      </c>
      <c r="G3" s="241"/>
      <c r="H3" s="242" t="s">
        <v>468</v>
      </c>
    </row>
    <row r="4" spans="1:20" x14ac:dyDescent="0.25">
      <c r="Q4" s="87" t="s">
        <v>329</v>
      </c>
    </row>
    <row r="5" spans="1:20" x14ac:dyDescent="0.25">
      <c r="B5" s="87" t="s">
        <v>330</v>
      </c>
      <c r="D5" s="88" t="s">
        <v>331</v>
      </c>
      <c r="F5" s="88" t="s">
        <v>332</v>
      </c>
      <c r="O5" s="88" t="s">
        <v>333</v>
      </c>
      <c r="Q5" s="88" t="s">
        <v>334</v>
      </c>
      <c r="R5" s="88" t="s">
        <v>335</v>
      </c>
      <c r="S5" s="88" t="s">
        <v>288</v>
      </c>
      <c r="T5" s="88" t="s">
        <v>336</v>
      </c>
    </row>
    <row r="6" spans="1:20" x14ac:dyDescent="0.25">
      <c r="B6" s="88" t="s">
        <v>337</v>
      </c>
      <c r="C6" s="111">
        <f>33*2*6</f>
        <v>396</v>
      </c>
      <c r="D6" s="262" t="s">
        <v>338</v>
      </c>
      <c r="F6" s="262" t="s">
        <v>339</v>
      </c>
      <c r="G6" s="262"/>
      <c r="H6" s="262"/>
      <c r="I6" s="111">
        <v>1000</v>
      </c>
      <c r="J6" s="88" t="s">
        <v>340</v>
      </c>
      <c r="K6" s="88">
        <f>C6*(2/3)</f>
        <v>264</v>
      </c>
      <c r="L6" s="88" t="s">
        <v>341</v>
      </c>
      <c r="M6" s="88">
        <v>0.4</v>
      </c>
      <c r="N6" s="88" t="s">
        <v>342</v>
      </c>
      <c r="O6" s="90">
        <f>I6*K6/M6</f>
        <v>660000</v>
      </c>
      <c r="P6" s="88" t="s">
        <v>343</v>
      </c>
      <c r="Q6" s="91">
        <f>$C$33/30+(O6/100000)*$E$33</f>
        <v>3.5523333333333333</v>
      </c>
      <c r="R6" s="91">
        <f>O6/1000*0.2930711*$C$34</f>
        <v>12.185896337999999</v>
      </c>
      <c r="S6" s="91">
        <f>(C35+E35/12+C37)/30</f>
        <v>2.1507777777777779</v>
      </c>
      <c r="T6" s="91">
        <f>C39/30</f>
        <v>0.51200000000000001</v>
      </c>
    </row>
    <row r="7" spans="1:20" x14ac:dyDescent="0.25">
      <c r="B7" s="88" t="s">
        <v>344</v>
      </c>
      <c r="C7" s="111">
        <f>3*60*8</f>
        <v>1440</v>
      </c>
      <c r="D7" s="262" t="s">
        <v>345</v>
      </c>
      <c r="F7" s="262" t="s">
        <v>346</v>
      </c>
      <c r="G7" s="262"/>
      <c r="H7" s="262"/>
      <c r="I7" s="111">
        <v>3</v>
      </c>
      <c r="J7" s="88" t="s">
        <v>347</v>
      </c>
      <c r="K7" s="88">
        <v>160</v>
      </c>
      <c r="L7" s="88" t="s">
        <v>340</v>
      </c>
      <c r="M7" s="88">
        <v>0.5</v>
      </c>
      <c r="N7" s="88" t="s">
        <v>342</v>
      </c>
      <c r="O7" s="90">
        <f>C7*I7*K7/M7</f>
        <v>1382400</v>
      </c>
      <c r="P7" s="88" t="s">
        <v>343</v>
      </c>
      <c r="Q7" s="91">
        <f t="shared" ref="Q7:Q8" si="0">9.55/30+(O7/100000)*0.49</f>
        <v>7.0920933333333336</v>
      </c>
      <c r="R7" s="91">
        <f>O7/1000*0.2930711*$C$34</f>
        <v>25.523913784319998</v>
      </c>
      <c r="S7" s="91">
        <f>(C35+E35/12+C37)/30+E12/100*C38</f>
        <v>22.181177777777776</v>
      </c>
      <c r="T7" s="91">
        <f>C39/30+(E12-2993)*C41/100/30+(2993-1496)*C40/100/30</f>
        <v>2.1415868666666666</v>
      </c>
    </row>
    <row r="8" spans="1:20" x14ac:dyDescent="0.25">
      <c r="B8" s="88" t="s">
        <v>348</v>
      </c>
      <c r="C8" s="111">
        <f>3*20*8</f>
        <v>480</v>
      </c>
      <c r="D8" s="262" t="s">
        <v>349</v>
      </c>
      <c r="F8" s="262" t="s">
        <v>350</v>
      </c>
      <c r="G8" s="262"/>
      <c r="H8" s="262"/>
      <c r="I8" s="111">
        <v>0.3</v>
      </c>
      <c r="J8" s="88" t="s">
        <v>351</v>
      </c>
      <c r="K8" s="88">
        <v>1000</v>
      </c>
      <c r="L8" s="88" t="s">
        <v>340</v>
      </c>
      <c r="M8" s="88">
        <v>0.4</v>
      </c>
      <c r="N8" s="88" t="s">
        <v>342</v>
      </c>
      <c r="O8" s="90">
        <f>C8*I8*K8/M8</f>
        <v>360000</v>
      </c>
      <c r="P8" s="88" t="s">
        <v>343</v>
      </c>
      <c r="Q8" s="91">
        <f t="shared" si="0"/>
        <v>2.0823333333333336</v>
      </c>
      <c r="R8" s="91">
        <f>O8/1000*0.2930711*$C$34</f>
        <v>6.646852548</v>
      </c>
      <c r="S8" s="91">
        <f>(C35+E35/12+C37)/30</f>
        <v>2.1507777777777779</v>
      </c>
      <c r="T8" s="91">
        <f>C39/30</f>
        <v>0.51200000000000001</v>
      </c>
    </row>
    <row r="9" spans="1:20" x14ac:dyDescent="0.25">
      <c r="I9" s="92"/>
      <c r="O9" s="90"/>
    </row>
    <row r="10" spans="1:20" x14ac:dyDescent="0.25">
      <c r="B10" s="282" t="s">
        <v>352</v>
      </c>
      <c r="C10" s="282"/>
      <c r="D10" s="282"/>
      <c r="E10" s="88" t="s">
        <v>353</v>
      </c>
      <c r="F10" s="282" t="s">
        <v>354</v>
      </c>
      <c r="G10" s="282"/>
      <c r="H10" s="282"/>
      <c r="I10" s="88" t="s">
        <v>353</v>
      </c>
      <c r="O10" s="90"/>
    </row>
    <row r="11" spans="1:20" x14ac:dyDescent="0.25">
      <c r="B11" s="88" t="s">
        <v>337</v>
      </c>
      <c r="C11" s="111">
        <v>0.25</v>
      </c>
      <c r="D11" s="88" t="s">
        <v>355</v>
      </c>
      <c r="E11" s="90">
        <f>C11*C6*20</f>
        <v>1980</v>
      </c>
      <c r="F11" s="111">
        <v>0.25</v>
      </c>
      <c r="G11" s="88" t="s">
        <v>355</v>
      </c>
      <c r="I11" s="90">
        <f>C6*F11*20</f>
        <v>1980</v>
      </c>
      <c r="O11" s="90"/>
    </row>
    <row r="12" spans="1:20" x14ac:dyDescent="0.25">
      <c r="B12" s="88" t="s">
        <v>356</v>
      </c>
      <c r="C12" s="111">
        <v>0.5</v>
      </c>
      <c r="D12" s="88" t="s">
        <v>357</v>
      </c>
      <c r="E12" s="90">
        <f>C12*C7*20</f>
        <v>14400</v>
      </c>
      <c r="F12" s="111">
        <v>0.5</v>
      </c>
      <c r="G12" s="88" t="s">
        <v>357</v>
      </c>
      <c r="I12" s="90">
        <f t="shared" ref="I12:I13" si="1">C7*F12*20</f>
        <v>14400</v>
      </c>
      <c r="O12" s="90"/>
    </row>
    <row r="13" spans="1:20" x14ac:dyDescent="0.25">
      <c r="B13" s="88" t="s">
        <v>348</v>
      </c>
      <c r="C13" s="111">
        <v>0.2</v>
      </c>
      <c r="D13" s="88" t="s">
        <v>358</v>
      </c>
      <c r="E13" s="90">
        <f>C13*C8*20</f>
        <v>1920</v>
      </c>
      <c r="F13" s="111">
        <v>0.2</v>
      </c>
      <c r="G13" s="88" t="s">
        <v>358</v>
      </c>
      <c r="I13" s="90">
        <f t="shared" si="1"/>
        <v>1920</v>
      </c>
    </row>
    <row r="15" spans="1:20" x14ac:dyDescent="0.25">
      <c r="B15" s="87" t="s">
        <v>359</v>
      </c>
    </row>
    <row r="16" spans="1:20" x14ac:dyDescent="0.25">
      <c r="B16" s="263" t="s">
        <v>466</v>
      </c>
      <c r="C16" s="262"/>
      <c r="D16" s="262" t="s">
        <v>465</v>
      </c>
      <c r="E16" s="262"/>
      <c r="F16" s="262"/>
      <c r="G16" s="262"/>
      <c r="H16" s="262"/>
      <c r="I16" s="262"/>
      <c r="J16" s="93" t="s">
        <v>360</v>
      </c>
    </row>
    <row r="17" spans="2:17" x14ac:dyDescent="0.25">
      <c r="B17" s="262" t="s">
        <v>361</v>
      </c>
      <c r="C17" s="262"/>
      <c r="D17" s="262"/>
      <c r="E17" s="262"/>
      <c r="F17" s="262"/>
      <c r="G17" s="262"/>
      <c r="H17" s="262"/>
      <c r="I17" s="262"/>
      <c r="J17" s="240" t="s">
        <v>467</v>
      </c>
      <c r="K17" s="94"/>
      <c r="L17" s="94"/>
      <c r="M17" s="94"/>
      <c r="N17" s="94"/>
      <c r="O17" s="94"/>
      <c r="P17" s="94"/>
      <c r="Q17" s="95"/>
    </row>
    <row r="18" spans="2:17" x14ac:dyDescent="0.25">
      <c r="B18" s="262" t="s">
        <v>362</v>
      </c>
      <c r="C18" s="262"/>
      <c r="D18" s="262"/>
      <c r="E18" s="262"/>
      <c r="F18" s="262"/>
      <c r="G18" s="262"/>
      <c r="H18" s="262"/>
      <c r="I18" s="262"/>
      <c r="J18" s="96" t="s">
        <v>363</v>
      </c>
      <c r="K18" s="97">
        <f>('Plant, Prop &amp; Equip'!D22+'Plant, Prop &amp; Equip'!D23)</f>
        <v>3600</v>
      </c>
      <c r="L18" s="98" t="s">
        <v>364</v>
      </c>
      <c r="M18" s="98"/>
      <c r="N18" s="98"/>
      <c r="O18" s="98"/>
      <c r="P18" s="283" t="s">
        <v>365</v>
      </c>
      <c r="Q18" s="284"/>
    </row>
    <row r="19" spans="2:17" x14ac:dyDescent="0.25">
      <c r="B19" s="262" t="s">
        <v>366</v>
      </c>
      <c r="C19" s="262"/>
      <c r="D19" s="262"/>
      <c r="E19" s="262"/>
      <c r="F19" s="262"/>
      <c r="G19" s="262"/>
      <c r="H19" s="262"/>
      <c r="I19" s="262"/>
      <c r="J19" s="237" t="s">
        <v>464</v>
      </c>
      <c r="K19" s="243" t="s">
        <v>367</v>
      </c>
      <c r="L19" s="243" t="s">
        <v>368</v>
      </c>
      <c r="M19" s="243"/>
      <c r="N19" s="243" t="s">
        <v>369</v>
      </c>
      <c r="O19" s="243" t="s">
        <v>370</v>
      </c>
      <c r="P19" s="243" t="s">
        <v>371</v>
      </c>
      <c r="Q19" s="244" t="s">
        <v>372</v>
      </c>
    </row>
    <row r="20" spans="2:17" x14ac:dyDescent="0.25">
      <c r="B20" s="262" t="s">
        <v>373</v>
      </c>
      <c r="C20" s="262"/>
      <c r="D20" s="262"/>
      <c r="E20" s="262"/>
      <c r="F20" s="262"/>
      <c r="G20" s="262"/>
      <c r="H20" s="262"/>
      <c r="I20" s="262"/>
      <c r="J20" s="96" t="s">
        <v>337</v>
      </c>
      <c r="K20" s="100">
        <f>Q6*$K25</f>
        <v>0</v>
      </c>
      <c r="L20" s="100">
        <f>R6*$K25</f>
        <v>0</v>
      </c>
      <c r="M20" s="98"/>
      <c r="N20" s="100">
        <f>S6*$K25</f>
        <v>0</v>
      </c>
      <c r="O20" s="100">
        <f>T6*$K25</f>
        <v>0</v>
      </c>
      <c r="P20" s="249">
        <f>K20+N20+O20</f>
        <v>0</v>
      </c>
      <c r="Q20" s="249">
        <f>SUM(L20:O20)</f>
        <v>0</v>
      </c>
    </row>
    <row r="21" spans="2:17" x14ac:dyDescent="0.25">
      <c r="B21" s="262" t="s">
        <v>374</v>
      </c>
      <c r="C21" s="262"/>
      <c r="D21" s="262"/>
      <c r="E21" s="262"/>
      <c r="F21" s="262"/>
      <c r="G21" s="262"/>
      <c r="H21" s="262"/>
      <c r="I21" s="262"/>
      <c r="J21" s="96" t="s">
        <v>375</v>
      </c>
      <c r="K21" s="100">
        <f>Q7*$K26</f>
        <v>1773.0233333333333</v>
      </c>
      <c r="L21" s="100">
        <f t="shared" ref="L21" si="2">R7*$K26</f>
        <v>6380.9784460799992</v>
      </c>
      <c r="M21" s="98"/>
      <c r="N21" s="100">
        <f t="shared" ref="N21:O22" si="3">S7*$K26</f>
        <v>5545.2944444444438</v>
      </c>
      <c r="O21" s="100">
        <f>T7*$K26</f>
        <v>535.39671666666663</v>
      </c>
      <c r="P21" s="250">
        <f t="shared" ref="P21:P22" si="4">K21+N21+O21</f>
        <v>7853.7144944444444</v>
      </c>
      <c r="Q21" s="250">
        <f t="shared" ref="Q21:Q22" si="5">SUM(L21:O21)</f>
        <v>12461.66960719111</v>
      </c>
    </row>
    <row r="22" spans="2:17" x14ac:dyDescent="0.25">
      <c r="B22" s="262" t="s">
        <v>376</v>
      </c>
      <c r="C22" s="262"/>
      <c r="D22" s="262"/>
      <c r="E22" s="262"/>
      <c r="F22" s="262"/>
      <c r="G22" s="262"/>
      <c r="H22" s="262"/>
      <c r="I22" s="262"/>
      <c r="J22" s="104" t="s">
        <v>348</v>
      </c>
      <c r="K22" s="238">
        <f t="shared" ref="K22:L22" si="6">Q8*$K27</f>
        <v>0</v>
      </c>
      <c r="L22" s="238">
        <f t="shared" si="6"/>
        <v>0</v>
      </c>
      <c r="M22" s="105"/>
      <c r="N22" s="238">
        <f t="shared" si="3"/>
        <v>0</v>
      </c>
      <c r="O22" s="238">
        <f t="shared" si="3"/>
        <v>0</v>
      </c>
      <c r="P22" s="251">
        <f t="shared" si="4"/>
        <v>0</v>
      </c>
      <c r="Q22" s="251">
        <f t="shared" si="5"/>
        <v>0</v>
      </c>
    </row>
    <row r="23" spans="2:17" x14ac:dyDescent="0.25">
      <c r="B23" s="262" t="s">
        <v>377</v>
      </c>
      <c r="C23" s="262"/>
      <c r="D23" s="262"/>
      <c r="E23" s="262"/>
      <c r="F23" s="262"/>
      <c r="G23" s="262"/>
      <c r="H23" s="262"/>
      <c r="I23" s="262"/>
      <c r="J23" s="246" t="s">
        <v>378</v>
      </c>
      <c r="K23" s="247">
        <f>C28*K18/C26/365*K28</f>
        <v>2042.4657534246578</v>
      </c>
      <c r="L23" s="247">
        <f>C27*K18/C26/365*K28</f>
        <v>3359.5890410958905</v>
      </c>
      <c r="M23" s="248"/>
      <c r="N23" s="248"/>
      <c r="O23" s="248"/>
      <c r="P23" s="248">
        <f>K23+L23</f>
        <v>5402.0547945205481</v>
      </c>
      <c r="Q23" s="102">
        <f>K23+L23</f>
        <v>5402.0547945205481</v>
      </c>
    </row>
    <row r="24" spans="2:17" x14ac:dyDescent="0.25">
      <c r="B24" s="262" t="s">
        <v>379</v>
      </c>
      <c r="C24" s="262"/>
      <c r="D24" s="262"/>
      <c r="E24" s="262"/>
      <c r="F24" s="262"/>
      <c r="G24" s="262"/>
      <c r="H24" s="262"/>
      <c r="I24" s="262"/>
      <c r="J24" s="96" t="s">
        <v>380</v>
      </c>
      <c r="K24" s="98"/>
      <c r="L24" s="100"/>
      <c r="M24" s="100"/>
      <c r="N24" s="100" t="s">
        <v>381</v>
      </c>
      <c r="O24" s="100"/>
      <c r="P24" s="245">
        <f>SUM(P20:P23)</f>
        <v>13255.769288964992</v>
      </c>
      <c r="Q24" s="239">
        <f>SUM(Q20:Q23)</f>
        <v>17863.724401711657</v>
      </c>
    </row>
    <row r="25" spans="2:17" x14ac:dyDescent="0.25">
      <c r="B25" s="262" t="s">
        <v>382</v>
      </c>
      <c r="C25" s="262"/>
      <c r="D25" s="262"/>
      <c r="E25" s="262"/>
      <c r="F25" s="262"/>
      <c r="G25" s="262"/>
      <c r="H25" s="262"/>
      <c r="I25" s="262"/>
      <c r="J25" s="101" t="s">
        <v>337</v>
      </c>
      <c r="K25" s="112">
        <v>0</v>
      </c>
      <c r="L25" s="100"/>
      <c r="M25" s="98"/>
      <c r="N25" s="98"/>
      <c r="O25" s="98"/>
      <c r="P25" s="98"/>
      <c r="Q25" s="99"/>
    </row>
    <row r="26" spans="2:17" x14ac:dyDescent="0.25">
      <c r="B26" s="92" t="s">
        <v>364</v>
      </c>
      <c r="C26" s="103">
        <f>K18</f>
        <v>3600</v>
      </c>
      <c r="D26" s="92"/>
      <c r="E26" s="92"/>
      <c r="F26" s="92"/>
      <c r="G26" s="92"/>
      <c r="H26" s="92"/>
      <c r="I26" s="92"/>
      <c r="J26" s="101" t="s">
        <v>344</v>
      </c>
      <c r="K26" s="112">
        <v>250</v>
      </c>
      <c r="L26" s="98"/>
      <c r="M26" s="98"/>
      <c r="N26" s="98"/>
      <c r="O26" s="98"/>
      <c r="P26" s="98"/>
      <c r="Q26" s="99"/>
    </row>
    <row r="27" spans="2:17" x14ac:dyDescent="0.25">
      <c r="B27" s="92" t="s">
        <v>383</v>
      </c>
      <c r="C27" s="114">
        <v>4905</v>
      </c>
      <c r="D27" s="92" t="s">
        <v>384</v>
      </c>
      <c r="E27" s="92"/>
      <c r="F27" s="92"/>
      <c r="G27" s="92"/>
      <c r="H27" s="92"/>
      <c r="I27" s="92"/>
      <c r="J27" s="101" t="s">
        <v>348</v>
      </c>
      <c r="K27" s="112">
        <v>0</v>
      </c>
      <c r="L27" s="98"/>
      <c r="M27" s="98"/>
      <c r="N27" s="98"/>
      <c r="O27" s="98"/>
      <c r="P27" s="98"/>
      <c r="Q27" s="99"/>
    </row>
    <row r="28" spans="2:17" x14ac:dyDescent="0.25">
      <c r="B28" s="92" t="s">
        <v>385</v>
      </c>
      <c r="C28" s="114">
        <v>2982</v>
      </c>
      <c r="D28" s="92" t="s">
        <v>384</v>
      </c>
      <c r="E28" s="92"/>
      <c r="F28" s="92"/>
      <c r="G28" s="92"/>
      <c r="H28" s="92"/>
      <c r="I28" s="92"/>
      <c r="J28" s="104" t="s">
        <v>386</v>
      </c>
      <c r="K28" s="113">
        <v>250</v>
      </c>
      <c r="L28" s="105"/>
      <c r="M28" s="105"/>
      <c r="N28" s="105"/>
      <c r="O28" s="105"/>
      <c r="P28" s="105"/>
      <c r="Q28" s="106"/>
    </row>
    <row r="29" spans="2:17" x14ac:dyDescent="0.25">
      <c r="B29" s="92" t="s">
        <v>51</v>
      </c>
      <c r="C29" s="107">
        <f>SUM(C27:C28)</f>
        <v>7887</v>
      </c>
      <c r="D29" s="92"/>
      <c r="E29" s="92"/>
      <c r="F29" s="92"/>
      <c r="G29" s="92"/>
      <c r="H29" s="92"/>
      <c r="I29" s="92"/>
      <c r="J29" s="108" t="s">
        <v>389</v>
      </c>
      <c r="O29" s="98"/>
    </row>
    <row r="30" spans="2:17" x14ac:dyDescent="0.25">
      <c r="B30" s="92" t="s">
        <v>387</v>
      </c>
      <c r="C30" s="109">
        <f>C29/C26</f>
        <v>2.1908333333333334</v>
      </c>
      <c r="D30" s="92" t="s">
        <v>388</v>
      </c>
      <c r="E30" s="92"/>
      <c r="F30" s="92"/>
      <c r="G30" s="92"/>
      <c r="H30" s="92"/>
      <c r="I30" s="92"/>
    </row>
    <row r="32" spans="2:17" x14ac:dyDescent="0.25">
      <c r="B32" s="88" t="s">
        <v>390</v>
      </c>
    </row>
    <row r="33" spans="2:12" x14ac:dyDescent="0.25">
      <c r="B33" s="88" t="s">
        <v>334</v>
      </c>
      <c r="C33" s="115">
        <v>9.5500000000000007</v>
      </c>
      <c r="D33" s="88" t="s">
        <v>404</v>
      </c>
      <c r="E33" s="116">
        <v>0.49</v>
      </c>
      <c r="F33" s="88" t="s">
        <v>391</v>
      </c>
      <c r="G33" s="88" t="s">
        <v>392</v>
      </c>
      <c r="I33" s="262" t="s">
        <v>393</v>
      </c>
      <c r="J33" s="262"/>
      <c r="K33" s="262"/>
      <c r="L33" s="262"/>
    </row>
    <row r="34" spans="2:12" x14ac:dyDescent="0.25">
      <c r="B34" s="88" t="s">
        <v>335</v>
      </c>
      <c r="C34" s="116">
        <v>6.3E-2</v>
      </c>
      <c r="D34" s="88" t="s">
        <v>394</v>
      </c>
      <c r="I34" s="262" t="s">
        <v>395</v>
      </c>
      <c r="J34" s="262"/>
      <c r="K34" s="262"/>
      <c r="L34" s="262"/>
    </row>
    <row r="35" spans="2:12" x14ac:dyDescent="0.25">
      <c r="B35" s="88" t="s">
        <v>396</v>
      </c>
      <c r="C35" s="115">
        <v>20.6</v>
      </c>
      <c r="D35" s="88" t="s">
        <v>405</v>
      </c>
      <c r="E35" s="115">
        <v>274</v>
      </c>
      <c r="F35" s="88" t="s">
        <v>407</v>
      </c>
      <c r="I35" s="262" t="s">
        <v>397</v>
      </c>
      <c r="J35" s="264" t="s">
        <v>462</v>
      </c>
      <c r="K35" s="262"/>
      <c r="L35" s="262"/>
    </row>
    <row r="36" spans="2:12" x14ac:dyDescent="0.25">
      <c r="C36" s="115">
        <v>1.68</v>
      </c>
      <c r="D36" s="88" t="s">
        <v>406</v>
      </c>
      <c r="E36" s="115">
        <v>1.81</v>
      </c>
      <c r="F36" s="88" t="s">
        <v>398</v>
      </c>
    </row>
    <row r="37" spans="2:12" x14ac:dyDescent="0.25">
      <c r="C37" s="115">
        <v>21.09</v>
      </c>
      <c r="D37" s="88" t="s">
        <v>399</v>
      </c>
    </row>
    <row r="38" spans="2:12" x14ac:dyDescent="0.25">
      <c r="C38" s="116">
        <v>0.1391</v>
      </c>
      <c r="D38" s="88" t="s">
        <v>400</v>
      </c>
    </row>
    <row r="39" spans="2:12" x14ac:dyDescent="0.25">
      <c r="C39" s="115">
        <v>15.36</v>
      </c>
      <c r="D39" s="88" t="s">
        <v>401</v>
      </c>
    </row>
    <row r="40" spans="2:12" x14ac:dyDescent="0.25">
      <c r="C40" s="116">
        <v>0.26269999999999999</v>
      </c>
      <c r="D40" s="88" t="s">
        <v>402</v>
      </c>
    </row>
    <row r="41" spans="2:12" x14ac:dyDescent="0.25">
      <c r="C41" s="116">
        <v>0.39410000000000001</v>
      </c>
      <c r="D41" s="88" t="s">
        <v>403</v>
      </c>
    </row>
  </sheetData>
  <sheetProtection password="E114" sheet="1" objects="1" scenarios="1" selectLockedCells="1"/>
  <mergeCells count="3">
    <mergeCell ref="B10:D10"/>
    <mergeCell ref="F10:H10"/>
    <mergeCell ref="P18:Q18"/>
  </mergeCells>
  <hyperlinks>
    <hyperlink ref="C3" location="'Plant, Prop &amp; Equip'!A1" display="Plant, Property, &amp; Equipment"/>
  </hyperlinks>
  <pageMargins left="0.7" right="0.7" top="0.75" bottom="0.75" header="0.3" footer="0.3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B196"/>
  <sheetViews>
    <sheetView showGridLines="0" showRowColHeaders="0" workbookViewId="0">
      <selection activeCell="G41" sqref="G41"/>
    </sheetView>
  </sheetViews>
  <sheetFormatPr defaultColWidth="12.7109375" defaultRowHeight="12.75" x14ac:dyDescent="0.2"/>
  <cols>
    <col min="1" max="1" width="4" style="2" customWidth="1"/>
    <col min="2" max="2" width="33" style="2" customWidth="1"/>
    <col min="3" max="3" width="12" style="2" customWidth="1"/>
    <col min="4" max="4" width="10.7109375" style="2" customWidth="1"/>
    <col min="5" max="5" width="5.7109375" style="2" customWidth="1"/>
    <col min="6" max="6" width="40.7109375" style="2" customWidth="1"/>
    <col min="7" max="7" width="12.7109375" style="2" customWidth="1"/>
    <col min="8" max="8" width="5.7109375" style="2" customWidth="1"/>
    <col min="9" max="9" width="40.7109375" style="2" customWidth="1"/>
    <col min="10" max="10" width="12.7109375" style="2" customWidth="1"/>
    <col min="11" max="11" width="5.7109375" style="2" customWidth="1"/>
    <col min="12" max="12" width="40.7109375" style="2" customWidth="1"/>
    <col min="13" max="13" width="12.7109375" style="2"/>
    <col min="14" max="14" width="5.7109375" style="2" customWidth="1"/>
    <col min="15" max="15" width="40.7109375" style="2" customWidth="1"/>
    <col min="16" max="16" width="12.7109375" style="2"/>
    <col min="17" max="17" width="5.7109375" style="2" customWidth="1"/>
    <col min="18" max="18" width="40.7109375" style="2" customWidth="1"/>
    <col min="19" max="19" width="12.7109375" style="2"/>
    <col min="20" max="20" width="5.7109375" style="2" customWidth="1"/>
    <col min="21" max="21" width="40.7109375" style="2" customWidth="1"/>
    <col min="22" max="22" width="12.7109375" style="2"/>
    <col min="23" max="23" width="5.7109375" style="2" customWidth="1"/>
    <col min="24" max="24" width="40.7109375" style="2" customWidth="1"/>
    <col min="25" max="25" width="12.7109375" style="2"/>
    <col min="26" max="26" width="5.7109375" style="2" customWidth="1"/>
    <col min="27" max="27" width="40.7109375" style="2" customWidth="1"/>
    <col min="28" max="28" width="12.7109375" style="2"/>
    <col min="29" max="29" width="5.7109375" style="2" customWidth="1"/>
    <col min="30" max="30" width="40.7109375" style="2" customWidth="1"/>
    <col min="31" max="31" width="12.7109375" style="2"/>
    <col min="32" max="32" width="5.7109375" style="2" customWidth="1"/>
    <col min="33" max="33" width="40.7109375" style="2" customWidth="1"/>
    <col min="34" max="52" width="12.7109375" style="2"/>
    <col min="53" max="53" width="21.42578125" style="2" customWidth="1"/>
    <col min="54" max="16384" width="12.7109375" style="2"/>
  </cols>
  <sheetData>
    <row r="1" spans="2:54" x14ac:dyDescent="0.2">
      <c r="B1" s="3" t="s">
        <v>298</v>
      </c>
    </row>
    <row r="2" spans="2:54" x14ac:dyDescent="0.2">
      <c r="B2" s="57" t="s">
        <v>415</v>
      </c>
      <c r="F2" s="285" t="s">
        <v>284</v>
      </c>
      <c r="G2" s="285"/>
    </row>
    <row r="3" spans="2:54" x14ac:dyDescent="0.2">
      <c r="B3" s="119" t="s">
        <v>276</v>
      </c>
      <c r="F3" s="4" t="str">
        <f>B11</f>
        <v>Enter Product 1 Name Here</v>
      </c>
      <c r="G3" s="5" t="s">
        <v>285</v>
      </c>
      <c r="I3" s="4" t="str">
        <f>B12</f>
        <v>Enter Product 2 Name Here</v>
      </c>
      <c r="J3" s="5" t="s">
        <v>285</v>
      </c>
      <c r="L3" s="4" t="str">
        <f>B13</f>
        <v>Enter Product 3 Name Here</v>
      </c>
      <c r="M3" s="5" t="s">
        <v>285</v>
      </c>
      <c r="O3" s="4" t="str">
        <f>B14</f>
        <v>Enter Product 4 Name Here</v>
      </c>
      <c r="P3" s="5" t="s">
        <v>285</v>
      </c>
      <c r="R3" s="4" t="str">
        <f>B15</f>
        <v>Enter Product 5 Name Here</v>
      </c>
      <c r="S3" s="5" t="s">
        <v>285</v>
      </c>
      <c r="U3" s="4" t="str">
        <f>B16</f>
        <v>Enter Product 6 Name Here</v>
      </c>
      <c r="V3" s="5" t="s">
        <v>285</v>
      </c>
      <c r="X3" s="4" t="str">
        <f>B17</f>
        <v>Enter Product 7 Name Here</v>
      </c>
      <c r="Y3" s="5" t="s">
        <v>285</v>
      </c>
      <c r="AA3" s="4" t="str">
        <f>B18</f>
        <v>Enter Product 8 Name Here</v>
      </c>
      <c r="AB3" s="5" t="s">
        <v>285</v>
      </c>
      <c r="AD3" s="4" t="str">
        <f>B19</f>
        <v>Enter Product 9 Name Here</v>
      </c>
      <c r="AE3" s="5" t="s">
        <v>285</v>
      </c>
      <c r="AG3" s="4" t="str">
        <f>B20</f>
        <v>Enter Product 10 Name Here</v>
      </c>
      <c r="AH3" s="5" t="s">
        <v>285</v>
      </c>
    </row>
    <row r="4" spans="2:54" x14ac:dyDescent="0.2">
      <c r="B4" s="78" t="s">
        <v>409</v>
      </c>
      <c r="C4" s="118"/>
      <c r="F4" s="24"/>
      <c r="G4" s="19"/>
      <c r="I4" s="24"/>
      <c r="J4" s="19"/>
      <c r="L4" s="24"/>
      <c r="M4" s="19"/>
      <c r="O4" s="24"/>
      <c r="P4" s="19"/>
      <c r="R4" s="24"/>
      <c r="S4" s="19"/>
      <c r="U4" s="24"/>
      <c r="V4" s="19"/>
      <c r="X4" s="24"/>
      <c r="Y4" s="19"/>
      <c r="AA4" s="24"/>
      <c r="AB4" s="19">
        <v>0</v>
      </c>
      <c r="AD4" s="24"/>
      <c r="AE4" s="19">
        <v>0</v>
      </c>
      <c r="AG4" s="24"/>
      <c r="AH4" s="19">
        <v>0</v>
      </c>
    </row>
    <row r="5" spans="2:54" x14ac:dyDescent="0.2">
      <c r="B5" s="78" t="s">
        <v>410</v>
      </c>
      <c r="F5" s="25"/>
      <c r="G5" s="20"/>
      <c r="I5" s="25"/>
      <c r="J5" s="20"/>
      <c r="L5" s="25"/>
      <c r="M5" s="20"/>
      <c r="O5" s="25"/>
      <c r="P5" s="20"/>
      <c r="R5" s="25"/>
      <c r="S5" s="20"/>
      <c r="U5" s="25"/>
      <c r="V5" s="20"/>
      <c r="X5" s="25"/>
      <c r="Y5" s="20"/>
      <c r="AA5" s="25"/>
      <c r="AB5" s="20"/>
      <c r="AD5" s="25"/>
      <c r="AE5" s="20"/>
      <c r="AG5" s="25"/>
      <c r="AH5" s="20"/>
    </row>
    <row r="6" spans="2:54" x14ac:dyDescent="0.2">
      <c r="B6" s="78" t="s">
        <v>411</v>
      </c>
      <c r="F6" s="25"/>
      <c r="G6" s="20"/>
      <c r="I6" s="25"/>
      <c r="J6" s="20"/>
      <c r="L6" s="25"/>
      <c r="M6" s="20"/>
      <c r="O6" s="25"/>
      <c r="P6" s="20"/>
      <c r="R6" s="25"/>
      <c r="S6" s="20"/>
      <c r="U6" s="25"/>
      <c r="V6" s="20"/>
      <c r="X6" s="25"/>
      <c r="Y6" s="20"/>
      <c r="AA6" s="25"/>
      <c r="AB6" s="20"/>
      <c r="AD6" s="25"/>
      <c r="AE6" s="20"/>
      <c r="AG6" s="25"/>
      <c r="AH6" s="20"/>
    </row>
    <row r="7" spans="2:54" x14ac:dyDescent="0.2">
      <c r="B7" s="78" t="s">
        <v>413</v>
      </c>
      <c r="F7" s="25"/>
      <c r="G7" s="20"/>
      <c r="I7" s="25"/>
      <c r="J7" s="20"/>
      <c r="L7" s="25"/>
      <c r="M7" s="20"/>
      <c r="O7" s="25"/>
      <c r="P7" s="20"/>
      <c r="R7" s="25"/>
      <c r="S7" s="20"/>
      <c r="U7" s="25"/>
      <c r="V7" s="20"/>
      <c r="X7" s="25"/>
      <c r="Y7" s="20"/>
      <c r="AA7" s="25"/>
      <c r="AB7" s="20"/>
      <c r="AD7" s="25"/>
      <c r="AE7" s="20"/>
      <c r="AG7" s="25"/>
      <c r="AH7" s="20"/>
    </row>
    <row r="8" spans="2:54" x14ac:dyDescent="0.2">
      <c r="B8" s="78" t="s">
        <v>414</v>
      </c>
      <c r="C8" s="3"/>
      <c r="D8" s="3"/>
      <c r="F8" s="25"/>
      <c r="G8" s="20"/>
      <c r="I8" s="25"/>
      <c r="J8" s="20"/>
      <c r="L8" s="25"/>
      <c r="M8" s="20"/>
      <c r="O8" s="25"/>
      <c r="P8" s="20"/>
      <c r="R8" s="25"/>
      <c r="S8" s="20"/>
      <c r="U8" s="25"/>
      <c r="V8" s="20"/>
      <c r="X8" s="25"/>
      <c r="Y8" s="20"/>
      <c r="AA8" s="25"/>
      <c r="AB8" s="20"/>
      <c r="AD8" s="25"/>
      <c r="AE8" s="20"/>
      <c r="AG8" s="25"/>
      <c r="AH8" s="20"/>
      <c r="BB8" s="2" t="s">
        <v>306</v>
      </c>
    </row>
    <row r="9" spans="2:54" x14ac:dyDescent="0.2">
      <c r="F9" s="25"/>
      <c r="G9" s="20"/>
      <c r="I9" s="25"/>
      <c r="J9" s="20"/>
      <c r="L9" s="25"/>
      <c r="M9" s="20"/>
      <c r="O9" s="25"/>
      <c r="P9" s="20"/>
      <c r="R9" s="25"/>
      <c r="S9" s="20"/>
      <c r="U9" s="25"/>
      <c r="V9" s="20"/>
      <c r="X9" s="25"/>
      <c r="Y9" s="20"/>
      <c r="AA9" s="25"/>
      <c r="AB9" s="20"/>
      <c r="AD9" s="25"/>
      <c r="AE9" s="20"/>
      <c r="AG9" s="25"/>
      <c r="AH9" s="20"/>
      <c r="BB9" s="2" t="s">
        <v>305</v>
      </c>
    </row>
    <row r="10" spans="2:54" x14ac:dyDescent="0.2">
      <c r="B10" s="3" t="s">
        <v>88</v>
      </c>
      <c r="F10" s="25"/>
      <c r="G10" s="20"/>
      <c r="I10" s="25"/>
      <c r="J10" s="20"/>
      <c r="L10" s="25"/>
      <c r="M10" s="20"/>
      <c r="O10" s="25"/>
      <c r="P10" s="20"/>
      <c r="R10" s="25"/>
      <c r="S10" s="20"/>
      <c r="U10" s="25"/>
      <c r="V10" s="20"/>
      <c r="X10" s="25"/>
      <c r="Y10" s="20"/>
      <c r="AA10" s="25"/>
      <c r="AB10" s="20"/>
      <c r="AD10" s="25"/>
      <c r="AE10" s="20"/>
      <c r="AG10" s="25"/>
      <c r="AH10" s="20"/>
      <c r="BB10" s="22" t="s">
        <v>307</v>
      </c>
    </row>
    <row r="11" spans="2:54" x14ac:dyDescent="0.2">
      <c r="B11" s="24" t="s">
        <v>481</v>
      </c>
      <c r="C11" s="6"/>
      <c r="D11" s="6"/>
      <c r="F11" s="25"/>
      <c r="G11" s="20"/>
      <c r="I11" s="25"/>
      <c r="J11" s="20"/>
      <c r="L11" s="25"/>
      <c r="M11" s="20"/>
      <c r="O11" s="25"/>
      <c r="P11" s="20"/>
      <c r="R11" s="25"/>
      <c r="S11" s="20"/>
      <c r="U11" s="25"/>
      <c r="V11" s="20"/>
      <c r="X11" s="25"/>
      <c r="Y11" s="20"/>
      <c r="AA11" s="25"/>
      <c r="AB11" s="20"/>
      <c r="AD11" s="25"/>
      <c r="AE11" s="20"/>
      <c r="AG11" s="25"/>
      <c r="AH11" s="20"/>
      <c r="BA11" s="2" t="str">
        <f t="shared" ref="BA11:BA20" si="0">B11</f>
        <v>Enter Product 1 Name Here</v>
      </c>
      <c r="BB11" s="23">
        <f>G43*C23*$C$37</f>
        <v>0</v>
      </c>
    </row>
    <row r="12" spans="2:54" x14ac:dyDescent="0.2">
      <c r="B12" s="25" t="s">
        <v>451</v>
      </c>
      <c r="C12" s="6"/>
      <c r="D12" s="6"/>
      <c r="F12" s="25"/>
      <c r="G12" s="20"/>
      <c r="I12" s="25"/>
      <c r="J12" s="20"/>
      <c r="L12" s="25"/>
      <c r="M12" s="20"/>
      <c r="O12" s="25"/>
      <c r="P12" s="20"/>
      <c r="R12" s="25"/>
      <c r="S12" s="20"/>
      <c r="U12" s="25"/>
      <c r="V12" s="20"/>
      <c r="X12" s="25"/>
      <c r="Y12" s="20"/>
      <c r="AA12" s="25"/>
      <c r="AB12" s="20"/>
      <c r="AD12" s="25"/>
      <c r="AE12" s="20"/>
      <c r="AG12" s="25"/>
      <c r="AH12" s="20"/>
      <c r="BA12" s="2" t="str">
        <f t="shared" si="0"/>
        <v>Enter Product 2 Name Here</v>
      </c>
      <c r="BB12" s="23">
        <f>J43*C24*$C$37</f>
        <v>0</v>
      </c>
    </row>
    <row r="13" spans="2:54" x14ac:dyDescent="0.2">
      <c r="B13" s="25" t="s">
        <v>452</v>
      </c>
      <c r="C13" s="6"/>
      <c r="D13" s="6"/>
      <c r="F13" s="25"/>
      <c r="G13" s="20"/>
      <c r="I13" s="25"/>
      <c r="J13" s="20"/>
      <c r="L13" s="25"/>
      <c r="M13" s="20"/>
      <c r="O13" s="25"/>
      <c r="P13" s="20"/>
      <c r="R13" s="25"/>
      <c r="S13" s="20"/>
      <c r="U13" s="25"/>
      <c r="V13" s="20"/>
      <c r="X13" s="25"/>
      <c r="Y13" s="20"/>
      <c r="AA13" s="25"/>
      <c r="AB13" s="20"/>
      <c r="AD13" s="25"/>
      <c r="AE13" s="20"/>
      <c r="AG13" s="25"/>
      <c r="AH13" s="20"/>
      <c r="BA13" s="2" t="str">
        <f t="shared" si="0"/>
        <v>Enter Product 3 Name Here</v>
      </c>
      <c r="BB13" s="23">
        <f>M43*C25*$C$37</f>
        <v>0</v>
      </c>
    </row>
    <row r="14" spans="2:54" x14ac:dyDescent="0.2">
      <c r="B14" s="25" t="s">
        <v>453</v>
      </c>
      <c r="C14" s="6"/>
      <c r="D14" s="6"/>
      <c r="F14" s="25"/>
      <c r="G14" s="20"/>
      <c r="I14" s="25"/>
      <c r="J14" s="20"/>
      <c r="L14" s="25"/>
      <c r="M14" s="20"/>
      <c r="O14" s="25"/>
      <c r="P14" s="20"/>
      <c r="R14" s="25"/>
      <c r="S14" s="20"/>
      <c r="U14" s="25"/>
      <c r="V14" s="20"/>
      <c r="X14" s="25"/>
      <c r="Y14" s="20"/>
      <c r="AA14" s="25"/>
      <c r="AB14" s="20"/>
      <c r="AD14" s="25"/>
      <c r="AE14" s="20"/>
      <c r="AG14" s="25"/>
      <c r="AH14" s="20"/>
      <c r="BA14" s="2" t="str">
        <f t="shared" si="0"/>
        <v>Enter Product 4 Name Here</v>
      </c>
      <c r="BB14" s="23">
        <f>P43*C26*$C$37</f>
        <v>0</v>
      </c>
    </row>
    <row r="15" spans="2:54" x14ac:dyDescent="0.2">
      <c r="B15" s="25" t="s">
        <v>454</v>
      </c>
      <c r="C15" s="6"/>
      <c r="D15" s="6"/>
      <c r="F15" s="25"/>
      <c r="G15" s="20"/>
      <c r="I15" s="25"/>
      <c r="J15" s="20"/>
      <c r="L15" s="25"/>
      <c r="M15" s="20"/>
      <c r="O15" s="25"/>
      <c r="P15" s="20"/>
      <c r="R15" s="25"/>
      <c r="S15" s="20"/>
      <c r="U15" s="25"/>
      <c r="V15" s="20"/>
      <c r="X15" s="25"/>
      <c r="Y15" s="20"/>
      <c r="AA15" s="25"/>
      <c r="AB15" s="20"/>
      <c r="AD15" s="25"/>
      <c r="AE15" s="20"/>
      <c r="AG15" s="25"/>
      <c r="AH15" s="20"/>
      <c r="BA15" s="2" t="str">
        <f t="shared" si="0"/>
        <v>Enter Product 5 Name Here</v>
      </c>
      <c r="BB15" s="23">
        <f>S43*C27*$C$37</f>
        <v>0</v>
      </c>
    </row>
    <row r="16" spans="2:54" x14ac:dyDescent="0.2">
      <c r="B16" s="25" t="s">
        <v>455</v>
      </c>
      <c r="C16" s="6"/>
      <c r="D16" s="6"/>
      <c r="F16" s="25"/>
      <c r="G16" s="20"/>
      <c r="I16" s="25"/>
      <c r="J16" s="20"/>
      <c r="L16" s="25"/>
      <c r="M16" s="20"/>
      <c r="O16" s="25"/>
      <c r="P16" s="20"/>
      <c r="R16" s="25"/>
      <c r="S16" s="20"/>
      <c r="U16" s="25"/>
      <c r="V16" s="20"/>
      <c r="X16" s="25"/>
      <c r="Y16" s="20"/>
      <c r="AA16" s="25"/>
      <c r="AB16" s="20"/>
      <c r="AD16" s="25"/>
      <c r="AE16" s="20"/>
      <c r="AG16" s="25"/>
      <c r="AH16" s="20"/>
      <c r="BA16" s="2" t="str">
        <f t="shared" si="0"/>
        <v>Enter Product 6 Name Here</v>
      </c>
      <c r="BB16" s="23">
        <f>V43*C28*$C$37</f>
        <v>0</v>
      </c>
    </row>
    <row r="17" spans="2:54" x14ac:dyDescent="0.2">
      <c r="B17" s="25" t="s">
        <v>473</v>
      </c>
      <c r="C17" s="6"/>
      <c r="D17" s="6"/>
      <c r="F17" s="25"/>
      <c r="G17" s="20"/>
      <c r="I17" s="25"/>
      <c r="J17" s="20"/>
      <c r="L17" s="25"/>
      <c r="M17" s="20"/>
      <c r="O17" s="25"/>
      <c r="P17" s="20"/>
      <c r="R17" s="25"/>
      <c r="S17" s="20"/>
      <c r="U17" s="25"/>
      <c r="V17" s="20"/>
      <c r="X17" s="25"/>
      <c r="Y17" s="20"/>
      <c r="AA17" s="25"/>
      <c r="AB17" s="20"/>
      <c r="AD17" s="25"/>
      <c r="AE17" s="20"/>
      <c r="AG17" s="25"/>
      <c r="AH17" s="20"/>
      <c r="BA17" s="2" t="str">
        <f t="shared" si="0"/>
        <v>Enter Product 7 Name Here</v>
      </c>
      <c r="BB17" s="23">
        <f>Y43*C29*$C$37</f>
        <v>0</v>
      </c>
    </row>
    <row r="18" spans="2:54" x14ac:dyDescent="0.2">
      <c r="B18" s="25" t="s">
        <v>474</v>
      </c>
      <c r="C18" s="6"/>
      <c r="D18" s="6"/>
      <c r="F18" s="25"/>
      <c r="G18" s="20"/>
      <c r="I18" s="25"/>
      <c r="J18" s="20"/>
      <c r="L18" s="25"/>
      <c r="M18" s="20"/>
      <c r="O18" s="25"/>
      <c r="P18" s="20"/>
      <c r="R18" s="25"/>
      <c r="S18" s="20"/>
      <c r="U18" s="25"/>
      <c r="V18" s="20"/>
      <c r="X18" s="25"/>
      <c r="Y18" s="20"/>
      <c r="AA18" s="25"/>
      <c r="AB18" s="20"/>
      <c r="AD18" s="25"/>
      <c r="AE18" s="20"/>
      <c r="AG18" s="25"/>
      <c r="AH18" s="20"/>
      <c r="BA18" s="2" t="str">
        <f t="shared" si="0"/>
        <v>Enter Product 8 Name Here</v>
      </c>
      <c r="BB18" s="23">
        <f>AB43*C30*$C$37</f>
        <v>0</v>
      </c>
    </row>
    <row r="19" spans="2:54" x14ac:dyDescent="0.2">
      <c r="B19" s="25" t="s">
        <v>475</v>
      </c>
      <c r="C19" s="6"/>
      <c r="D19" s="6"/>
      <c r="F19" s="25"/>
      <c r="G19" s="20"/>
      <c r="I19" s="25"/>
      <c r="J19" s="20"/>
      <c r="L19" s="25"/>
      <c r="M19" s="20"/>
      <c r="O19" s="25"/>
      <c r="P19" s="20"/>
      <c r="R19" s="25"/>
      <c r="S19" s="20"/>
      <c r="U19" s="25"/>
      <c r="V19" s="20"/>
      <c r="X19" s="25"/>
      <c r="Y19" s="20"/>
      <c r="AA19" s="25"/>
      <c r="AB19" s="20"/>
      <c r="AD19" s="25"/>
      <c r="AE19" s="20"/>
      <c r="AG19" s="25"/>
      <c r="AH19" s="20"/>
      <c r="BA19" s="2" t="str">
        <f t="shared" si="0"/>
        <v>Enter Product 9 Name Here</v>
      </c>
      <c r="BB19" s="23">
        <f>AE43*C31*$C$37</f>
        <v>0</v>
      </c>
    </row>
    <row r="20" spans="2:54" x14ac:dyDescent="0.2">
      <c r="B20" s="26" t="s">
        <v>476</v>
      </c>
      <c r="C20" s="6"/>
      <c r="D20" s="6"/>
      <c r="F20" s="25"/>
      <c r="G20" s="20"/>
      <c r="I20" s="25"/>
      <c r="J20" s="20"/>
      <c r="L20" s="25"/>
      <c r="M20" s="20"/>
      <c r="O20" s="25"/>
      <c r="P20" s="20"/>
      <c r="R20" s="25"/>
      <c r="S20" s="20"/>
      <c r="U20" s="25"/>
      <c r="V20" s="20"/>
      <c r="X20" s="25"/>
      <c r="Y20" s="20"/>
      <c r="AA20" s="25"/>
      <c r="AB20" s="20"/>
      <c r="AD20" s="25"/>
      <c r="AE20" s="20"/>
      <c r="AG20" s="25"/>
      <c r="AH20" s="20"/>
      <c r="BA20" s="2" t="str">
        <f t="shared" si="0"/>
        <v>Enter Product 10 Name Here</v>
      </c>
      <c r="BB20" s="23">
        <f>AH43*C32*$C$37</f>
        <v>0</v>
      </c>
    </row>
    <row r="21" spans="2:54" x14ac:dyDescent="0.2">
      <c r="B21" s="7"/>
      <c r="C21" s="7"/>
      <c r="D21" s="7"/>
      <c r="F21" s="25"/>
      <c r="G21" s="20"/>
      <c r="I21" s="25"/>
      <c r="J21" s="20"/>
      <c r="L21" s="25"/>
      <c r="M21" s="20"/>
      <c r="O21" s="25"/>
      <c r="P21" s="20"/>
      <c r="R21" s="25"/>
      <c r="S21" s="20"/>
      <c r="U21" s="25"/>
      <c r="V21" s="20"/>
      <c r="X21" s="25"/>
      <c r="Y21" s="20"/>
      <c r="AA21" s="25"/>
      <c r="AB21" s="20"/>
      <c r="AD21" s="25"/>
      <c r="AE21" s="20"/>
      <c r="AG21" s="25"/>
      <c r="AH21" s="20"/>
    </row>
    <row r="22" spans="2:54" x14ac:dyDescent="0.2">
      <c r="B22" s="7" t="s">
        <v>289</v>
      </c>
      <c r="F22" s="228" t="s">
        <v>290</v>
      </c>
      <c r="G22" s="229">
        <f>SUM(G4:G21)</f>
        <v>0</v>
      </c>
      <c r="I22" s="228" t="s">
        <v>290</v>
      </c>
      <c r="J22" s="229">
        <f>SUM(J4:J21)</f>
        <v>0</v>
      </c>
      <c r="L22" s="228" t="s">
        <v>290</v>
      </c>
      <c r="M22" s="229">
        <f>SUM(M4:M21)</f>
        <v>0</v>
      </c>
      <c r="O22" s="228" t="s">
        <v>290</v>
      </c>
      <c r="P22" s="229">
        <f>SUM(P4:P21)</f>
        <v>0</v>
      </c>
      <c r="R22" s="228" t="s">
        <v>290</v>
      </c>
      <c r="S22" s="229">
        <f>SUM(S4:S21)</f>
        <v>0</v>
      </c>
      <c r="U22" s="228" t="s">
        <v>290</v>
      </c>
      <c r="V22" s="229">
        <f>SUM(V4:V21)</f>
        <v>0</v>
      </c>
      <c r="X22" s="228" t="s">
        <v>290</v>
      </c>
      <c r="Y22" s="229">
        <f>SUM(Y4:Y21)</f>
        <v>0</v>
      </c>
      <c r="AA22" s="228" t="s">
        <v>290</v>
      </c>
      <c r="AB22" s="229">
        <f>SUM(AB4:AB21)</f>
        <v>0</v>
      </c>
      <c r="AD22" s="228" t="s">
        <v>290</v>
      </c>
      <c r="AE22" s="229">
        <f>SUM(AE4:AE21)</f>
        <v>0</v>
      </c>
      <c r="AG22" s="228" t="s">
        <v>290</v>
      </c>
      <c r="AH22" s="229">
        <f>SUM(AH4:AH21)</f>
        <v>0</v>
      </c>
      <c r="BB22" s="22" t="s">
        <v>308</v>
      </c>
    </row>
    <row r="23" spans="2:54" x14ac:dyDescent="0.2">
      <c r="B23" s="2" t="str">
        <f t="shared" ref="B23:B32" si="1">B11</f>
        <v>Enter Product 1 Name Here</v>
      </c>
      <c r="C23" s="31">
        <v>0</v>
      </c>
      <c r="D23" s="117"/>
      <c r="F23" s="11"/>
      <c r="G23" s="13"/>
      <c r="I23" s="11"/>
      <c r="J23" s="13"/>
      <c r="L23" s="11"/>
      <c r="M23" s="13"/>
      <c r="O23" s="11"/>
      <c r="P23" s="13"/>
      <c r="R23" s="11"/>
      <c r="S23" s="13"/>
      <c r="U23" s="11"/>
      <c r="V23" s="13"/>
      <c r="X23" s="11"/>
      <c r="Y23" s="13"/>
      <c r="AA23" s="11"/>
      <c r="AB23" s="13"/>
      <c r="AD23" s="11"/>
      <c r="AE23" s="13"/>
      <c r="AG23" s="11"/>
      <c r="AH23" s="13"/>
      <c r="BA23" s="2" t="str">
        <f>BA11</f>
        <v>Enter Product 1 Name Here</v>
      </c>
      <c r="BB23" s="23">
        <f>G39*C23*$C$37</f>
        <v>0</v>
      </c>
    </row>
    <row r="24" spans="2:54" x14ac:dyDescent="0.2">
      <c r="B24" s="2" t="str">
        <f t="shared" si="1"/>
        <v>Enter Product 2 Name Here</v>
      </c>
      <c r="C24" s="32">
        <v>0</v>
      </c>
      <c r="D24" s="117"/>
      <c r="F24" s="11" t="s">
        <v>291</v>
      </c>
      <c r="G24" s="230"/>
      <c r="I24" s="11" t="s">
        <v>291</v>
      </c>
      <c r="J24" s="230"/>
      <c r="L24" s="11" t="s">
        <v>291</v>
      </c>
      <c r="M24" s="230"/>
      <c r="O24" s="11" t="s">
        <v>291</v>
      </c>
      <c r="P24" s="230"/>
      <c r="R24" s="11" t="s">
        <v>291</v>
      </c>
      <c r="S24" s="230"/>
      <c r="U24" s="11" t="s">
        <v>291</v>
      </c>
      <c r="V24" s="230"/>
      <c r="X24" s="11" t="s">
        <v>291</v>
      </c>
      <c r="Y24" s="230"/>
      <c r="AA24" s="11" t="s">
        <v>291</v>
      </c>
      <c r="AB24" s="230"/>
      <c r="AD24" s="11" t="s">
        <v>291</v>
      </c>
      <c r="AE24" s="230"/>
      <c r="AG24" s="11" t="s">
        <v>291</v>
      </c>
      <c r="AH24" s="230"/>
      <c r="BA24" s="2" t="str">
        <f t="shared" ref="BA24:BA32" si="2">BA12</f>
        <v>Enter Product 2 Name Here</v>
      </c>
      <c r="BB24" s="23">
        <f>J39*C24*$C$37</f>
        <v>0</v>
      </c>
    </row>
    <row r="25" spans="2:54" x14ac:dyDescent="0.2">
      <c r="B25" s="2" t="str">
        <f t="shared" si="1"/>
        <v>Enter Product 3 Name Here</v>
      </c>
      <c r="C25" s="32">
        <v>0</v>
      </c>
      <c r="D25" s="117"/>
      <c r="F25" s="11"/>
      <c r="G25" s="14"/>
      <c r="I25" s="11"/>
      <c r="J25" s="14"/>
      <c r="L25" s="11"/>
      <c r="M25" s="14"/>
      <c r="O25" s="11"/>
      <c r="P25" s="14"/>
      <c r="R25" s="11"/>
      <c r="S25" s="14"/>
      <c r="U25" s="11"/>
      <c r="V25" s="14"/>
      <c r="X25" s="11"/>
      <c r="Y25" s="14"/>
      <c r="AA25" s="11"/>
      <c r="AB25" s="14"/>
      <c r="AD25" s="11"/>
      <c r="AE25" s="14"/>
      <c r="AG25" s="11"/>
      <c r="AH25" s="14"/>
      <c r="BA25" s="2" t="str">
        <f t="shared" si="2"/>
        <v>Enter Product 3 Name Here</v>
      </c>
      <c r="BB25" s="23">
        <f>M39*C25*$C$37</f>
        <v>0</v>
      </c>
    </row>
    <row r="26" spans="2:54" x14ac:dyDescent="0.2">
      <c r="B26" s="2" t="str">
        <f t="shared" si="1"/>
        <v>Enter Product 4 Name Here</v>
      </c>
      <c r="C26" s="32">
        <v>0</v>
      </c>
      <c r="D26" s="117"/>
      <c r="F26" s="11" t="s">
        <v>292</v>
      </c>
      <c r="G26" s="230"/>
      <c r="I26" s="11" t="s">
        <v>292</v>
      </c>
      <c r="J26" s="230"/>
      <c r="L26" s="11" t="s">
        <v>292</v>
      </c>
      <c r="M26" s="230"/>
      <c r="O26" s="11" t="s">
        <v>292</v>
      </c>
      <c r="P26" s="230"/>
      <c r="R26" s="11" t="s">
        <v>292</v>
      </c>
      <c r="S26" s="230"/>
      <c r="U26" s="11" t="s">
        <v>292</v>
      </c>
      <c r="V26" s="230"/>
      <c r="X26" s="11" t="s">
        <v>292</v>
      </c>
      <c r="Y26" s="230"/>
      <c r="AA26" s="11" t="s">
        <v>292</v>
      </c>
      <c r="AB26" s="230"/>
      <c r="AD26" s="11" t="s">
        <v>292</v>
      </c>
      <c r="AE26" s="230"/>
      <c r="AG26" s="11" t="s">
        <v>292</v>
      </c>
      <c r="AH26" s="230"/>
      <c r="BA26" s="2" t="str">
        <f t="shared" si="2"/>
        <v>Enter Product 4 Name Here</v>
      </c>
      <c r="BB26" s="23">
        <f>P39*C26*$C$37</f>
        <v>0</v>
      </c>
    </row>
    <row r="27" spans="2:54" x14ac:dyDescent="0.2">
      <c r="B27" s="2" t="str">
        <f t="shared" si="1"/>
        <v>Enter Product 5 Name Here</v>
      </c>
      <c r="C27" s="32">
        <v>0</v>
      </c>
      <c r="D27" s="117"/>
      <c r="F27" s="11"/>
      <c r="G27" s="14"/>
      <c r="I27" s="11"/>
      <c r="J27" s="14"/>
      <c r="L27" s="11"/>
      <c r="M27" s="14"/>
      <c r="O27" s="11"/>
      <c r="P27" s="14"/>
      <c r="R27" s="11"/>
      <c r="S27" s="14"/>
      <c r="U27" s="11"/>
      <c r="V27" s="14"/>
      <c r="X27" s="11"/>
      <c r="Y27" s="14"/>
      <c r="AA27" s="11"/>
      <c r="AB27" s="14"/>
      <c r="AD27" s="11"/>
      <c r="AE27" s="14"/>
      <c r="AG27" s="11"/>
      <c r="AH27" s="14"/>
      <c r="BA27" s="2" t="str">
        <f t="shared" si="2"/>
        <v>Enter Product 5 Name Here</v>
      </c>
      <c r="BB27" s="23">
        <f>S39*C27*$C$37</f>
        <v>0</v>
      </c>
    </row>
    <row r="28" spans="2:54" x14ac:dyDescent="0.2">
      <c r="B28" s="2" t="str">
        <f t="shared" si="1"/>
        <v>Enter Product 6 Name Here</v>
      </c>
      <c r="C28" s="32">
        <v>0</v>
      </c>
      <c r="D28" s="117"/>
      <c r="F28" s="11" t="s">
        <v>302</v>
      </c>
      <c r="G28" s="14">
        <f>G24*G26</f>
        <v>0</v>
      </c>
      <c r="I28" s="11" t="s">
        <v>302</v>
      </c>
      <c r="J28" s="14">
        <f>J24*J26</f>
        <v>0</v>
      </c>
      <c r="L28" s="11" t="s">
        <v>302</v>
      </c>
      <c r="M28" s="14">
        <f>M24*M26</f>
        <v>0</v>
      </c>
      <c r="O28" s="11" t="s">
        <v>302</v>
      </c>
      <c r="P28" s="14">
        <f>P24*P26</f>
        <v>0</v>
      </c>
      <c r="R28" s="11" t="s">
        <v>302</v>
      </c>
      <c r="S28" s="14">
        <f>S24*S26</f>
        <v>0</v>
      </c>
      <c r="U28" s="11" t="s">
        <v>302</v>
      </c>
      <c r="V28" s="14">
        <f>V24*V26</f>
        <v>0</v>
      </c>
      <c r="X28" s="11" t="s">
        <v>302</v>
      </c>
      <c r="Y28" s="14">
        <f>Y24*Y26</f>
        <v>0</v>
      </c>
      <c r="AA28" s="11" t="s">
        <v>302</v>
      </c>
      <c r="AB28" s="14">
        <f>AB24*AB26</f>
        <v>0</v>
      </c>
      <c r="AD28" s="11" t="s">
        <v>302</v>
      </c>
      <c r="AE28" s="14">
        <f>AE24*AE26</f>
        <v>0</v>
      </c>
      <c r="AG28" s="11" t="s">
        <v>302</v>
      </c>
      <c r="AH28" s="14">
        <f>AH24*AH26</f>
        <v>0</v>
      </c>
      <c r="BA28" s="2" t="str">
        <f t="shared" si="2"/>
        <v>Enter Product 6 Name Here</v>
      </c>
      <c r="BB28" s="23">
        <f>V39*C28*$C$37</f>
        <v>0</v>
      </c>
    </row>
    <row r="29" spans="2:54" x14ac:dyDescent="0.2">
      <c r="B29" s="2" t="str">
        <f t="shared" si="1"/>
        <v>Enter Product 7 Name Here</v>
      </c>
      <c r="C29" s="32">
        <v>0</v>
      </c>
      <c r="D29" s="117"/>
      <c r="F29" s="11"/>
      <c r="G29" s="13"/>
      <c r="I29" s="11"/>
      <c r="J29" s="13"/>
      <c r="L29" s="11"/>
      <c r="M29" s="13"/>
      <c r="O29" s="11"/>
      <c r="P29" s="13"/>
      <c r="R29" s="11"/>
      <c r="S29" s="13"/>
      <c r="U29" s="11"/>
      <c r="V29" s="13"/>
      <c r="X29" s="11"/>
      <c r="Y29" s="13"/>
      <c r="AA29" s="11"/>
      <c r="AB29" s="13"/>
      <c r="AD29" s="11"/>
      <c r="AE29" s="13"/>
      <c r="AG29" s="11"/>
      <c r="AH29" s="13"/>
      <c r="BA29" s="2" t="str">
        <f t="shared" si="2"/>
        <v>Enter Product 7 Name Here</v>
      </c>
      <c r="BB29" s="23">
        <f>Y39*C29*$C$37</f>
        <v>0</v>
      </c>
    </row>
    <row r="30" spans="2:54" x14ac:dyDescent="0.2">
      <c r="B30" s="2" t="str">
        <f t="shared" si="1"/>
        <v>Enter Product 8 Name Here</v>
      </c>
      <c r="C30" s="32">
        <v>0</v>
      </c>
      <c r="D30" s="117"/>
      <c r="F30" s="11" t="s">
        <v>301</v>
      </c>
      <c r="G30" s="231">
        <v>0.03</v>
      </c>
      <c r="I30" s="11" t="s">
        <v>301</v>
      </c>
      <c r="J30" s="231">
        <v>0.03</v>
      </c>
      <c r="L30" s="11" t="s">
        <v>301</v>
      </c>
      <c r="M30" s="231">
        <v>0.03</v>
      </c>
      <c r="O30" s="11" t="s">
        <v>301</v>
      </c>
      <c r="P30" s="231">
        <v>0.03</v>
      </c>
      <c r="R30" s="11" t="s">
        <v>301</v>
      </c>
      <c r="S30" s="231">
        <v>0.03</v>
      </c>
      <c r="U30" s="11" t="s">
        <v>301</v>
      </c>
      <c r="V30" s="231">
        <v>0.03</v>
      </c>
      <c r="X30" s="11" t="s">
        <v>301</v>
      </c>
      <c r="Y30" s="231">
        <v>0.03</v>
      </c>
      <c r="AA30" s="11" t="s">
        <v>301</v>
      </c>
      <c r="AB30" s="231">
        <v>0.03</v>
      </c>
      <c r="AD30" s="11" t="s">
        <v>301</v>
      </c>
      <c r="AE30" s="231">
        <v>0.03</v>
      </c>
      <c r="AG30" s="11" t="s">
        <v>301</v>
      </c>
      <c r="AH30" s="231">
        <v>0.03</v>
      </c>
      <c r="BA30" s="2" t="str">
        <f t="shared" si="2"/>
        <v>Enter Product 8 Name Here</v>
      </c>
      <c r="BB30" s="23">
        <f>AB39*C30*$C$37</f>
        <v>0</v>
      </c>
    </row>
    <row r="31" spans="2:54" x14ac:dyDescent="0.2">
      <c r="B31" s="2" t="str">
        <f t="shared" si="1"/>
        <v>Enter Product 9 Name Here</v>
      </c>
      <c r="C31" s="32">
        <v>0</v>
      </c>
      <c r="D31" s="117"/>
      <c r="F31" s="11"/>
      <c r="G31" s="13"/>
      <c r="I31" s="11"/>
      <c r="J31" s="13"/>
      <c r="L31" s="11"/>
      <c r="M31" s="13"/>
      <c r="O31" s="11"/>
      <c r="P31" s="13"/>
      <c r="R31" s="11"/>
      <c r="S31" s="13"/>
      <c r="U31" s="11"/>
      <c r="V31" s="13"/>
      <c r="X31" s="11"/>
      <c r="Y31" s="13"/>
      <c r="AA31" s="11"/>
      <c r="AB31" s="13"/>
      <c r="AD31" s="11"/>
      <c r="AE31" s="13"/>
      <c r="AG31" s="11"/>
      <c r="AH31" s="13"/>
      <c r="BA31" s="2" t="str">
        <f t="shared" si="2"/>
        <v>Enter Product 9 Name Here</v>
      </c>
      <c r="BB31" s="23">
        <f>AE39*C31*$C$37</f>
        <v>0</v>
      </c>
    </row>
    <row r="32" spans="2:54" x14ac:dyDescent="0.2">
      <c r="B32" s="2" t="str">
        <f t="shared" si="1"/>
        <v>Enter Product 10 Name Here</v>
      </c>
      <c r="C32" s="33">
        <v>0</v>
      </c>
      <c r="D32" s="117"/>
      <c r="F32" s="11" t="s">
        <v>303</v>
      </c>
      <c r="G32" s="21">
        <f>G28*(1-G30)</f>
        <v>0</v>
      </c>
      <c r="I32" s="11" t="s">
        <v>303</v>
      </c>
      <c r="J32" s="21">
        <f>J28*(1-J30)</f>
        <v>0</v>
      </c>
      <c r="L32" s="11" t="s">
        <v>303</v>
      </c>
      <c r="M32" s="21">
        <f>M28*(1-M30)</f>
        <v>0</v>
      </c>
      <c r="O32" s="11" t="s">
        <v>303</v>
      </c>
      <c r="P32" s="21">
        <f>P28*(1-P30)</f>
        <v>0</v>
      </c>
      <c r="R32" s="11" t="s">
        <v>303</v>
      </c>
      <c r="S32" s="21">
        <f>S28*(1-S30)</f>
        <v>0</v>
      </c>
      <c r="U32" s="11" t="s">
        <v>303</v>
      </c>
      <c r="V32" s="21">
        <f>V28*(1-V30)</f>
        <v>0</v>
      </c>
      <c r="X32" s="11" t="s">
        <v>303</v>
      </c>
      <c r="Y32" s="21">
        <f>Y28*(1-Y30)</f>
        <v>0</v>
      </c>
      <c r="AA32" s="11" t="s">
        <v>303</v>
      </c>
      <c r="AB32" s="21">
        <f>AB28*(1-AB30)</f>
        <v>0</v>
      </c>
      <c r="AD32" s="11" t="s">
        <v>303</v>
      </c>
      <c r="AE32" s="21">
        <f>AE28*(1-AE30)</f>
        <v>0</v>
      </c>
      <c r="AG32" s="11" t="s">
        <v>303</v>
      </c>
      <c r="AH32" s="21">
        <f>AH28*(1-AH30)</f>
        <v>0</v>
      </c>
      <c r="BA32" s="2" t="str">
        <f t="shared" si="2"/>
        <v>Enter Product 10 Name Here</v>
      </c>
      <c r="BB32" s="23">
        <f>AH39*C32*$C$37</f>
        <v>0</v>
      </c>
    </row>
    <row r="33" spans="2:34" x14ac:dyDescent="0.2">
      <c r="B33" s="8" t="str">
        <f>IF(C33&gt;1,"EXCEEDS PLANT CAPACITY", " ")</f>
        <v xml:space="preserve"> </v>
      </c>
      <c r="C33" s="34">
        <f>SUM(C23:C32)</f>
        <v>0</v>
      </c>
      <c r="D33" s="28"/>
      <c r="F33" s="11"/>
      <c r="G33" s="13"/>
      <c r="I33" s="11"/>
      <c r="J33" s="13"/>
      <c r="L33" s="11"/>
      <c r="M33" s="13"/>
      <c r="O33" s="11"/>
      <c r="P33" s="13"/>
      <c r="R33" s="11"/>
      <c r="S33" s="13"/>
      <c r="U33" s="11"/>
      <c r="V33" s="13"/>
      <c r="X33" s="11"/>
      <c r="Y33" s="13"/>
      <c r="AA33" s="11"/>
      <c r="AB33" s="13"/>
      <c r="AD33" s="11"/>
      <c r="AE33" s="13"/>
      <c r="AG33" s="11"/>
      <c r="AH33" s="13"/>
    </row>
    <row r="34" spans="2:34" x14ac:dyDescent="0.2">
      <c r="C34" s="30"/>
      <c r="D34" s="6"/>
      <c r="F34" s="11" t="s">
        <v>293</v>
      </c>
      <c r="G34" s="232"/>
      <c r="I34" s="11" t="s">
        <v>293</v>
      </c>
      <c r="J34" s="232"/>
      <c r="L34" s="11" t="s">
        <v>293</v>
      </c>
      <c r="M34" s="232"/>
      <c r="O34" s="11" t="s">
        <v>293</v>
      </c>
      <c r="P34" s="232"/>
      <c r="R34" s="11" t="s">
        <v>293</v>
      </c>
      <c r="S34" s="232"/>
      <c r="U34" s="11" t="s">
        <v>293</v>
      </c>
      <c r="V34" s="232"/>
      <c r="X34" s="11" t="s">
        <v>293</v>
      </c>
      <c r="Y34" s="232"/>
      <c r="AA34" s="11" t="s">
        <v>293</v>
      </c>
      <c r="AB34" s="232"/>
      <c r="AD34" s="11" t="s">
        <v>293</v>
      </c>
      <c r="AE34" s="232"/>
      <c r="AG34" s="11" t="s">
        <v>293</v>
      </c>
      <c r="AH34" s="232"/>
    </row>
    <row r="35" spans="2:34" x14ac:dyDescent="0.2">
      <c r="B35" s="2" t="s">
        <v>313</v>
      </c>
      <c r="C35" s="120">
        <v>8</v>
      </c>
      <c r="D35" s="18"/>
      <c r="F35" s="11" t="s">
        <v>294</v>
      </c>
      <c r="G35" s="14"/>
      <c r="I35" s="11" t="s">
        <v>294</v>
      </c>
      <c r="J35" s="14"/>
      <c r="L35" s="11" t="s">
        <v>294</v>
      </c>
      <c r="M35" s="14"/>
      <c r="O35" s="11" t="s">
        <v>294</v>
      </c>
      <c r="P35" s="14"/>
      <c r="R35" s="11" t="s">
        <v>294</v>
      </c>
      <c r="S35" s="14"/>
      <c r="U35" s="11" t="s">
        <v>294</v>
      </c>
      <c r="V35" s="14"/>
      <c r="X35" s="11" t="s">
        <v>294</v>
      </c>
      <c r="Y35" s="14"/>
      <c r="AA35" s="11" t="s">
        <v>294</v>
      </c>
      <c r="AB35" s="14"/>
      <c r="AD35" s="11" t="s">
        <v>294</v>
      </c>
      <c r="AE35" s="14"/>
      <c r="AG35" s="11" t="s">
        <v>294</v>
      </c>
      <c r="AH35" s="14"/>
    </row>
    <row r="36" spans="2:34" x14ac:dyDescent="0.2">
      <c r="B36" s="9"/>
      <c r="C36" s="30"/>
      <c r="F36" s="11"/>
      <c r="G36" s="14"/>
      <c r="I36" s="11"/>
      <c r="J36" s="14"/>
      <c r="L36" s="11"/>
      <c r="M36" s="14"/>
      <c r="O36" s="11"/>
      <c r="P36" s="14"/>
      <c r="R36" s="11"/>
      <c r="S36" s="14"/>
      <c r="U36" s="11"/>
      <c r="V36" s="14"/>
      <c r="X36" s="11"/>
      <c r="Y36" s="14"/>
      <c r="AA36" s="11"/>
      <c r="AB36" s="14"/>
      <c r="AD36" s="11"/>
      <c r="AE36" s="14"/>
      <c r="AG36" s="11"/>
      <c r="AH36" s="14"/>
    </row>
    <row r="37" spans="2:34" x14ac:dyDescent="0.2">
      <c r="B37" s="2" t="s">
        <v>300</v>
      </c>
      <c r="C37" s="120">
        <v>250</v>
      </c>
      <c r="D37" s="10"/>
      <c r="F37" s="11" t="s">
        <v>295</v>
      </c>
      <c r="G37" s="13">
        <f>IFERROR((G22/G24)+G34,0)</f>
        <v>0</v>
      </c>
      <c r="I37" s="11" t="s">
        <v>295</v>
      </c>
      <c r="J37" s="13">
        <f>IFERROR((J22/J24)+J34,0)</f>
        <v>0</v>
      </c>
      <c r="L37" s="11" t="s">
        <v>295</v>
      </c>
      <c r="M37" s="13">
        <f>IFERROR((M22/M24)+M34,0)</f>
        <v>0</v>
      </c>
      <c r="O37" s="11" t="s">
        <v>295</v>
      </c>
      <c r="P37" s="13">
        <f>IFERROR((P22/P24)+P34,0)</f>
        <v>0</v>
      </c>
      <c r="R37" s="11" t="s">
        <v>295</v>
      </c>
      <c r="S37" s="13">
        <f>IFERROR((S22/S24)+S34,0)</f>
        <v>0</v>
      </c>
      <c r="U37" s="11" t="s">
        <v>295</v>
      </c>
      <c r="V37" s="13">
        <f>IFERROR((V22/V24)+V34,0)</f>
        <v>0</v>
      </c>
      <c r="X37" s="11" t="s">
        <v>295</v>
      </c>
      <c r="Y37" s="13">
        <f>IFERROR((Y22/Y24)+Y34,0)</f>
        <v>0</v>
      </c>
      <c r="AA37" s="11" t="s">
        <v>295</v>
      </c>
      <c r="AB37" s="13">
        <f>IFERROR((AB22/AB24)+AB34,0)</f>
        <v>0</v>
      </c>
      <c r="AD37" s="11" t="s">
        <v>295</v>
      </c>
      <c r="AE37" s="13">
        <f>IFERROR((AE22/AE24)+AE34,0)</f>
        <v>0</v>
      </c>
      <c r="AG37" s="11" t="s">
        <v>295</v>
      </c>
      <c r="AH37" s="13">
        <f>IFERROR((AH22/AH24)+AH34,0)</f>
        <v>0</v>
      </c>
    </row>
    <row r="38" spans="2:34" x14ac:dyDescent="0.2">
      <c r="B38" s="9"/>
      <c r="C38" s="10"/>
      <c r="D38" s="10"/>
      <c r="F38" s="11"/>
      <c r="G38" s="13"/>
      <c r="I38" s="11"/>
      <c r="J38" s="13"/>
      <c r="L38" s="11"/>
      <c r="M38" s="13"/>
      <c r="O38" s="11"/>
      <c r="P38" s="13"/>
      <c r="R38" s="11"/>
      <c r="S38" s="13"/>
      <c r="U38" s="11"/>
      <c r="V38" s="13"/>
      <c r="X38" s="11"/>
      <c r="Y38" s="13"/>
      <c r="AA38" s="11"/>
      <c r="AB38" s="13"/>
      <c r="AD38" s="11"/>
      <c r="AE38" s="13"/>
      <c r="AG38" s="11"/>
      <c r="AH38" s="13"/>
    </row>
    <row r="39" spans="2:34" x14ac:dyDescent="0.2">
      <c r="B39" s="27" t="s">
        <v>315</v>
      </c>
      <c r="C39" s="39" t="s">
        <v>321</v>
      </c>
      <c r="D39" s="39" t="s">
        <v>314</v>
      </c>
      <c r="F39" s="11" t="s">
        <v>299</v>
      </c>
      <c r="G39" s="13">
        <f>G37*G28</f>
        <v>0</v>
      </c>
      <c r="I39" s="11" t="s">
        <v>299</v>
      </c>
      <c r="J39" s="13">
        <f>J37*J28</f>
        <v>0</v>
      </c>
      <c r="L39" s="11" t="s">
        <v>299</v>
      </c>
      <c r="M39" s="13">
        <f>M37*M28</f>
        <v>0</v>
      </c>
      <c r="O39" s="11" t="s">
        <v>299</v>
      </c>
      <c r="P39" s="13">
        <f>P37*P28</f>
        <v>0</v>
      </c>
      <c r="R39" s="11" t="s">
        <v>299</v>
      </c>
      <c r="S39" s="13">
        <f>S37*S28</f>
        <v>0</v>
      </c>
      <c r="U39" s="11" t="s">
        <v>299</v>
      </c>
      <c r="V39" s="13">
        <f>V37*V28</f>
        <v>0</v>
      </c>
      <c r="X39" s="11" t="s">
        <v>299</v>
      </c>
      <c r="Y39" s="13">
        <f>Y37*Y28</f>
        <v>0</v>
      </c>
      <c r="AA39" s="11" t="s">
        <v>299</v>
      </c>
      <c r="AB39" s="13">
        <f>AB37*AB28</f>
        <v>0</v>
      </c>
      <c r="AD39" s="11" t="s">
        <v>299</v>
      </c>
      <c r="AE39" s="13">
        <f>AE37*AE28</f>
        <v>0</v>
      </c>
      <c r="AG39" s="11" t="s">
        <v>299</v>
      </c>
      <c r="AH39" s="13">
        <f>AH37*AH28</f>
        <v>0</v>
      </c>
    </row>
    <row r="40" spans="2:34" x14ac:dyDescent="0.2">
      <c r="B40" s="121" t="s">
        <v>316</v>
      </c>
      <c r="C40" s="37">
        <v>2</v>
      </c>
      <c r="D40" s="35">
        <v>15</v>
      </c>
      <c r="F40" s="11"/>
      <c r="G40" s="14"/>
      <c r="I40" s="11"/>
      <c r="J40" s="14"/>
      <c r="L40" s="11"/>
      <c r="M40" s="14"/>
      <c r="O40" s="11"/>
      <c r="P40" s="14"/>
      <c r="R40" s="11"/>
      <c r="S40" s="14"/>
      <c r="U40" s="11"/>
      <c r="V40" s="14"/>
      <c r="X40" s="11"/>
      <c r="Y40" s="14"/>
      <c r="AA40" s="11"/>
      <c r="AB40" s="14"/>
      <c r="AD40" s="11"/>
      <c r="AE40" s="14"/>
      <c r="AG40" s="11"/>
      <c r="AH40" s="14"/>
    </row>
    <row r="41" spans="2:34" x14ac:dyDescent="0.2">
      <c r="B41" s="122" t="s">
        <v>317</v>
      </c>
      <c r="C41" s="123">
        <v>2</v>
      </c>
      <c r="D41" s="124">
        <v>15</v>
      </c>
      <c r="F41" s="11" t="s">
        <v>296</v>
      </c>
      <c r="G41" s="232"/>
      <c r="I41" s="11" t="s">
        <v>296</v>
      </c>
      <c r="J41" s="232"/>
      <c r="L41" s="11" t="s">
        <v>296</v>
      </c>
      <c r="M41" s="232"/>
      <c r="O41" s="11" t="s">
        <v>296</v>
      </c>
      <c r="P41" s="232"/>
      <c r="R41" s="11" t="s">
        <v>296</v>
      </c>
      <c r="S41" s="232"/>
      <c r="U41" s="11" t="s">
        <v>296</v>
      </c>
      <c r="V41" s="232"/>
      <c r="X41" s="11" t="s">
        <v>296</v>
      </c>
      <c r="Y41" s="232"/>
      <c r="AA41" s="11" t="s">
        <v>296</v>
      </c>
      <c r="AB41" s="232"/>
      <c r="AD41" s="11" t="s">
        <v>296</v>
      </c>
      <c r="AE41" s="232"/>
      <c r="AG41" s="11" t="s">
        <v>296</v>
      </c>
      <c r="AH41" s="232"/>
    </row>
    <row r="42" spans="2:34" x14ac:dyDescent="0.2">
      <c r="B42" s="122"/>
      <c r="C42" s="38"/>
      <c r="D42" s="36"/>
      <c r="F42" s="11"/>
      <c r="G42" s="16"/>
      <c r="I42" s="11"/>
      <c r="J42" s="16"/>
      <c r="L42" s="11"/>
      <c r="M42" s="16"/>
      <c r="O42" s="11"/>
      <c r="P42" s="16"/>
      <c r="R42" s="11"/>
      <c r="S42" s="16"/>
      <c r="U42" s="11"/>
      <c r="V42" s="16"/>
      <c r="X42" s="11"/>
      <c r="Y42" s="16"/>
      <c r="AA42" s="11"/>
      <c r="AB42" s="16"/>
      <c r="AD42" s="11"/>
      <c r="AE42" s="16"/>
      <c r="AG42" s="11"/>
      <c r="AH42" s="16"/>
    </row>
    <row r="43" spans="2:34" x14ac:dyDescent="0.2">
      <c r="B43" s="122"/>
      <c r="C43" s="123"/>
      <c r="D43" s="124"/>
      <c r="F43" s="11" t="s">
        <v>304</v>
      </c>
      <c r="G43" s="13">
        <f>G41*G32</f>
        <v>0</v>
      </c>
      <c r="H43" s="12"/>
      <c r="I43" s="11" t="s">
        <v>304</v>
      </c>
      <c r="J43" s="13">
        <f>J41*J32</f>
        <v>0</v>
      </c>
      <c r="K43" s="12"/>
      <c r="L43" s="11" t="s">
        <v>304</v>
      </c>
      <c r="M43" s="13">
        <f>M41*M32</f>
        <v>0</v>
      </c>
      <c r="N43" s="12"/>
      <c r="O43" s="11" t="s">
        <v>304</v>
      </c>
      <c r="P43" s="13">
        <f>P41*P32</f>
        <v>0</v>
      </c>
      <c r="Q43" s="12"/>
      <c r="R43" s="11" t="s">
        <v>304</v>
      </c>
      <c r="S43" s="13">
        <f>S41*S32</f>
        <v>0</v>
      </c>
      <c r="T43" s="12"/>
      <c r="U43" s="11" t="s">
        <v>304</v>
      </c>
      <c r="V43" s="13">
        <f>V41*V32</f>
        <v>0</v>
      </c>
      <c r="X43" s="11" t="s">
        <v>304</v>
      </c>
      <c r="Y43" s="13">
        <f>Y41*Y32</f>
        <v>0</v>
      </c>
      <c r="AA43" s="11" t="s">
        <v>304</v>
      </c>
      <c r="AB43" s="13">
        <f>AB41*AB32</f>
        <v>0</v>
      </c>
      <c r="AD43" s="11" t="s">
        <v>304</v>
      </c>
      <c r="AE43" s="13">
        <f>AE41*AE32</f>
        <v>0</v>
      </c>
      <c r="AG43" s="11" t="s">
        <v>304</v>
      </c>
      <c r="AH43" s="13">
        <f>AH41*AH32</f>
        <v>0</v>
      </c>
    </row>
    <row r="44" spans="2:34" x14ac:dyDescent="0.2">
      <c r="B44" s="122"/>
      <c r="C44" s="123"/>
      <c r="D44" s="124"/>
      <c r="F44" s="11"/>
      <c r="G44" s="13"/>
      <c r="H44" s="12"/>
      <c r="I44" s="11"/>
      <c r="J44" s="13"/>
      <c r="K44" s="12"/>
      <c r="L44" s="11"/>
      <c r="M44" s="13"/>
      <c r="N44" s="12"/>
      <c r="O44" s="11"/>
      <c r="P44" s="13"/>
      <c r="Q44" s="12"/>
      <c r="R44" s="11"/>
      <c r="S44" s="13"/>
      <c r="T44" s="12"/>
      <c r="U44" s="11"/>
      <c r="V44" s="13"/>
      <c r="X44" s="11"/>
      <c r="Y44" s="13"/>
      <c r="AA44" s="11"/>
      <c r="AB44" s="13"/>
      <c r="AD44" s="11"/>
      <c r="AE44" s="13"/>
      <c r="AG44" s="11"/>
      <c r="AH44" s="13"/>
    </row>
    <row r="45" spans="2:34" x14ac:dyDescent="0.2">
      <c r="B45" s="122"/>
      <c r="C45" s="123"/>
      <c r="D45" s="124"/>
      <c r="F45" s="11" t="s">
        <v>297</v>
      </c>
      <c r="G45" s="233">
        <f>G43-G39</f>
        <v>0</v>
      </c>
      <c r="H45" s="12"/>
      <c r="I45" s="11" t="s">
        <v>297</v>
      </c>
      <c r="J45" s="233">
        <f>J43-J39</f>
        <v>0</v>
      </c>
      <c r="K45" s="12"/>
      <c r="L45" s="11" t="s">
        <v>297</v>
      </c>
      <c r="M45" s="233">
        <f>M43-M39</f>
        <v>0</v>
      </c>
      <c r="N45" s="12"/>
      <c r="O45" s="11" t="s">
        <v>297</v>
      </c>
      <c r="P45" s="233">
        <f>P43-P39</f>
        <v>0</v>
      </c>
      <c r="Q45" s="12"/>
      <c r="R45" s="11" t="s">
        <v>297</v>
      </c>
      <c r="S45" s="233">
        <f>S43-S39</f>
        <v>0</v>
      </c>
      <c r="T45" s="12"/>
      <c r="U45" s="11" t="s">
        <v>297</v>
      </c>
      <c r="V45" s="233">
        <f>V43-V39</f>
        <v>0</v>
      </c>
      <c r="X45" s="11" t="s">
        <v>297</v>
      </c>
      <c r="Y45" s="233">
        <f>Y43-Y39</f>
        <v>0</v>
      </c>
      <c r="AA45" s="11" t="s">
        <v>297</v>
      </c>
      <c r="AB45" s="233">
        <f>AB43-AB39</f>
        <v>0</v>
      </c>
      <c r="AD45" s="11" t="s">
        <v>297</v>
      </c>
      <c r="AE45" s="233">
        <f>AE43-AE39</f>
        <v>0</v>
      </c>
      <c r="AG45" s="11" t="s">
        <v>297</v>
      </c>
      <c r="AH45" s="233">
        <f>AH43-AH39</f>
        <v>0</v>
      </c>
    </row>
    <row r="46" spans="2:34" x14ac:dyDescent="0.2">
      <c r="B46" s="122"/>
      <c r="C46" s="123"/>
      <c r="D46" s="124"/>
      <c r="F46" s="17" t="s">
        <v>463</v>
      </c>
      <c r="G46" s="234">
        <f>IFERROR(G45/G43,0)</f>
        <v>0</v>
      </c>
      <c r="I46" s="17" t="s">
        <v>463</v>
      </c>
      <c r="J46" s="234">
        <f>IFERROR(J45/J43,0)</f>
        <v>0</v>
      </c>
      <c r="L46" s="17" t="s">
        <v>463</v>
      </c>
      <c r="M46" s="234">
        <f>IFERROR(M45/M43,0)</f>
        <v>0</v>
      </c>
      <c r="O46" s="17" t="s">
        <v>463</v>
      </c>
      <c r="P46" s="234">
        <f>IFERROR(P45/P43,0)</f>
        <v>0</v>
      </c>
      <c r="R46" s="17" t="s">
        <v>463</v>
      </c>
      <c r="S46" s="234">
        <f>IFERROR(S45/S43,0)</f>
        <v>0</v>
      </c>
      <c r="U46" s="17" t="s">
        <v>463</v>
      </c>
      <c r="V46" s="234">
        <f>IFERROR(V45/V43,0)</f>
        <v>0</v>
      </c>
      <c r="X46" s="17" t="s">
        <v>463</v>
      </c>
      <c r="Y46" s="234">
        <f>IFERROR(Y45/Y43,0)</f>
        <v>0</v>
      </c>
      <c r="AA46" s="17" t="s">
        <v>463</v>
      </c>
      <c r="AB46" s="234">
        <f>IFERROR(AB45/AB43,0)</f>
        <v>0</v>
      </c>
      <c r="AD46" s="17" t="s">
        <v>463</v>
      </c>
      <c r="AE46" s="234">
        <f>IFERROR(AE45/AE43,0)</f>
        <v>0</v>
      </c>
      <c r="AG46" s="17" t="s">
        <v>463</v>
      </c>
      <c r="AH46" s="234">
        <f>IFERROR(AH45/AH43,0)</f>
        <v>0</v>
      </c>
    </row>
    <row r="47" spans="2:34" x14ac:dyDescent="0.2">
      <c r="B47" s="122"/>
      <c r="C47" s="123"/>
      <c r="D47" s="124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</row>
    <row r="48" spans="2:34" x14ac:dyDescent="0.2">
      <c r="B48" s="125"/>
      <c r="C48" s="126"/>
      <c r="D48" s="127"/>
    </row>
    <row r="49" spans="2:33" x14ac:dyDescent="0.2">
      <c r="B49" s="29"/>
      <c r="C49" s="15"/>
      <c r="D49" s="15"/>
    </row>
    <row r="50" spans="2:33" x14ac:dyDescent="0.2">
      <c r="B50" s="64" t="s">
        <v>323</v>
      </c>
      <c r="C50" s="203">
        <v>0.01</v>
      </c>
      <c r="D50" s="15"/>
      <c r="F50" s="235" t="s">
        <v>459</v>
      </c>
      <c r="I50" s="235" t="s">
        <v>459</v>
      </c>
      <c r="L50" s="235" t="s">
        <v>459</v>
      </c>
      <c r="O50" s="235" t="s">
        <v>459</v>
      </c>
      <c r="R50" s="235" t="s">
        <v>459</v>
      </c>
      <c r="U50" s="235" t="s">
        <v>459</v>
      </c>
      <c r="X50" s="235" t="s">
        <v>459</v>
      </c>
      <c r="AA50" s="235" t="s">
        <v>459</v>
      </c>
      <c r="AD50" s="235" t="s">
        <v>459</v>
      </c>
      <c r="AG50" s="235" t="s">
        <v>459</v>
      </c>
    </row>
    <row r="84" spans="2:3" x14ac:dyDescent="0.2">
      <c r="B84" s="2" t="s">
        <v>318</v>
      </c>
    </row>
    <row r="85" spans="2:3" x14ac:dyDescent="0.2">
      <c r="B85" s="2" t="str">
        <f t="shared" ref="B85:B93" si="3">B40</f>
        <v>Cooking/Kitchen</v>
      </c>
      <c r="C85" s="23">
        <f t="shared" ref="C85:C93" si="4">C40*D40*$C$35*$C$37</f>
        <v>60000</v>
      </c>
    </row>
    <row r="86" spans="2:3" x14ac:dyDescent="0.2">
      <c r="B86" s="2" t="str">
        <f t="shared" si="3"/>
        <v>Packaging/Labeling</v>
      </c>
      <c r="C86" s="23">
        <f t="shared" si="4"/>
        <v>60000</v>
      </c>
    </row>
    <row r="87" spans="2:3" x14ac:dyDescent="0.2">
      <c r="B87" s="2">
        <f t="shared" si="3"/>
        <v>0</v>
      </c>
      <c r="C87" s="23">
        <f t="shared" si="4"/>
        <v>0</v>
      </c>
    </row>
    <row r="88" spans="2:3" x14ac:dyDescent="0.2">
      <c r="B88" s="2">
        <f t="shared" si="3"/>
        <v>0</v>
      </c>
      <c r="C88" s="23">
        <f t="shared" si="4"/>
        <v>0</v>
      </c>
    </row>
    <row r="89" spans="2:3" x14ac:dyDescent="0.2">
      <c r="B89" s="2">
        <f t="shared" si="3"/>
        <v>0</v>
      </c>
      <c r="C89" s="23">
        <f t="shared" si="4"/>
        <v>0</v>
      </c>
    </row>
    <row r="90" spans="2:3" x14ac:dyDescent="0.2">
      <c r="B90" s="2">
        <f t="shared" si="3"/>
        <v>0</v>
      </c>
      <c r="C90" s="23">
        <f t="shared" si="4"/>
        <v>0</v>
      </c>
    </row>
    <row r="91" spans="2:3" x14ac:dyDescent="0.2">
      <c r="B91" s="2">
        <f t="shared" si="3"/>
        <v>0</v>
      </c>
      <c r="C91" s="23">
        <f t="shared" si="4"/>
        <v>0</v>
      </c>
    </row>
    <row r="92" spans="2:3" x14ac:dyDescent="0.2">
      <c r="B92" s="2">
        <f t="shared" si="3"/>
        <v>0</v>
      </c>
      <c r="C92" s="23">
        <f t="shared" si="4"/>
        <v>0</v>
      </c>
    </row>
    <row r="93" spans="2:3" x14ac:dyDescent="0.2">
      <c r="B93" s="2">
        <f t="shared" si="3"/>
        <v>0</v>
      </c>
      <c r="C93" s="23">
        <f t="shared" si="4"/>
        <v>0</v>
      </c>
    </row>
    <row r="94" spans="2:3" x14ac:dyDescent="0.2">
      <c r="B94" s="2" t="s">
        <v>319</v>
      </c>
      <c r="C94" s="23">
        <f>SUM(C85:C93)</f>
        <v>120000</v>
      </c>
    </row>
    <row r="195" spans="3:3" x14ac:dyDescent="0.2">
      <c r="C195" s="2" t="s">
        <v>286</v>
      </c>
    </row>
    <row r="196" spans="3:3" x14ac:dyDescent="0.2">
      <c r="C196" s="2" t="s">
        <v>287</v>
      </c>
    </row>
  </sheetData>
  <sheetProtection password="E114" sheet="1" objects="1" scenarios="1" selectLockedCells="1"/>
  <mergeCells count="1">
    <mergeCell ref="F2:G2"/>
  </mergeCells>
  <hyperlinks>
    <hyperlink ref="B3" location="'Plant, Prop &amp; Equip'!A1" display="Plant, Property, &amp; Equipment"/>
    <hyperlink ref="B4" location="'Personnel Expenses'!A1" display="Personnel Expenses"/>
    <hyperlink ref="B5" location="'Market Projection'!A1" display="Market Projection"/>
    <hyperlink ref="B6" location="'Expense Projection'!A1" display="Expense Projection"/>
    <hyperlink ref="B7" location="'Profit &amp; Loss'!A1" display="Profit/Loss Summary"/>
    <hyperlink ref="B8" location="'Return On Investment'!A1" display="Return on Investment"/>
  </hyperlinks>
  <pageMargins left="0.75000000000000011" right="0.75000000000000011" top="1" bottom="1" header="0.5" footer="0.5"/>
  <pageSetup orientation="portrait" verticalDpi="0"/>
  <headerFooter alignWithMargins="0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14"/>
  <sheetViews>
    <sheetView showGridLines="0" showRowColHeaders="0" workbookViewId="0">
      <selection activeCell="B3" sqref="B3"/>
    </sheetView>
  </sheetViews>
  <sheetFormatPr defaultColWidth="8.85546875" defaultRowHeight="12.75" x14ac:dyDescent="0.2"/>
  <cols>
    <col min="1" max="1" width="5.7109375" style="48" customWidth="1"/>
    <col min="2" max="2" width="25.42578125" style="48" customWidth="1"/>
    <col min="3" max="3" width="19" style="48" customWidth="1"/>
    <col min="4" max="4" width="14" style="48" bestFit="1" customWidth="1"/>
    <col min="5" max="5" width="12.140625" style="48" customWidth="1"/>
    <col min="6" max="6" width="16.140625" style="48" customWidth="1"/>
    <col min="7" max="7" width="16.42578125" style="48" customWidth="1"/>
    <col min="8" max="8" width="12.28515625" style="48" bestFit="1" customWidth="1"/>
    <col min="9" max="9" width="11.42578125" style="48" customWidth="1"/>
    <col min="10" max="16384" width="8.85546875" style="48"/>
  </cols>
  <sheetData>
    <row r="1" spans="2:10" x14ac:dyDescent="0.2">
      <c r="B1" s="61" t="s">
        <v>425</v>
      </c>
    </row>
    <row r="2" spans="2:10" x14ac:dyDescent="0.2">
      <c r="B2" s="64" t="s">
        <v>424</v>
      </c>
    </row>
    <row r="3" spans="2:10" x14ac:dyDescent="0.2">
      <c r="B3" s="78" t="s">
        <v>276</v>
      </c>
    </row>
    <row r="5" spans="2:10" x14ac:dyDescent="0.2">
      <c r="B5" s="61" t="s">
        <v>478</v>
      </c>
    </row>
    <row r="7" spans="2:10" x14ac:dyDescent="0.2">
      <c r="B7" s="128" t="s">
        <v>427</v>
      </c>
    </row>
    <row r="8" spans="2:10" x14ac:dyDescent="0.2">
      <c r="B8" s="61" t="s">
        <v>42</v>
      </c>
      <c r="C8" s="129" t="s">
        <v>64</v>
      </c>
    </row>
    <row r="9" spans="2:10" x14ac:dyDescent="0.2">
      <c r="B9" s="153" t="s">
        <v>426</v>
      </c>
      <c r="C9" s="129" t="s">
        <v>82</v>
      </c>
      <c r="D9" s="130"/>
    </row>
    <row r="10" spans="2:10" x14ac:dyDescent="0.2">
      <c r="B10" s="131"/>
      <c r="D10" s="130"/>
    </row>
    <row r="11" spans="2:10" x14ac:dyDescent="0.2">
      <c r="B11" s="61" t="s">
        <v>42</v>
      </c>
      <c r="C11" s="132"/>
      <c r="F11" s="75"/>
      <c r="G11" s="133"/>
      <c r="H11" s="75"/>
      <c r="I11" s="75"/>
      <c r="J11" s="75"/>
    </row>
    <row r="12" spans="2:10" x14ac:dyDescent="0.2">
      <c r="C12" s="134" t="s">
        <v>74</v>
      </c>
      <c r="D12" s="61" t="s">
        <v>75</v>
      </c>
      <c r="E12" s="48" t="s">
        <v>71</v>
      </c>
      <c r="F12" s="75"/>
      <c r="G12" s="75"/>
      <c r="H12" s="134"/>
      <c r="I12" s="133"/>
      <c r="J12" s="75"/>
    </row>
    <row r="13" spans="2:10" x14ac:dyDescent="0.2">
      <c r="B13" s="288" t="s">
        <v>272</v>
      </c>
      <c r="C13" s="286"/>
      <c r="D13" s="77">
        <f>'Plant, Prop &amp; Equip'!C33</f>
        <v>604450</v>
      </c>
      <c r="E13" s="135">
        <f>0.25*D13</f>
        <v>151112.5</v>
      </c>
      <c r="F13" s="75"/>
      <c r="G13" s="286"/>
      <c r="H13" s="286"/>
      <c r="I13" s="77"/>
      <c r="J13" s="75"/>
    </row>
    <row r="14" spans="2:10" hidden="1" x14ac:dyDescent="0.2">
      <c r="B14" s="287" t="s">
        <v>76</v>
      </c>
      <c r="C14" s="287"/>
      <c r="D14" s="76"/>
      <c r="E14" s="136"/>
      <c r="F14" s="75"/>
      <c r="G14" s="286"/>
      <c r="H14" s="286"/>
      <c r="I14" s="77"/>
      <c r="J14" s="75"/>
    </row>
    <row r="15" spans="2:10" hidden="1" x14ac:dyDescent="0.2">
      <c r="B15" s="287" t="s">
        <v>77</v>
      </c>
      <c r="C15" s="287"/>
      <c r="D15" s="76"/>
      <c r="E15" s="136"/>
      <c r="F15" s="75"/>
      <c r="G15" s="286"/>
      <c r="H15" s="286"/>
      <c r="I15" s="77"/>
      <c r="J15" s="75"/>
    </row>
    <row r="16" spans="2:10" hidden="1" x14ac:dyDescent="0.2">
      <c r="B16" s="287" t="s">
        <v>78</v>
      </c>
      <c r="C16" s="287"/>
      <c r="D16" s="76"/>
      <c r="E16" s="136"/>
      <c r="F16" s="75"/>
      <c r="G16" s="286"/>
      <c r="H16" s="286"/>
      <c r="I16" s="77"/>
      <c r="J16" s="75"/>
    </row>
    <row r="17" spans="2:16" hidden="1" x14ac:dyDescent="0.2">
      <c r="B17" s="287" t="s">
        <v>79</v>
      </c>
      <c r="C17" s="287"/>
      <c r="D17" s="76"/>
      <c r="E17" s="136"/>
      <c r="F17" s="75"/>
      <c r="G17" s="286"/>
      <c r="H17" s="286"/>
      <c r="I17" s="77"/>
      <c r="J17" s="75"/>
    </row>
    <row r="18" spans="2:16" x14ac:dyDescent="0.2">
      <c r="B18" s="61" t="s">
        <v>80</v>
      </c>
      <c r="C18" s="132"/>
      <c r="D18" s="137">
        <f>SUM(D13:D17)</f>
        <v>604450</v>
      </c>
      <c r="E18" s="138">
        <f>SUM(E13:E17)</f>
        <v>151112.5</v>
      </c>
      <c r="F18" s="75"/>
      <c r="G18" s="133"/>
      <c r="H18" s="132"/>
      <c r="I18" s="77"/>
      <c r="J18" s="75"/>
    </row>
    <row r="19" spans="2:16" x14ac:dyDescent="0.2">
      <c r="C19" s="132"/>
      <c r="F19" s="75"/>
      <c r="G19" s="75"/>
      <c r="H19" s="75"/>
      <c r="I19" s="77"/>
      <c r="J19" s="75"/>
    </row>
    <row r="20" spans="2:16" x14ac:dyDescent="0.2">
      <c r="B20" s="61" t="s">
        <v>44</v>
      </c>
      <c r="F20" s="75"/>
      <c r="G20" s="133"/>
      <c r="H20" s="132"/>
      <c r="I20" s="77"/>
      <c r="J20" s="75"/>
    </row>
    <row r="21" spans="2:16" x14ac:dyDescent="0.2">
      <c r="C21" s="134" t="s">
        <v>74</v>
      </c>
      <c r="D21" s="61" t="s">
        <v>75</v>
      </c>
      <c r="F21" s="75"/>
      <c r="G21" s="75"/>
      <c r="H21" s="134"/>
      <c r="I21" s="139"/>
      <c r="J21" s="75"/>
    </row>
    <row r="22" spans="2:16" x14ac:dyDescent="0.2">
      <c r="B22" s="288" t="s">
        <v>275</v>
      </c>
      <c r="C22" s="286"/>
      <c r="D22" s="77">
        <f>'Plant, Prop &amp; Equip'!C113</f>
        <v>265615.47500000003</v>
      </c>
      <c r="F22" s="75"/>
      <c r="G22" s="286"/>
      <c r="H22" s="286"/>
      <c r="I22" s="77"/>
      <c r="J22" s="75"/>
    </row>
    <row r="23" spans="2:16" hidden="1" x14ac:dyDescent="0.2">
      <c r="B23" s="287" t="s">
        <v>76</v>
      </c>
      <c r="C23" s="287"/>
      <c r="D23" s="76"/>
      <c r="F23" s="75"/>
      <c r="G23" s="286"/>
      <c r="H23" s="286"/>
      <c r="I23" s="77"/>
      <c r="J23" s="75"/>
    </row>
    <row r="24" spans="2:16" hidden="1" x14ac:dyDescent="0.2">
      <c r="B24" s="287" t="s">
        <v>77</v>
      </c>
      <c r="C24" s="287"/>
      <c r="D24" s="76"/>
      <c r="F24" s="75"/>
      <c r="G24" s="286"/>
      <c r="H24" s="286"/>
      <c r="I24" s="77"/>
      <c r="J24" s="75"/>
    </row>
    <row r="25" spans="2:16" hidden="1" x14ac:dyDescent="0.2">
      <c r="B25" s="287" t="s">
        <v>78</v>
      </c>
      <c r="C25" s="287"/>
      <c r="D25" s="76"/>
      <c r="F25" s="75"/>
      <c r="G25" s="286"/>
      <c r="H25" s="286"/>
      <c r="I25" s="77"/>
      <c r="J25" s="75"/>
    </row>
    <row r="26" spans="2:16" hidden="1" x14ac:dyDescent="0.2">
      <c r="B26" s="287" t="s">
        <v>79</v>
      </c>
      <c r="C26" s="287"/>
      <c r="D26" s="76"/>
      <c r="F26" s="75"/>
      <c r="G26" s="286"/>
      <c r="H26" s="286"/>
      <c r="I26" s="77"/>
      <c r="J26" s="75"/>
    </row>
    <row r="27" spans="2:16" x14ac:dyDescent="0.2">
      <c r="B27" s="61" t="s">
        <v>81</v>
      </c>
      <c r="C27" s="132"/>
      <c r="D27" s="137">
        <f>SUM(D22:D26)</f>
        <v>265615.47500000003</v>
      </c>
      <c r="F27" s="75"/>
      <c r="G27" s="133"/>
      <c r="H27" s="132"/>
      <c r="I27" s="77"/>
      <c r="J27" s="140"/>
      <c r="K27" s="129"/>
      <c r="L27" s="129"/>
      <c r="M27" s="129"/>
      <c r="N27" s="129"/>
      <c r="O27" s="129"/>
      <c r="P27" s="129"/>
    </row>
    <row r="28" spans="2:16" x14ac:dyDescent="0.2">
      <c r="C28" s="132"/>
      <c r="D28" s="141"/>
      <c r="F28" s="75"/>
      <c r="G28" s="140"/>
      <c r="H28" s="142"/>
      <c r="I28" s="140"/>
      <c r="J28" s="140"/>
      <c r="K28" s="129"/>
      <c r="L28" s="129"/>
      <c r="M28" s="129"/>
      <c r="N28" s="129"/>
      <c r="O28" s="129"/>
      <c r="P28" s="129"/>
    </row>
    <row r="29" spans="2:16" x14ac:dyDescent="0.2">
      <c r="B29" s="61" t="s">
        <v>84</v>
      </c>
      <c r="C29" s="132"/>
      <c r="D29" s="137">
        <f>+D18+D27</f>
        <v>870065.47500000009</v>
      </c>
      <c r="G29" s="129"/>
      <c r="H29" s="129"/>
      <c r="I29" s="129"/>
      <c r="J29" s="129"/>
      <c r="K29" s="129"/>
      <c r="L29" s="129"/>
      <c r="M29" s="129"/>
      <c r="N29" s="129"/>
      <c r="O29" s="129"/>
      <c r="P29" s="129"/>
    </row>
    <row r="30" spans="2:16" x14ac:dyDescent="0.2">
      <c r="B30" s="61" t="s">
        <v>93</v>
      </c>
      <c r="C30" s="132"/>
      <c r="D30" s="77">
        <f>'Plant, Prop &amp; Equip'!C18</f>
        <v>25000</v>
      </c>
      <c r="G30" s="129"/>
      <c r="H30" s="129"/>
      <c r="I30" s="129"/>
      <c r="J30" s="129"/>
      <c r="K30" s="129"/>
      <c r="L30" s="129"/>
      <c r="M30" s="129"/>
      <c r="N30" s="129"/>
      <c r="O30" s="129"/>
      <c r="P30" s="129"/>
    </row>
    <row r="31" spans="2:16" x14ac:dyDescent="0.2">
      <c r="B31" s="61" t="s">
        <v>94</v>
      </c>
      <c r="C31" s="132"/>
      <c r="D31" s="137">
        <f>+D29+D30</f>
        <v>895065.47500000009</v>
      </c>
      <c r="G31" s="129"/>
      <c r="H31" s="129"/>
      <c r="I31" s="129"/>
      <c r="J31" s="129"/>
      <c r="K31" s="129"/>
      <c r="L31" s="129"/>
      <c r="M31" s="129"/>
      <c r="N31" s="129"/>
      <c r="O31" s="129"/>
      <c r="P31" s="129"/>
    </row>
    <row r="32" spans="2:16" x14ac:dyDescent="0.2">
      <c r="B32" s="61"/>
      <c r="C32" s="132"/>
      <c r="G32" s="129"/>
      <c r="H32" s="129"/>
      <c r="I32" s="129"/>
      <c r="J32" s="129"/>
      <c r="K32" s="129"/>
      <c r="L32" s="129"/>
      <c r="M32" s="129"/>
      <c r="N32" s="129"/>
      <c r="O32" s="129"/>
      <c r="P32" s="129"/>
    </row>
    <row r="33" spans="2:12" x14ac:dyDescent="0.2">
      <c r="B33" s="131" t="s">
        <v>63</v>
      </c>
    </row>
    <row r="35" spans="2:12" x14ac:dyDescent="0.2">
      <c r="B35" s="48" t="s">
        <v>62</v>
      </c>
      <c r="C35" s="48">
        <v>1</v>
      </c>
      <c r="D35" s="48">
        <v>2</v>
      </c>
      <c r="E35" s="48">
        <v>3</v>
      </c>
      <c r="F35" s="48">
        <v>4</v>
      </c>
      <c r="G35" s="48">
        <v>5</v>
      </c>
      <c r="H35" s="48">
        <v>6</v>
      </c>
      <c r="I35" s="48">
        <v>7</v>
      </c>
      <c r="J35" s="48">
        <v>8</v>
      </c>
      <c r="K35" s="48">
        <v>9</v>
      </c>
      <c r="L35" s="48">
        <v>10</v>
      </c>
    </row>
    <row r="36" spans="2:12" x14ac:dyDescent="0.2">
      <c r="B36" s="48" t="s">
        <v>42</v>
      </c>
      <c r="C36" s="129">
        <f t="shared" ref="C36:L36" si="0">$C$54</f>
        <v>11624.038461538461</v>
      </c>
      <c r="D36" s="129">
        <f t="shared" si="0"/>
        <v>11624.038461538461</v>
      </c>
      <c r="E36" s="129">
        <f t="shared" si="0"/>
        <v>11624.038461538461</v>
      </c>
      <c r="F36" s="129">
        <f t="shared" si="0"/>
        <v>11624.038461538461</v>
      </c>
      <c r="G36" s="129">
        <f t="shared" si="0"/>
        <v>11624.038461538461</v>
      </c>
      <c r="H36" s="129">
        <f t="shared" si="0"/>
        <v>11624.038461538461</v>
      </c>
      <c r="I36" s="129">
        <f t="shared" si="0"/>
        <v>11624.038461538461</v>
      </c>
      <c r="J36" s="129">
        <f t="shared" si="0"/>
        <v>11624.038461538461</v>
      </c>
      <c r="K36" s="129">
        <f t="shared" si="0"/>
        <v>11624.038461538461</v>
      </c>
      <c r="L36" s="129">
        <f t="shared" si="0"/>
        <v>11624.038461538461</v>
      </c>
    </row>
    <row r="37" spans="2:12" x14ac:dyDescent="0.2">
      <c r="B37" s="48" t="s">
        <v>44</v>
      </c>
      <c r="C37" s="143">
        <f>+$C$75</f>
        <v>37956.451377500001</v>
      </c>
      <c r="D37" s="143">
        <f>+$C$76</f>
        <v>65049.229827500014</v>
      </c>
      <c r="E37" s="143">
        <f>+$C$77</f>
        <v>46456.146577500003</v>
      </c>
      <c r="F37" s="143">
        <f>+$C$78</f>
        <v>33175.372827500003</v>
      </c>
      <c r="G37" s="143">
        <f>+$C$79</f>
        <v>23719.461917500004</v>
      </c>
      <c r="H37" s="143">
        <f>+$C$80</f>
        <v>23692.900370000003</v>
      </c>
      <c r="I37" s="143">
        <f>+$C$81</f>
        <v>23719.461917500004</v>
      </c>
      <c r="J37" s="143">
        <f>+$C$82</f>
        <v>11846.450185000002</v>
      </c>
      <c r="K37" s="143"/>
      <c r="L37" s="143"/>
    </row>
    <row r="39" spans="2:12" x14ac:dyDescent="0.2">
      <c r="B39" s="61" t="s">
        <v>65</v>
      </c>
      <c r="C39" s="129">
        <f t="shared" ref="C39:L39" si="1">SUM(C36:C37)</f>
        <v>49580.489839038462</v>
      </c>
      <c r="D39" s="129">
        <f t="shared" si="1"/>
        <v>76673.268289038475</v>
      </c>
      <c r="E39" s="129">
        <f t="shared" si="1"/>
        <v>58080.185039038464</v>
      </c>
      <c r="F39" s="129">
        <f t="shared" si="1"/>
        <v>44799.411289038464</v>
      </c>
      <c r="G39" s="129">
        <f t="shared" si="1"/>
        <v>35343.500379038465</v>
      </c>
      <c r="H39" s="129">
        <f t="shared" si="1"/>
        <v>35316.938831538464</v>
      </c>
      <c r="I39" s="129">
        <f t="shared" si="1"/>
        <v>35343.500379038465</v>
      </c>
      <c r="J39" s="129">
        <f t="shared" si="1"/>
        <v>23470.488646538462</v>
      </c>
      <c r="K39" s="129">
        <f t="shared" si="1"/>
        <v>11624.038461538461</v>
      </c>
      <c r="L39" s="129">
        <f t="shared" si="1"/>
        <v>11624.038461538461</v>
      </c>
    </row>
    <row r="41" spans="2:12" x14ac:dyDescent="0.2">
      <c r="B41" s="61"/>
      <c r="C41" s="132"/>
    </row>
    <row r="42" spans="2:12" x14ac:dyDescent="0.2">
      <c r="B42" s="61"/>
      <c r="C42" s="129"/>
    </row>
    <row r="43" spans="2:12" x14ac:dyDescent="0.2">
      <c r="B43" s="61" t="s">
        <v>42</v>
      </c>
      <c r="C43" s="129" t="s">
        <v>64</v>
      </c>
    </row>
    <row r="44" spans="2:12" x14ac:dyDescent="0.2">
      <c r="B44" s="61" t="s">
        <v>43</v>
      </c>
      <c r="C44" s="129" t="s">
        <v>66</v>
      </c>
    </row>
    <row r="45" spans="2:12" x14ac:dyDescent="0.2">
      <c r="B45" s="61" t="s">
        <v>44</v>
      </c>
      <c r="C45" s="129" t="s">
        <v>67</v>
      </c>
    </row>
    <row r="46" spans="2:12" x14ac:dyDescent="0.2">
      <c r="B46" s="61" t="s">
        <v>45</v>
      </c>
      <c r="C46" s="129" t="s">
        <v>68</v>
      </c>
    </row>
    <row r="48" spans="2:12" x14ac:dyDescent="0.2">
      <c r="C48" s="132"/>
    </row>
    <row r="49" spans="2:4" x14ac:dyDescent="0.2">
      <c r="B49" s="61" t="s">
        <v>42</v>
      </c>
      <c r="C49" s="68"/>
    </row>
    <row r="50" spans="2:4" x14ac:dyDescent="0.2">
      <c r="B50" s="48" t="s">
        <v>69</v>
      </c>
      <c r="C50" s="144">
        <f>+D18</f>
        <v>604450</v>
      </c>
    </row>
    <row r="51" spans="2:4" x14ac:dyDescent="0.2">
      <c r="B51" s="66" t="s">
        <v>70</v>
      </c>
      <c r="C51" s="145">
        <v>39</v>
      </c>
    </row>
    <row r="52" spans="2:4" x14ac:dyDescent="0.2">
      <c r="B52" s="66" t="s">
        <v>71</v>
      </c>
      <c r="C52" s="135">
        <f>+E18</f>
        <v>151112.5</v>
      </c>
    </row>
    <row r="53" spans="2:4" x14ac:dyDescent="0.2">
      <c r="B53" s="66" t="s">
        <v>72</v>
      </c>
      <c r="C53" s="145">
        <v>39</v>
      </c>
    </row>
    <row r="54" spans="2:4" x14ac:dyDescent="0.2">
      <c r="B54" s="48" t="s">
        <v>119</v>
      </c>
      <c r="C54" s="129">
        <f>(C50-C52)/C53</f>
        <v>11624.038461538461</v>
      </c>
    </row>
    <row r="56" spans="2:4" x14ac:dyDescent="0.2">
      <c r="B56" s="61" t="s">
        <v>43</v>
      </c>
    </row>
    <row r="57" spans="2:4" x14ac:dyDescent="0.2">
      <c r="B57" s="48" t="s">
        <v>69</v>
      </c>
      <c r="C57" s="138">
        <f>$I$18</f>
        <v>0</v>
      </c>
    </row>
    <row r="58" spans="2:4" x14ac:dyDescent="0.2">
      <c r="B58" s="48" t="s">
        <v>70</v>
      </c>
      <c r="C58" s="48">
        <v>10</v>
      </c>
    </row>
    <row r="59" spans="2:4" x14ac:dyDescent="0.2">
      <c r="C59" s="140"/>
    </row>
    <row r="61" spans="2:4" x14ac:dyDescent="0.2">
      <c r="B61" s="131" t="s">
        <v>62</v>
      </c>
      <c r="C61" s="146" t="s">
        <v>46</v>
      </c>
      <c r="D61" s="131" t="s">
        <v>73</v>
      </c>
    </row>
    <row r="62" spans="2:4" x14ac:dyDescent="0.2">
      <c r="B62" s="48">
        <v>1</v>
      </c>
      <c r="C62" s="138">
        <f t="shared" ref="C62:C71" si="2">$C$57*D62</f>
        <v>0</v>
      </c>
      <c r="D62" s="147">
        <v>0.1</v>
      </c>
    </row>
    <row r="63" spans="2:4" x14ac:dyDescent="0.2">
      <c r="B63" s="48">
        <v>2</v>
      </c>
      <c r="C63" s="138">
        <f t="shared" si="2"/>
        <v>0</v>
      </c>
      <c r="D63" s="147">
        <v>0.14000000000000001</v>
      </c>
    </row>
    <row r="64" spans="2:4" x14ac:dyDescent="0.2">
      <c r="B64" s="48">
        <v>3</v>
      </c>
      <c r="C64" s="138">
        <f t="shared" si="2"/>
        <v>0</v>
      </c>
      <c r="D64" s="147">
        <v>0.14000000000000001</v>
      </c>
    </row>
    <row r="65" spans="2:12" x14ac:dyDescent="0.2">
      <c r="B65" s="48">
        <v>4</v>
      </c>
      <c r="C65" s="138">
        <f t="shared" si="2"/>
        <v>0</v>
      </c>
      <c r="D65" s="147">
        <v>0.14000000000000001</v>
      </c>
    </row>
    <row r="66" spans="2:12" x14ac:dyDescent="0.2">
      <c r="B66" s="48">
        <v>5</v>
      </c>
      <c r="C66" s="138">
        <f t="shared" si="2"/>
        <v>0</v>
      </c>
      <c r="D66" s="147">
        <v>0.14000000000000001</v>
      </c>
    </row>
    <row r="67" spans="2:12" x14ac:dyDescent="0.2">
      <c r="B67" s="48">
        <v>6</v>
      </c>
      <c r="C67" s="138">
        <f t="shared" si="2"/>
        <v>0</v>
      </c>
      <c r="D67" s="147">
        <v>0.14000000000000001</v>
      </c>
    </row>
    <row r="68" spans="2:12" x14ac:dyDescent="0.2">
      <c r="B68" s="48">
        <v>7</v>
      </c>
      <c r="C68" s="138">
        <f t="shared" si="2"/>
        <v>0</v>
      </c>
      <c r="D68" s="147">
        <v>0.14000000000000001</v>
      </c>
    </row>
    <row r="69" spans="2:12" x14ac:dyDescent="0.2">
      <c r="B69" s="48">
        <v>8</v>
      </c>
      <c r="C69" s="138">
        <f t="shared" si="2"/>
        <v>0</v>
      </c>
      <c r="D69" s="147">
        <v>0.14000000000000001</v>
      </c>
    </row>
    <row r="70" spans="2:12" x14ac:dyDescent="0.2">
      <c r="B70" s="48">
        <v>9</v>
      </c>
      <c r="C70" s="138">
        <f t="shared" si="2"/>
        <v>0</v>
      </c>
      <c r="D70" s="147">
        <v>0.14000000000000001</v>
      </c>
    </row>
    <row r="71" spans="2:12" x14ac:dyDescent="0.2">
      <c r="B71" s="48">
        <v>10</v>
      </c>
      <c r="C71" s="138">
        <f t="shared" si="2"/>
        <v>0</v>
      </c>
      <c r="D71" s="147">
        <v>0.14000000000000001</v>
      </c>
    </row>
    <row r="72" spans="2:12" x14ac:dyDescent="0.2">
      <c r="E72" s="66"/>
    </row>
    <row r="73" spans="2:12" x14ac:dyDescent="0.2">
      <c r="B73" s="61" t="s">
        <v>44</v>
      </c>
      <c r="E73" s="66"/>
      <c r="G73" s="61"/>
      <c r="H73" s="61"/>
      <c r="I73" s="61"/>
    </row>
    <row r="74" spans="2:12" x14ac:dyDescent="0.2">
      <c r="B74" s="131" t="s">
        <v>62</v>
      </c>
      <c r="C74" s="146" t="s">
        <v>46</v>
      </c>
      <c r="D74" s="131" t="s">
        <v>73</v>
      </c>
      <c r="E74" s="145"/>
      <c r="F74" s="61"/>
      <c r="G74" s="145"/>
      <c r="H74" s="145"/>
      <c r="I74" s="145"/>
      <c r="J74" s="145"/>
      <c r="K74" s="145"/>
      <c r="L74" s="145"/>
    </row>
    <row r="75" spans="2:12" x14ac:dyDescent="0.2">
      <c r="B75" s="48">
        <v>1</v>
      </c>
      <c r="C75" s="148">
        <f t="shared" ref="C75:C82" si="3">$D$27*D75</f>
        <v>37956.451377500001</v>
      </c>
      <c r="D75" s="149">
        <v>0.1429</v>
      </c>
      <c r="F75" s="145"/>
    </row>
    <row r="76" spans="2:12" x14ac:dyDescent="0.2">
      <c r="B76" s="48">
        <v>2</v>
      </c>
      <c r="C76" s="148">
        <f t="shared" si="3"/>
        <v>65049.229827500014</v>
      </c>
      <c r="D76" s="149">
        <v>0.24490000000000001</v>
      </c>
    </row>
    <row r="77" spans="2:12" x14ac:dyDescent="0.2">
      <c r="B77" s="48">
        <v>3</v>
      </c>
      <c r="C77" s="148">
        <f t="shared" si="3"/>
        <v>46456.146577500003</v>
      </c>
      <c r="D77" s="149">
        <v>0.1749</v>
      </c>
    </row>
    <row r="78" spans="2:12" x14ac:dyDescent="0.2">
      <c r="B78" s="48">
        <v>4</v>
      </c>
      <c r="C78" s="148">
        <f t="shared" si="3"/>
        <v>33175.372827500003</v>
      </c>
      <c r="D78" s="149">
        <v>0.1249</v>
      </c>
    </row>
    <row r="79" spans="2:12" x14ac:dyDescent="0.2">
      <c r="B79" s="48">
        <v>5</v>
      </c>
      <c r="C79" s="148">
        <f t="shared" si="3"/>
        <v>23719.461917500004</v>
      </c>
      <c r="D79" s="149">
        <v>8.9300000000000004E-2</v>
      </c>
    </row>
    <row r="80" spans="2:12" x14ac:dyDescent="0.2">
      <c r="B80" s="48">
        <v>6</v>
      </c>
      <c r="C80" s="148">
        <f t="shared" si="3"/>
        <v>23692.900370000003</v>
      </c>
      <c r="D80" s="149">
        <v>8.9200000000000002E-2</v>
      </c>
    </row>
    <row r="81" spans="2:5" x14ac:dyDescent="0.2">
      <c r="B81" s="48">
        <v>7</v>
      </c>
      <c r="C81" s="148">
        <f t="shared" si="3"/>
        <v>23719.461917500004</v>
      </c>
      <c r="D81" s="149">
        <v>8.9300000000000004E-2</v>
      </c>
    </row>
    <row r="82" spans="2:5" x14ac:dyDescent="0.2">
      <c r="B82" s="48">
        <v>8</v>
      </c>
      <c r="C82" s="148">
        <f t="shared" si="3"/>
        <v>11846.450185000002</v>
      </c>
      <c r="D82" s="149">
        <v>4.4600000000000001E-2</v>
      </c>
    </row>
    <row r="84" spans="2:5" x14ac:dyDescent="0.2">
      <c r="B84" s="61"/>
    </row>
    <row r="85" spans="2:5" x14ac:dyDescent="0.2">
      <c r="B85" s="131"/>
      <c r="C85" s="146"/>
      <c r="D85" s="131"/>
    </row>
    <row r="86" spans="2:5" x14ac:dyDescent="0.2">
      <c r="C86" s="148"/>
      <c r="D86" s="150"/>
    </row>
    <row r="87" spans="2:5" x14ac:dyDescent="0.2">
      <c r="C87" s="148"/>
      <c r="D87" s="150"/>
    </row>
    <row r="88" spans="2:5" x14ac:dyDescent="0.2">
      <c r="C88" s="148"/>
      <c r="D88" s="150"/>
    </row>
    <row r="89" spans="2:5" x14ac:dyDescent="0.2">
      <c r="C89" s="148"/>
      <c r="D89" s="150"/>
    </row>
    <row r="90" spans="2:5" x14ac:dyDescent="0.2">
      <c r="C90" s="148"/>
      <c r="D90" s="150"/>
    </row>
    <row r="91" spans="2:5" x14ac:dyDescent="0.2">
      <c r="C91" s="148"/>
      <c r="D91" s="150"/>
    </row>
    <row r="92" spans="2:5" x14ac:dyDescent="0.2">
      <c r="E92" s="54"/>
    </row>
    <row r="93" spans="2:5" ht="13.5" x14ac:dyDescent="0.2">
      <c r="E93" s="151"/>
    </row>
    <row r="94" spans="2:5" ht="13.5" x14ac:dyDescent="0.2">
      <c r="E94" s="151"/>
    </row>
    <row r="95" spans="2:5" ht="13.5" x14ac:dyDescent="0.2">
      <c r="E95" s="151"/>
    </row>
    <row r="96" spans="2:5" ht="13.5" x14ac:dyDescent="0.2">
      <c r="E96" s="151"/>
    </row>
    <row r="97" spans="5:5" ht="13.5" x14ac:dyDescent="0.2">
      <c r="E97" s="151"/>
    </row>
    <row r="98" spans="5:5" ht="13.5" x14ac:dyDescent="0.2">
      <c r="E98" s="151"/>
    </row>
    <row r="99" spans="5:5" ht="13.5" x14ac:dyDescent="0.2">
      <c r="E99" s="151"/>
    </row>
    <row r="100" spans="5:5" ht="13.5" x14ac:dyDescent="0.2">
      <c r="E100" s="151"/>
    </row>
    <row r="101" spans="5:5" x14ac:dyDescent="0.2">
      <c r="E101" s="54"/>
    </row>
    <row r="102" spans="5:5" x14ac:dyDescent="0.2">
      <c r="E102" s="54"/>
    </row>
    <row r="109" spans="5:5" ht="13.5" x14ac:dyDescent="0.2">
      <c r="E109" s="152"/>
    </row>
    <row r="110" spans="5:5" ht="13.5" x14ac:dyDescent="0.2">
      <c r="E110" s="152"/>
    </row>
    <row r="111" spans="5:5" ht="13.5" x14ac:dyDescent="0.2">
      <c r="E111" s="152"/>
    </row>
    <row r="112" spans="5:5" ht="13.5" x14ac:dyDescent="0.2">
      <c r="E112" s="152"/>
    </row>
    <row r="113" spans="5:5" ht="13.5" x14ac:dyDescent="0.2">
      <c r="E113" s="152"/>
    </row>
    <row r="114" spans="5:5" ht="13.5" x14ac:dyDescent="0.2">
      <c r="E114" s="152"/>
    </row>
  </sheetData>
  <sheetProtection password="E114" sheet="1" objects="1" scenarios="1" selectLockedCells="1"/>
  <mergeCells count="20">
    <mergeCell ref="G13:H13"/>
    <mergeCell ref="G14:H14"/>
    <mergeCell ref="G15:H15"/>
    <mergeCell ref="G16:H16"/>
    <mergeCell ref="B15:C15"/>
    <mergeCell ref="B16:C16"/>
    <mergeCell ref="B14:C14"/>
    <mergeCell ref="B13:C13"/>
    <mergeCell ref="G25:H25"/>
    <mergeCell ref="G26:H26"/>
    <mergeCell ref="B25:C25"/>
    <mergeCell ref="B26:C26"/>
    <mergeCell ref="G17:H17"/>
    <mergeCell ref="G22:H22"/>
    <mergeCell ref="G23:H23"/>
    <mergeCell ref="G24:H24"/>
    <mergeCell ref="B17:C17"/>
    <mergeCell ref="B22:C22"/>
    <mergeCell ref="B23:C23"/>
    <mergeCell ref="B24:C24"/>
  </mergeCells>
  <phoneticPr fontId="0" type="noConversion"/>
  <hyperlinks>
    <hyperlink ref="B3" location="'Plant, Prop &amp; Equip'!A1" display="Plant, Property, &amp; Equipment"/>
  </hyperlinks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showRowColHeaders="0" workbookViewId="0">
      <selection activeCell="B3" sqref="B3"/>
    </sheetView>
  </sheetViews>
  <sheetFormatPr defaultColWidth="8.85546875" defaultRowHeight="12.75" x14ac:dyDescent="0.2"/>
  <cols>
    <col min="1" max="1" width="5.7109375" style="156" customWidth="1"/>
    <col min="2" max="2" width="25.42578125" style="156" customWidth="1"/>
    <col min="3" max="3" width="12.42578125" style="155" customWidth="1"/>
    <col min="4" max="4" width="12.7109375" style="155" customWidth="1"/>
    <col min="5" max="5" width="13.42578125" style="155" customWidth="1"/>
    <col min="6" max="6" width="13.28515625" style="156" customWidth="1"/>
    <col min="7" max="7" width="11.7109375" style="156" bestFit="1" customWidth="1"/>
    <col min="8" max="8" width="10.42578125" style="156" customWidth="1"/>
    <col min="9" max="257" width="8.85546875" style="156"/>
    <col min="258" max="258" width="25.42578125" style="156" customWidth="1"/>
    <col min="259" max="259" width="12.42578125" style="156" customWidth="1"/>
    <col min="260" max="260" width="12.7109375" style="156" customWidth="1"/>
    <col min="261" max="261" width="12.28515625" style="156" customWidth="1"/>
    <col min="262" max="262" width="10.7109375" style="156" customWidth="1"/>
    <col min="263" max="263" width="11.7109375" style="156" bestFit="1" customWidth="1"/>
    <col min="264" max="264" width="10.42578125" style="156" customWidth="1"/>
    <col min="265" max="513" width="8.85546875" style="156"/>
    <col min="514" max="514" width="25.42578125" style="156" customWidth="1"/>
    <col min="515" max="515" width="12.42578125" style="156" customWidth="1"/>
    <col min="516" max="516" width="12.7109375" style="156" customWidth="1"/>
    <col min="517" max="517" width="12.28515625" style="156" customWidth="1"/>
    <col min="518" max="518" width="10.7109375" style="156" customWidth="1"/>
    <col min="519" max="519" width="11.7109375" style="156" bestFit="1" customWidth="1"/>
    <col min="520" max="520" width="10.42578125" style="156" customWidth="1"/>
    <col min="521" max="769" width="8.85546875" style="156"/>
    <col min="770" max="770" width="25.42578125" style="156" customWidth="1"/>
    <col min="771" max="771" width="12.42578125" style="156" customWidth="1"/>
    <col min="772" max="772" width="12.7109375" style="156" customWidth="1"/>
    <col min="773" max="773" width="12.28515625" style="156" customWidth="1"/>
    <col min="774" max="774" width="10.7109375" style="156" customWidth="1"/>
    <col min="775" max="775" width="11.7109375" style="156" bestFit="1" customWidth="1"/>
    <col min="776" max="776" width="10.42578125" style="156" customWidth="1"/>
    <col min="777" max="1025" width="8.85546875" style="156"/>
    <col min="1026" max="1026" width="25.42578125" style="156" customWidth="1"/>
    <col min="1027" max="1027" width="12.42578125" style="156" customWidth="1"/>
    <col min="1028" max="1028" width="12.7109375" style="156" customWidth="1"/>
    <col min="1029" max="1029" width="12.28515625" style="156" customWidth="1"/>
    <col min="1030" max="1030" width="10.7109375" style="156" customWidth="1"/>
    <col min="1031" max="1031" width="11.7109375" style="156" bestFit="1" customWidth="1"/>
    <col min="1032" max="1032" width="10.42578125" style="156" customWidth="1"/>
    <col min="1033" max="1281" width="8.85546875" style="156"/>
    <col min="1282" max="1282" width="25.42578125" style="156" customWidth="1"/>
    <col min="1283" max="1283" width="12.42578125" style="156" customWidth="1"/>
    <col min="1284" max="1284" width="12.7109375" style="156" customWidth="1"/>
    <col min="1285" max="1285" width="12.28515625" style="156" customWidth="1"/>
    <col min="1286" max="1286" width="10.7109375" style="156" customWidth="1"/>
    <col min="1287" max="1287" width="11.7109375" style="156" bestFit="1" customWidth="1"/>
    <col min="1288" max="1288" width="10.42578125" style="156" customWidth="1"/>
    <col min="1289" max="1537" width="8.85546875" style="156"/>
    <col min="1538" max="1538" width="25.42578125" style="156" customWidth="1"/>
    <col min="1539" max="1539" width="12.42578125" style="156" customWidth="1"/>
    <col min="1540" max="1540" width="12.7109375" style="156" customWidth="1"/>
    <col min="1541" max="1541" width="12.28515625" style="156" customWidth="1"/>
    <col min="1542" max="1542" width="10.7109375" style="156" customWidth="1"/>
    <col min="1543" max="1543" width="11.7109375" style="156" bestFit="1" customWidth="1"/>
    <col min="1544" max="1544" width="10.42578125" style="156" customWidth="1"/>
    <col min="1545" max="1793" width="8.85546875" style="156"/>
    <col min="1794" max="1794" width="25.42578125" style="156" customWidth="1"/>
    <col min="1795" max="1795" width="12.42578125" style="156" customWidth="1"/>
    <col min="1796" max="1796" width="12.7109375" style="156" customWidth="1"/>
    <col min="1797" max="1797" width="12.28515625" style="156" customWidth="1"/>
    <col min="1798" max="1798" width="10.7109375" style="156" customWidth="1"/>
    <col min="1799" max="1799" width="11.7109375" style="156" bestFit="1" customWidth="1"/>
    <col min="1800" max="1800" width="10.42578125" style="156" customWidth="1"/>
    <col min="1801" max="2049" width="8.85546875" style="156"/>
    <col min="2050" max="2050" width="25.42578125" style="156" customWidth="1"/>
    <col min="2051" max="2051" width="12.42578125" style="156" customWidth="1"/>
    <col min="2052" max="2052" width="12.7109375" style="156" customWidth="1"/>
    <col min="2053" max="2053" width="12.28515625" style="156" customWidth="1"/>
    <col min="2054" max="2054" width="10.7109375" style="156" customWidth="1"/>
    <col min="2055" max="2055" width="11.7109375" style="156" bestFit="1" customWidth="1"/>
    <col min="2056" max="2056" width="10.42578125" style="156" customWidth="1"/>
    <col min="2057" max="2305" width="8.85546875" style="156"/>
    <col min="2306" max="2306" width="25.42578125" style="156" customWidth="1"/>
    <col min="2307" max="2307" width="12.42578125" style="156" customWidth="1"/>
    <col min="2308" max="2308" width="12.7109375" style="156" customWidth="1"/>
    <col min="2309" max="2309" width="12.28515625" style="156" customWidth="1"/>
    <col min="2310" max="2310" width="10.7109375" style="156" customWidth="1"/>
    <col min="2311" max="2311" width="11.7109375" style="156" bestFit="1" customWidth="1"/>
    <col min="2312" max="2312" width="10.42578125" style="156" customWidth="1"/>
    <col min="2313" max="2561" width="8.85546875" style="156"/>
    <col min="2562" max="2562" width="25.42578125" style="156" customWidth="1"/>
    <col min="2563" max="2563" width="12.42578125" style="156" customWidth="1"/>
    <col min="2564" max="2564" width="12.7109375" style="156" customWidth="1"/>
    <col min="2565" max="2565" width="12.28515625" style="156" customWidth="1"/>
    <col min="2566" max="2566" width="10.7109375" style="156" customWidth="1"/>
    <col min="2567" max="2567" width="11.7109375" style="156" bestFit="1" customWidth="1"/>
    <col min="2568" max="2568" width="10.42578125" style="156" customWidth="1"/>
    <col min="2569" max="2817" width="8.85546875" style="156"/>
    <col min="2818" max="2818" width="25.42578125" style="156" customWidth="1"/>
    <col min="2819" max="2819" width="12.42578125" style="156" customWidth="1"/>
    <col min="2820" max="2820" width="12.7109375" style="156" customWidth="1"/>
    <col min="2821" max="2821" width="12.28515625" style="156" customWidth="1"/>
    <col min="2822" max="2822" width="10.7109375" style="156" customWidth="1"/>
    <col min="2823" max="2823" width="11.7109375" style="156" bestFit="1" customWidth="1"/>
    <col min="2824" max="2824" width="10.42578125" style="156" customWidth="1"/>
    <col min="2825" max="3073" width="8.85546875" style="156"/>
    <col min="3074" max="3074" width="25.42578125" style="156" customWidth="1"/>
    <col min="3075" max="3075" width="12.42578125" style="156" customWidth="1"/>
    <col min="3076" max="3076" width="12.7109375" style="156" customWidth="1"/>
    <col min="3077" max="3077" width="12.28515625" style="156" customWidth="1"/>
    <col min="3078" max="3078" width="10.7109375" style="156" customWidth="1"/>
    <col min="3079" max="3079" width="11.7109375" style="156" bestFit="1" customWidth="1"/>
    <col min="3080" max="3080" width="10.42578125" style="156" customWidth="1"/>
    <col min="3081" max="3329" width="8.85546875" style="156"/>
    <col min="3330" max="3330" width="25.42578125" style="156" customWidth="1"/>
    <col min="3331" max="3331" width="12.42578125" style="156" customWidth="1"/>
    <col min="3332" max="3332" width="12.7109375" style="156" customWidth="1"/>
    <col min="3333" max="3333" width="12.28515625" style="156" customWidth="1"/>
    <col min="3334" max="3334" width="10.7109375" style="156" customWidth="1"/>
    <col min="3335" max="3335" width="11.7109375" style="156" bestFit="1" customWidth="1"/>
    <col min="3336" max="3336" width="10.42578125" style="156" customWidth="1"/>
    <col min="3337" max="3585" width="8.85546875" style="156"/>
    <col min="3586" max="3586" width="25.42578125" style="156" customWidth="1"/>
    <col min="3587" max="3587" width="12.42578125" style="156" customWidth="1"/>
    <col min="3588" max="3588" width="12.7109375" style="156" customWidth="1"/>
    <col min="3589" max="3589" width="12.28515625" style="156" customWidth="1"/>
    <col min="3590" max="3590" width="10.7109375" style="156" customWidth="1"/>
    <col min="3591" max="3591" width="11.7109375" style="156" bestFit="1" customWidth="1"/>
    <col min="3592" max="3592" width="10.42578125" style="156" customWidth="1"/>
    <col min="3593" max="3841" width="8.85546875" style="156"/>
    <col min="3842" max="3842" width="25.42578125" style="156" customWidth="1"/>
    <col min="3843" max="3843" width="12.42578125" style="156" customWidth="1"/>
    <col min="3844" max="3844" width="12.7109375" style="156" customWidth="1"/>
    <col min="3845" max="3845" width="12.28515625" style="156" customWidth="1"/>
    <col min="3846" max="3846" width="10.7109375" style="156" customWidth="1"/>
    <col min="3847" max="3847" width="11.7109375" style="156" bestFit="1" customWidth="1"/>
    <col min="3848" max="3848" width="10.42578125" style="156" customWidth="1"/>
    <col min="3849" max="4097" width="8.85546875" style="156"/>
    <col min="4098" max="4098" width="25.42578125" style="156" customWidth="1"/>
    <col min="4099" max="4099" width="12.42578125" style="156" customWidth="1"/>
    <col min="4100" max="4100" width="12.7109375" style="156" customWidth="1"/>
    <col min="4101" max="4101" width="12.28515625" style="156" customWidth="1"/>
    <col min="4102" max="4102" width="10.7109375" style="156" customWidth="1"/>
    <col min="4103" max="4103" width="11.7109375" style="156" bestFit="1" customWidth="1"/>
    <col min="4104" max="4104" width="10.42578125" style="156" customWidth="1"/>
    <col min="4105" max="4353" width="8.85546875" style="156"/>
    <col min="4354" max="4354" width="25.42578125" style="156" customWidth="1"/>
    <col min="4355" max="4355" width="12.42578125" style="156" customWidth="1"/>
    <col min="4356" max="4356" width="12.7109375" style="156" customWidth="1"/>
    <col min="4357" max="4357" width="12.28515625" style="156" customWidth="1"/>
    <col min="4358" max="4358" width="10.7109375" style="156" customWidth="1"/>
    <col min="4359" max="4359" width="11.7109375" style="156" bestFit="1" customWidth="1"/>
    <col min="4360" max="4360" width="10.42578125" style="156" customWidth="1"/>
    <col min="4361" max="4609" width="8.85546875" style="156"/>
    <col min="4610" max="4610" width="25.42578125" style="156" customWidth="1"/>
    <col min="4611" max="4611" width="12.42578125" style="156" customWidth="1"/>
    <col min="4612" max="4612" width="12.7109375" style="156" customWidth="1"/>
    <col min="4613" max="4613" width="12.28515625" style="156" customWidth="1"/>
    <col min="4614" max="4614" width="10.7109375" style="156" customWidth="1"/>
    <col min="4615" max="4615" width="11.7109375" style="156" bestFit="1" customWidth="1"/>
    <col min="4616" max="4616" width="10.42578125" style="156" customWidth="1"/>
    <col min="4617" max="4865" width="8.85546875" style="156"/>
    <col min="4866" max="4866" width="25.42578125" style="156" customWidth="1"/>
    <col min="4867" max="4867" width="12.42578125" style="156" customWidth="1"/>
    <col min="4868" max="4868" width="12.7109375" style="156" customWidth="1"/>
    <col min="4869" max="4869" width="12.28515625" style="156" customWidth="1"/>
    <col min="4870" max="4870" width="10.7109375" style="156" customWidth="1"/>
    <col min="4871" max="4871" width="11.7109375" style="156" bestFit="1" customWidth="1"/>
    <col min="4872" max="4872" width="10.42578125" style="156" customWidth="1"/>
    <col min="4873" max="5121" width="8.85546875" style="156"/>
    <col min="5122" max="5122" width="25.42578125" style="156" customWidth="1"/>
    <col min="5123" max="5123" width="12.42578125" style="156" customWidth="1"/>
    <col min="5124" max="5124" width="12.7109375" style="156" customWidth="1"/>
    <col min="5125" max="5125" width="12.28515625" style="156" customWidth="1"/>
    <col min="5126" max="5126" width="10.7109375" style="156" customWidth="1"/>
    <col min="5127" max="5127" width="11.7109375" style="156" bestFit="1" customWidth="1"/>
    <col min="5128" max="5128" width="10.42578125" style="156" customWidth="1"/>
    <col min="5129" max="5377" width="8.85546875" style="156"/>
    <col min="5378" max="5378" width="25.42578125" style="156" customWidth="1"/>
    <col min="5379" max="5379" width="12.42578125" style="156" customWidth="1"/>
    <col min="5380" max="5380" width="12.7109375" style="156" customWidth="1"/>
    <col min="5381" max="5381" width="12.28515625" style="156" customWidth="1"/>
    <col min="5382" max="5382" width="10.7109375" style="156" customWidth="1"/>
    <col min="5383" max="5383" width="11.7109375" style="156" bestFit="1" customWidth="1"/>
    <col min="5384" max="5384" width="10.42578125" style="156" customWidth="1"/>
    <col min="5385" max="5633" width="8.85546875" style="156"/>
    <col min="5634" max="5634" width="25.42578125" style="156" customWidth="1"/>
    <col min="5635" max="5635" width="12.42578125" style="156" customWidth="1"/>
    <col min="5636" max="5636" width="12.7109375" style="156" customWidth="1"/>
    <col min="5637" max="5637" width="12.28515625" style="156" customWidth="1"/>
    <col min="5638" max="5638" width="10.7109375" style="156" customWidth="1"/>
    <col min="5639" max="5639" width="11.7109375" style="156" bestFit="1" customWidth="1"/>
    <col min="5640" max="5640" width="10.42578125" style="156" customWidth="1"/>
    <col min="5641" max="5889" width="8.85546875" style="156"/>
    <col min="5890" max="5890" width="25.42578125" style="156" customWidth="1"/>
    <col min="5891" max="5891" width="12.42578125" style="156" customWidth="1"/>
    <col min="5892" max="5892" width="12.7109375" style="156" customWidth="1"/>
    <col min="5893" max="5893" width="12.28515625" style="156" customWidth="1"/>
    <col min="5894" max="5894" width="10.7109375" style="156" customWidth="1"/>
    <col min="5895" max="5895" width="11.7109375" style="156" bestFit="1" customWidth="1"/>
    <col min="5896" max="5896" width="10.42578125" style="156" customWidth="1"/>
    <col min="5897" max="6145" width="8.85546875" style="156"/>
    <col min="6146" max="6146" width="25.42578125" style="156" customWidth="1"/>
    <col min="6147" max="6147" width="12.42578125" style="156" customWidth="1"/>
    <col min="6148" max="6148" width="12.7109375" style="156" customWidth="1"/>
    <col min="6149" max="6149" width="12.28515625" style="156" customWidth="1"/>
    <col min="6150" max="6150" width="10.7109375" style="156" customWidth="1"/>
    <col min="6151" max="6151" width="11.7109375" style="156" bestFit="1" customWidth="1"/>
    <col min="6152" max="6152" width="10.42578125" style="156" customWidth="1"/>
    <col min="6153" max="6401" width="8.85546875" style="156"/>
    <col min="6402" max="6402" width="25.42578125" style="156" customWidth="1"/>
    <col min="6403" max="6403" width="12.42578125" style="156" customWidth="1"/>
    <col min="6404" max="6404" width="12.7109375" style="156" customWidth="1"/>
    <col min="6405" max="6405" width="12.28515625" style="156" customWidth="1"/>
    <col min="6406" max="6406" width="10.7109375" style="156" customWidth="1"/>
    <col min="6407" max="6407" width="11.7109375" style="156" bestFit="1" customWidth="1"/>
    <col min="6408" max="6408" width="10.42578125" style="156" customWidth="1"/>
    <col min="6409" max="6657" width="8.85546875" style="156"/>
    <col min="6658" max="6658" width="25.42578125" style="156" customWidth="1"/>
    <col min="6659" max="6659" width="12.42578125" style="156" customWidth="1"/>
    <col min="6660" max="6660" width="12.7109375" style="156" customWidth="1"/>
    <col min="6661" max="6661" width="12.28515625" style="156" customWidth="1"/>
    <col min="6662" max="6662" width="10.7109375" style="156" customWidth="1"/>
    <col min="6663" max="6663" width="11.7109375" style="156" bestFit="1" customWidth="1"/>
    <col min="6664" max="6664" width="10.42578125" style="156" customWidth="1"/>
    <col min="6665" max="6913" width="8.85546875" style="156"/>
    <col min="6914" max="6914" width="25.42578125" style="156" customWidth="1"/>
    <col min="6915" max="6915" width="12.42578125" style="156" customWidth="1"/>
    <col min="6916" max="6916" width="12.7109375" style="156" customWidth="1"/>
    <col min="6917" max="6917" width="12.28515625" style="156" customWidth="1"/>
    <col min="6918" max="6918" width="10.7109375" style="156" customWidth="1"/>
    <col min="6919" max="6919" width="11.7109375" style="156" bestFit="1" customWidth="1"/>
    <col min="6920" max="6920" width="10.42578125" style="156" customWidth="1"/>
    <col min="6921" max="7169" width="8.85546875" style="156"/>
    <col min="7170" max="7170" width="25.42578125" style="156" customWidth="1"/>
    <col min="7171" max="7171" width="12.42578125" style="156" customWidth="1"/>
    <col min="7172" max="7172" width="12.7109375" style="156" customWidth="1"/>
    <col min="7173" max="7173" width="12.28515625" style="156" customWidth="1"/>
    <col min="7174" max="7174" width="10.7109375" style="156" customWidth="1"/>
    <col min="7175" max="7175" width="11.7109375" style="156" bestFit="1" customWidth="1"/>
    <col min="7176" max="7176" width="10.42578125" style="156" customWidth="1"/>
    <col min="7177" max="7425" width="8.85546875" style="156"/>
    <col min="7426" max="7426" width="25.42578125" style="156" customWidth="1"/>
    <col min="7427" max="7427" width="12.42578125" style="156" customWidth="1"/>
    <col min="7428" max="7428" width="12.7109375" style="156" customWidth="1"/>
    <col min="7429" max="7429" width="12.28515625" style="156" customWidth="1"/>
    <col min="7430" max="7430" width="10.7109375" style="156" customWidth="1"/>
    <col min="7431" max="7431" width="11.7109375" style="156" bestFit="1" customWidth="1"/>
    <col min="7432" max="7432" width="10.42578125" style="156" customWidth="1"/>
    <col min="7433" max="7681" width="8.85546875" style="156"/>
    <col min="7682" max="7682" width="25.42578125" style="156" customWidth="1"/>
    <col min="7683" max="7683" width="12.42578125" style="156" customWidth="1"/>
    <col min="7684" max="7684" width="12.7109375" style="156" customWidth="1"/>
    <col min="7685" max="7685" width="12.28515625" style="156" customWidth="1"/>
    <col min="7686" max="7686" width="10.7109375" style="156" customWidth="1"/>
    <col min="7687" max="7687" width="11.7109375" style="156" bestFit="1" customWidth="1"/>
    <col min="7688" max="7688" width="10.42578125" style="156" customWidth="1"/>
    <col min="7689" max="7937" width="8.85546875" style="156"/>
    <col min="7938" max="7938" width="25.42578125" style="156" customWidth="1"/>
    <col min="7939" max="7939" width="12.42578125" style="156" customWidth="1"/>
    <col min="7940" max="7940" width="12.7109375" style="156" customWidth="1"/>
    <col min="7941" max="7941" width="12.28515625" style="156" customWidth="1"/>
    <col min="7942" max="7942" width="10.7109375" style="156" customWidth="1"/>
    <col min="7943" max="7943" width="11.7109375" style="156" bestFit="1" customWidth="1"/>
    <col min="7944" max="7944" width="10.42578125" style="156" customWidth="1"/>
    <col min="7945" max="8193" width="8.85546875" style="156"/>
    <col min="8194" max="8194" width="25.42578125" style="156" customWidth="1"/>
    <col min="8195" max="8195" width="12.42578125" style="156" customWidth="1"/>
    <col min="8196" max="8196" width="12.7109375" style="156" customWidth="1"/>
    <col min="8197" max="8197" width="12.28515625" style="156" customWidth="1"/>
    <col min="8198" max="8198" width="10.7109375" style="156" customWidth="1"/>
    <col min="8199" max="8199" width="11.7109375" style="156" bestFit="1" customWidth="1"/>
    <col min="8200" max="8200" width="10.42578125" style="156" customWidth="1"/>
    <col min="8201" max="8449" width="8.85546875" style="156"/>
    <col min="8450" max="8450" width="25.42578125" style="156" customWidth="1"/>
    <col min="8451" max="8451" width="12.42578125" style="156" customWidth="1"/>
    <col min="8452" max="8452" width="12.7109375" style="156" customWidth="1"/>
    <col min="8453" max="8453" width="12.28515625" style="156" customWidth="1"/>
    <col min="8454" max="8454" width="10.7109375" style="156" customWidth="1"/>
    <col min="8455" max="8455" width="11.7109375" style="156" bestFit="1" customWidth="1"/>
    <col min="8456" max="8456" width="10.42578125" style="156" customWidth="1"/>
    <col min="8457" max="8705" width="8.85546875" style="156"/>
    <col min="8706" max="8706" width="25.42578125" style="156" customWidth="1"/>
    <col min="8707" max="8707" width="12.42578125" style="156" customWidth="1"/>
    <col min="8708" max="8708" width="12.7109375" style="156" customWidth="1"/>
    <col min="8709" max="8709" width="12.28515625" style="156" customWidth="1"/>
    <col min="8710" max="8710" width="10.7109375" style="156" customWidth="1"/>
    <col min="8711" max="8711" width="11.7109375" style="156" bestFit="1" customWidth="1"/>
    <col min="8712" max="8712" width="10.42578125" style="156" customWidth="1"/>
    <col min="8713" max="8961" width="8.85546875" style="156"/>
    <col min="8962" max="8962" width="25.42578125" style="156" customWidth="1"/>
    <col min="8963" max="8963" width="12.42578125" style="156" customWidth="1"/>
    <col min="8964" max="8964" width="12.7109375" style="156" customWidth="1"/>
    <col min="8965" max="8965" width="12.28515625" style="156" customWidth="1"/>
    <col min="8966" max="8966" width="10.7109375" style="156" customWidth="1"/>
    <col min="8967" max="8967" width="11.7109375" style="156" bestFit="1" customWidth="1"/>
    <col min="8968" max="8968" width="10.42578125" style="156" customWidth="1"/>
    <col min="8969" max="9217" width="8.85546875" style="156"/>
    <col min="9218" max="9218" width="25.42578125" style="156" customWidth="1"/>
    <col min="9219" max="9219" width="12.42578125" style="156" customWidth="1"/>
    <col min="9220" max="9220" width="12.7109375" style="156" customWidth="1"/>
    <col min="9221" max="9221" width="12.28515625" style="156" customWidth="1"/>
    <col min="9222" max="9222" width="10.7109375" style="156" customWidth="1"/>
    <col min="9223" max="9223" width="11.7109375" style="156" bestFit="1" customWidth="1"/>
    <col min="9224" max="9224" width="10.42578125" style="156" customWidth="1"/>
    <col min="9225" max="9473" width="8.85546875" style="156"/>
    <col min="9474" max="9474" width="25.42578125" style="156" customWidth="1"/>
    <col min="9475" max="9475" width="12.42578125" style="156" customWidth="1"/>
    <col min="9476" max="9476" width="12.7109375" style="156" customWidth="1"/>
    <col min="9477" max="9477" width="12.28515625" style="156" customWidth="1"/>
    <col min="9478" max="9478" width="10.7109375" style="156" customWidth="1"/>
    <col min="9479" max="9479" width="11.7109375" style="156" bestFit="1" customWidth="1"/>
    <col min="9480" max="9480" width="10.42578125" style="156" customWidth="1"/>
    <col min="9481" max="9729" width="8.85546875" style="156"/>
    <col min="9730" max="9730" width="25.42578125" style="156" customWidth="1"/>
    <col min="9731" max="9731" width="12.42578125" style="156" customWidth="1"/>
    <col min="9732" max="9732" width="12.7109375" style="156" customWidth="1"/>
    <col min="9733" max="9733" width="12.28515625" style="156" customWidth="1"/>
    <col min="9734" max="9734" width="10.7109375" style="156" customWidth="1"/>
    <col min="9735" max="9735" width="11.7109375" style="156" bestFit="1" customWidth="1"/>
    <col min="9736" max="9736" width="10.42578125" style="156" customWidth="1"/>
    <col min="9737" max="9985" width="8.85546875" style="156"/>
    <col min="9986" max="9986" width="25.42578125" style="156" customWidth="1"/>
    <col min="9987" max="9987" width="12.42578125" style="156" customWidth="1"/>
    <col min="9988" max="9988" width="12.7109375" style="156" customWidth="1"/>
    <col min="9989" max="9989" width="12.28515625" style="156" customWidth="1"/>
    <col min="9990" max="9990" width="10.7109375" style="156" customWidth="1"/>
    <col min="9991" max="9991" width="11.7109375" style="156" bestFit="1" customWidth="1"/>
    <col min="9992" max="9992" width="10.42578125" style="156" customWidth="1"/>
    <col min="9993" max="10241" width="8.85546875" style="156"/>
    <col min="10242" max="10242" width="25.42578125" style="156" customWidth="1"/>
    <col min="10243" max="10243" width="12.42578125" style="156" customWidth="1"/>
    <col min="10244" max="10244" width="12.7109375" style="156" customWidth="1"/>
    <col min="10245" max="10245" width="12.28515625" style="156" customWidth="1"/>
    <col min="10246" max="10246" width="10.7109375" style="156" customWidth="1"/>
    <col min="10247" max="10247" width="11.7109375" style="156" bestFit="1" customWidth="1"/>
    <col min="10248" max="10248" width="10.42578125" style="156" customWidth="1"/>
    <col min="10249" max="10497" width="8.85546875" style="156"/>
    <col min="10498" max="10498" width="25.42578125" style="156" customWidth="1"/>
    <col min="10499" max="10499" width="12.42578125" style="156" customWidth="1"/>
    <col min="10500" max="10500" width="12.7109375" style="156" customWidth="1"/>
    <col min="10501" max="10501" width="12.28515625" style="156" customWidth="1"/>
    <col min="10502" max="10502" width="10.7109375" style="156" customWidth="1"/>
    <col min="10503" max="10503" width="11.7109375" style="156" bestFit="1" customWidth="1"/>
    <col min="10504" max="10504" width="10.42578125" style="156" customWidth="1"/>
    <col min="10505" max="10753" width="8.85546875" style="156"/>
    <col min="10754" max="10754" width="25.42578125" style="156" customWidth="1"/>
    <col min="10755" max="10755" width="12.42578125" style="156" customWidth="1"/>
    <col min="10756" max="10756" width="12.7109375" style="156" customWidth="1"/>
    <col min="10757" max="10757" width="12.28515625" style="156" customWidth="1"/>
    <col min="10758" max="10758" width="10.7109375" style="156" customWidth="1"/>
    <col min="10759" max="10759" width="11.7109375" style="156" bestFit="1" customWidth="1"/>
    <col min="10760" max="10760" width="10.42578125" style="156" customWidth="1"/>
    <col min="10761" max="11009" width="8.85546875" style="156"/>
    <col min="11010" max="11010" width="25.42578125" style="156" customWidth="1"/>
    <col min="11011" max="11011" width="12.42578125" style="156" customWidth="1"/>
    <col min="11012" max="11012" width="12.7109375" style="156" customWidth="1"/>
    <col min="11013" max="11013" width="12.28515625" style="156" customWidth="1"/>
    <col min="11014" max="11014" width="10.7109375" style="156" customWidth="1"/>
    <col min="11015" max="11015" width="11.7109375" style="156" bestFit="1" customWidth="1"/>
    <col min="11016" max="11016" width="10.42578125" style="156" customWidth="1"/>
    <col min="11017" max="11265" width="8.85546875" style="156"/>
    <col min="11266" max="11266" width="25.42578125" style="156" customWidth="1"/>
    <col min="11267" max="11267" width="12.42578125" style="156" customWidth="1"/>
    <col min="11268" max="11268" width="12.7109375" style="156" customWidth="1"/>
    <col min="11269" max="11269" width="12.28515625" style="156" customWidth="1"/>
    <col min="11270" max="11270" width="10.7109375" style="156" customWidth="1"/>
    <col min="11271" max="11271" width="11.7109375" style="156" bestFit="1" customWidth="1"/>
    <col min="11272" max="11272" width="10.42578125" style="156" customWidth="1"/>
    <col min="11273" max="11521" width="8.85546875" style="156"/>
    <col min="11522" max="11522" width="25.42578125" style="156" customWidth="1"/>
    <col min="11523" max="11523" width="12.42578125" style="156" customWidth="1"/>
    <col min="11524" max="11524" width="12.7109375" style="156" customWidth="1"/>
    <col min="11525" max="11525" width="12.28515625" style="156" customWidth="1"/>
    <col min="11526" max="11526" width="10.7109375" style="156" customWidth="1"/>
    <col min="11527" max="11527" width="11.7109375" style="156" bestFit="1" customWidth="1"/>
    <col min="11528" max="11528" width="10.42578125" style="156" customWidth="1"/>
    <col min="11529" max="11777" width="8.85546875" style="156"/>
    <col min="11778" max="11778" width="25.42578125" style="156" customWidth="1"/>
    <col min="11779" max="11779" width="12.42578125" style="156" customWidth="1"/>
    <col min="11780" max="11780" width="12.7109375" style="156" customWidth="1"/>
    <col min="11781" max="11781" width="12.28515625" style="156" customWidth="1"/>
    <col min="11782" max="11782" width="10.7109375" style="156" customWidth="1"/>
    <col min="11783" max="11783" width="11.7109375" style="156" bestFit="1" customWidth="1"/>
    <col min="11784" max="11784" width="10.42578125" style="156" customWidth="1"/>
    <col min="11785" max="12033" width="8.85546875" style="156"/>
    <col min="12034" max="12034" width="25.42578125" style="156" customWidth="1"/>
    <col min="12035" max="12035" width="12.42578125" style="156" customWidth="1"/>
    <col min="12036" max="12036" width="12.7109375" style="156" customWidth="1"/>
    <col min="12037" max="12037" width="12.28515625" style="156" customWidth="1"/>
    <col min="12038" max="12038" width="10.7109375" style="156" customWidth="1"/>
    <col min="12039" max="12039" width="11.7109375" style="156" bestFit="1" customWidth="1"/>
    <col min="12040" max="12040" width="10.42578125" style="156" customWidth="1"/>
    <col min="12041" max="12289" width="8.85546875" style="156"/>
    <col min="12290" max="12290" width="25.42578125" style="156" customWidth="1"/>
    <col min="12291" max="12291" width="12.42578125" style="156" customWidth="1"/>
    <col min="12292" max="12292" width="12.7109375" style="156" customWidth="1"/>
    <col min="12293" max="12293" width="12.28515625" style="156" customWidth="1"/>
    <col min="12294" max="12294" width="10.7109375" style="156" customWidth="1"/>
    <col min="12295" max="12295" width="11.7109375" style="156" bestFit="1" customWidth="1"/>
    <col min="12296" max="12296" width="10.42578125" style="156" customWidth="1"/>
    <col min="12297" max="12545" width="8.85546875" style="156"/>
    <col min="12546" max="12546" width="25.42578125" style="156" customWidth="1"/>
    <col min="12547" max="12547" width="12.42578125" style="156" customWidth="1"/>
    <col min="12548" max="12548" width="12.7109375" style="156" customWidth="1"/>
    <col min="12549" max="12549" width="12.28515625" style="156" customWidth="1"/>
    <col min="12550" max="12550" width="10.7109375" style="156" customWidth="1"/>
    <col min="12551" max="12551" width="11.7109375" style="156" bestFit="1" customWidth="1"/>
    <col min="12552" max="12552" width="10.42578125" style="156" customWidth="1"/>
    <col min="12553" max="12801" width="8.85546875" style="156"/>
    <col min="12802" max="12802" width="25.42578125" style="156" customWidth="1"/>
    <col min="12803" max="12803" width="12.42578125" style="156" customWidth="1"/>
    <col min="12804" max="12804" width="12.7109375" style="156" customWidth="1"/>
    <col min="12805" max="12805" width="12.28515625" style="156" customWidth="1"/>
    <col min="12806" max="12806" width="10.7109375" style="156" customWidth="1"/>
    <col min="12807" max="12807" width="11.7109375" style="156" bestFit="1" customWidth="1"/>
    <col min="12808" max="12808" width="10.42578125" style="156" customWidth="1"/>
    <col min="12809" max="13057" width="8.85546875" style="156"/>
    <col min="13058" max="13058" width="25.42578125" style="156" customWidth="1"/>
    <col min="13059" max="13059" width="12.42578125" style="156" customWidth="1"/>
    <col min="13060" max="13060" width="12.7109375" style="156" customWidth="1"/>
    <col min="13061" max="13061" width="12.28515625" style="156" customWidth="1"/>
    <col min="13062" max="13062" width="10.7109375" style="156" customWidth="1"/>
    <col min="13063" max="13063" width="11.7109375" style="156" bestFit="1" customWidth="1"/>
    <col min="13064" max="13064" width="10.42578125" style="156" customWidth="1"/>
    <col min="13065" max="13313" width="8.85546875" style="156"/>
    <col min="13314" max="13314" width="25.42578125" style="156" customWidth="1"/>
    <col min="13315" max="13315" width="12.42578125" style="156" customWidth="1"/>
    <col min="13316" max="13316" width="12.7109375" style="156" customWidth="1"/>
    <col min="13317" max="13317" width="12.28515625" style="156" customWidth="1"/>
    <col min="13318" max="13318" width="10.7109375" style="156" customWidth="1"/>
    <col min="13319" max="13319" width="11.7109375" style="156" bestFit="1" customWidth="1"/>
    <col min="13320" max="13320" width="10.42578125" style="156" customWidth="1"/>
    <col min="13321" max="13569" width="8.85546875" style="156"/>
    <col min="13570" max="13570" width="25.42578125" style="156" customWidth="1"/>
    <col min="13571" max="13571" width="12.42578125" style="156" customWidth="1"/>
    <col min="13572" max="13572" width="12.7109375" style="156" customWidth="1"/>
    <col min="13573" max="13573" width="12.28515625" style="156" customWidth="1"/>
    <col min="13574" max="13574" width="10.7109375" style="156" customWidth="1"/>
    <col min="13575" max="13575" width="11.7109375" style="156" bestFit="1" customWidth="1"/>
    <col min="13576" max="13576" width="10.42578125" style="156" customWidth="1"/>
    <col min="13577" max="13825" width="8.85546875" style="156"/>
    <col min="13826" max="13826" width="25.42578125" style="156" customWidth="1"/>
    <col min="13827" max="13827" width="12.42578125" style="156" customWidth="1"/>
    <col min="13828" max="13828" width="12.7109375" style="156" customWidth="1"/>
    <col min="13829" max="13829" width="12.28515625" style="156" customWidth="1"/>
    <col min="13830" max="13830" width="10.7109375" style="156" customWidth="1"/>
    <col min="13831" max="13831" width="11.7109375" style="156" bestFit="1" customWidth="1"/>
    <col min="13832" max="13832" width="10.42578125" style="156" customWidth="1"/>
    <col min="13833" max="14081" width="8.85546875" style="156"/>
    <col min="14082" max="14082" width="25.42578125" style="156" customWidth="1"/>
    <col min="14083" max="14083" width="12.42578125" style="156" customWidth="1"/>
    <col min="14084" max="14084" width="12.7109375" style="156" customWidth="1"/>
    <col min="14085" max="14085" width="12.28515625" style="156" customWidth="1"/>
    <col min="14086" max="14086" width="10.7109375" style="156" customWidth="1"/>
    <col min="14087" max="14087" width="11.7109375" style="156" bestFit="1" customWidth="1"/>
    <col min="14088" max="14088" width="10.42578125" style="156" customWidth="1"/>
    <col min="14089" max="14337" width="8.85546875" style="156"/>
    <col min="14338" max="14338" width="25.42578125" style="156" customWidth="1"/>
    <col min="14339" max="14339" width="12.42578125" style="156" customWidth="1"/>
    <col min="14340" max="14340" width="12.7109375" style="156" customWidth="1"/>
    <col min="14341" max="14341" width="12.28515625" style="156" customWidth="1"/>
    <col min="14342" max="14342" width="10.7109375" style="156" customWidth="1"/>
    <col min="14343" max="14343" width="11.7109375" style="156" bestFit="1" customWidth="1"/>
    <col min="14344" max="14344" width="10.42578125" style="156" customWidth="1"/>
    <col min="14345" max="14593" width="8.85546875" style="156"/>
    <col min="14594" max="14594" width="25.42578125" style="156" customWidth="1"/>
    <col min="14595" max="14595" width="12.42578125" style="156" customWidth="1"/>
    <col min="14596" max="14596" width="12.7109375" style="156" customWidth="1"/>
    <col min="14597" max="14597" width="12.28515625" style="156" customWidth="1"/>
    <col min="14598" max="14598" width="10.7109375" style="156" customWidth="1"/>
    <col min="14599" max="14599" width="11.7109375" style="156" bestFit="1" customWidth="1"/>
    <col min="14600" max="14600" width="10.42578125" style="156" customWidth="1"/>
    <col min="14601" max="14849" width="8.85546875" style="156"/>
    <col min="14850" max="14850" width="25.42578125" style="156" customWidth="1"/>
    <col min="14851" max="14851" width="12.42578125" style="156" customWidth="1"/>
    <col min="14852" max="14852" width="12.7109375" style="156" customWidth="1"/>
    <col min="14853" max="14853" width="12.28515625" style="156" customWidth="1"/>
    <col min="14854" max="14854" width="10.7109375" style="156" customWidth="1"/>
    <col min="14855" max="14855" width="11.7109375" style="156" bestFit="1" customWidth="1"/>
    <col min="14856" max="14856" width="10.42578125" style="156" customWidth="1"/>
    <col min="14857" max="15105" width="8.85546875" style="156"/>
    <col min="15106" max="15106" width="25.42578125" style="156" customWidth="1"/>
    <col min="15107" max="15107" width="12.42578125" style="156" customWidth="1"/>
    <col min="15108" max="15108" width="12.7109375" style="156" customWidth="1"/>
    <col min="15109" max="15109" width="12.28515625" style="156" customWidth="1"/>
    <col min="15110" max="15110" width="10.7109375" style="156" customWidth="1"/>
    <col min="15111" max="15111" width="11.7109375" style="156" bestFit="1" customWidth="1"/>
    <col min="15112" max="15112" width="10.42578125" style="156" customWidth="1"/>
    <col min="15113" max="15361" width="8.85546875" style="156"/>
    <col min="15362" max="15362" width="25.42578125" style="156" customWidth="1"/>
    <col min="15363" max="15363" width="12.42578125" style="156" customWidth="1"/>
    <col min="15364" max="15364" width="12.7109375" style="156" customWidth="1"/>
    <col min="15365" max="15365" width="12.28515625" style="156" customWidth="1"/>
    <col min="15366" max="15366" width="10.7109375" style="156" customWidth="1"/>
    <col min="15367" max="15367" width="11.7109375" style="156" bestFit="1" customWidth="1"/>
    <col min="15368" max="15368" width="10.42578125" style="156" customWidth="1"/>
    <col min="15369" max="15617" width="8.85546875" style="156"/>
    <col min="15618" max="15618" width="25.42578125" style="156" customWidth="1"/>
    <col min="15619" max="15619" width="12.42578125" style="156" customWidth="1"/>
    <col min="15620" max="15620" width="12.7109375" style="156" customWidth="1"/>
    <col min="15621" max="15621" width="12.28515625" style="156" customWidth="1"/>
    <col min="15622" max="15622" width="10.7109375" style="156" customWidth="1"/>
    <col min="15623" max="15623" width="11.7109375" style="156" bestFit="1" customWidth="1"/>
    <col min="15624" max="15624" width="10.42578125" style="156" customWidth="1"/>
    <col min="15625" max="15873" width="8.85546875" style="156"/>
    <col min="15874" max="15874" width="25.42578125" style="156" customWidth="1"/>
    <col min="15875" max="15875" width="12.42578125" style="156" customWidth="1"/>
    <col min="15876" max="15876" width="12.7109375" style="156" customWidth="1"/>
    <col min="15877" max="15877" width="12.28515625" style="156" customWidth="1"/>
    <col min="15878" max="15878" width="10.7109375" style="156" customWidth="1"/>
    <col min="15879" max="15879" width="11.7109375" style="156" bestFit="1" customWidth="1"/>
    <col min="15880" max="15880" width="10.42578125" style="156" customWidth="1"/>
    <col min="15881" max="16129" width="8.85546875" style="156"/>
    <col min="16130" max="16130" width="25.42578125" style="156" customWidth="1"/>
    <col min="16131" max="16131" width="12.42578125" style="156" customWidth="1"/>
    <col min="16132" max="16132" width="12.7109375" style="156" customWidth="1"/>
    <col min="16133" max="16133" width="12.28515625" style="156" customWidth="1"/>
    <col min="16134" max="16134" width="10.7109375" style="156" customWidth="1"/>
    <col min="16135" max="16135" width="11.7109375" style="156" bestFit="1" customWidth="1"/>
    <col min="16136" max="16136" width="10.42578125" style="156" customWidth="1"/>
    <col min="16137" max="16384" width="8.85546875" style="156"/>
  </cols>
  <sheetData>
    <row r="1" spans="1:10" x14ac:dyDescent="0.2">
      <c r="A1" s="1"/>
      <c r="B1" s="154" t="s">
        <v>277</v>
      </c>
    </row>
    <row r="2" spans="1:10" x14ac:dyDescent="0.2">
      <c r="B2" s="57" t="s">
        <v>415</v>
      </c>
    </row>
    <row r="3" spans="1:10" x14ac:dyDescent="0.2">
      <c r="B3" s="119" t="s">
        <v>276</v>
      </c>
    </row>
    <row r="4" spans="1:10" x14ac:dyDescent="0.2">
      <c r="B4" s="78" t="s">
        <v>408</v>
      </c>
    </row>
    <row r="5" spans="1:10" x14ac:dyDescent="0.2">
      <c r="B5" s="78" t="s">
        <v>410</v>
      </c>
    </row>
    <row r="6" spans="1:10" x14ac:dyDescent="0.2">
      <c r="B6" s="78" t="s">
        <v>411</v>
      </c>
    </row>
    <row r="7" spans="1:10" x14ac:dyDescent="0.2">
      <c r="B7" s="78" t="s">
        <v>413</v>
      </c>
    </row>
    <row r="8" spans="1:10" x14ac:dyDescent="0.2">
      <c r="B8" s="78" t="s">
        <v>414</v>
      </c>
    </row>
    <row r="9" spans="1:10" x14ac:dyDescent="0.2">
      <c r="B9" s="154"/>
    </row>
    <row r="11" spans="1:10" x14ac:dyDescent="0.2">
      <c r="B11" s="157"/>
      <c r="C11" s="157"/>
      <c r="D11" s="157"/>
      <c r="E11" s="158"/>
      <c r="F11" s="159"/>
      <c r="G11" s="159"/>
      <c r="H11" s="159"/>
      <c r="I11" s="159"/>
      <c r="J11" s="159"/>
    </row>
    <row r="12" spans="1:10" x14ac:dyDescent="0.2">
      <c r="B12" s="160" t="s">
        <v>85</v>
      </c>
      <c r="C12" s="161"/>
      <c r="D12" s="159"/>
      <c r="F12" s="155"/>
    </row>
    <row r="13" spans="1:10" x14ac:dyDescent="0.2">
      <c r="B13" s="162" t="s">
        <v>31</v>
      </c>
      <c r="C13" s="40">
        <v>0.08</v>
      </c>
      <c r="D13" s="163"/>
      <c r="F13" s="155"/>
    </row>
    <row r="14" spans="1:10" x14ac:dyDescent="0.2">
      <c r="B14" s="162" t="s">
        <v>32</v>
      </c>
      <c r="C14" s="40">
        <v>0.06</v>
      </c>
      <c r="D14" s="163"/>
      <c r="F14" s="155"/>
    </row>
    <row r="15" spans="1:10" x14ac:dyDescent="0.2">
      <c r="B15" s="162" t="s">
        <v>101</v>
      </c>
      <c r="C15" s="40">
        <v>0.21</v>
      </c>
      <c r="D15" s="163"/>
      <c r="F15" s="155"/>
    </row>
    <row r="16" spans="1:10" x14ac:dyDescent="0.2">
      <c r="B16" s="162" t="s">
        <v>30</v>
      </c>
      <c r="C16" s="164">
        <f>SUM(C13:C15)</f>
        <v>0.35</v>
      </c>
      <c r="D16" s="163"/>
      <c r="F16" s="155"/>
    </row>
    <row r="17" spans="2:11" x14ac:dyDescent="0.2">
      <c r="B17" s="165" t="s">
        <v>83</v>
      </c>
      <c r="C17" s="41">
        <v>0.01</v>
      </c>
      <c r="D17" s="163"/>
      <c r="F17" s="155"/>
    </row>
    <row r="18" spans="2:11" x14ac:dyDescent="0.2">
      <c r="D18" s="166"/>
      <c r="F18" s="155"/>
    </row>
    <row r="19" spans="2:11" x14ac:dyDescent="0.2">
      <c r="B19" s="167" t="s">
        <v>25</v>
      </c>
      <c r="C19" s="168" t="s">
        <v>26</v>
      </c>
      <c r="D19" s="169"/>
      <c r="E19" s="170" t="s">
        <v>278</v>
      </c>
      <c r="F19" s="170" t="s">
        <v>279</v>
      </c>
      <c r="G19" s="168" t="s">
        <v>28</v>
      </c>
      <c r="H19" s="168" t="s">
        <v>87</v>
      </c>
      <c r="I19" s="168" t="s">
        <v>27</v>
      </c>
      <c r="J19" s="168" t="s">
        <v>51</v>
      </c>
    </row>
    <row r="20" spans="2:11" x14ac:dyDescent="0.2">
      <c r="D20" s="166"/>
      <c r="F20" s="155"/>
      <c r="G20" s="155"/>
      <c r="H20" s="155"/>
    </row>
    <row r="21" spans="2:11" x14ac:dyDescent="0.2">
      <c r="B21" s="42" t="s">
        <v>280</v>
      </c>
      <c r="C21" s="43">
        <v>30000</v>
      </c>
      <c r="D21" s="171"/>
      <c r="E21" s="44">
        <v>1</v>
      </c>
      <c r="F21" s="172">
        <f>C21*E21</f>
        <v>30000</v>
      </c>
      <c r="G21" s="172">
        <f>$C$16*F21</f>
        <v>10500</v>
      </c>
      <c r="H21" s="45">
        <v>0</v>
      </c>
      <c r="I21" s="137">
        <f>+(F21+G21)*H21</f>
        <v>0</v>
      </c>
      <c r="J21" s="172">
        <f>+F21+G21+I21</f>
        <v>40500</v>
      </c>
    </row>
    <row r="22" spans="2:11" x14ac:dyDescent="0.2">
      <c r="C22" s="171"/>
      <c r="D22" s="171"/>
      <c r="E22" s="173"/>
      <c r="F22" s="172"/>
      <c r="G22" s="172"/>
      <c r="H22" s="174"/>
      <c r="I22" s="137"/>
      <c r="J22" s="172"/>
    </row>
    <row r="23" spans="2:11" x14ac:dyDescent="0.2">
      <c r="B23" s="42" t="s">
        <v>281</v>
      </c>
      <c r="C23" s="43">
        <v>25000</v>
      </c>
      <c r="D23" s="171"/>
      <c r="E23" s="44">
        <v>1</v>
      </c>
      <c r="F23" s="172">
        <f>C23*E23</f>
        <v>25000</v>
      </c>
      <c r="G23" s="172">
        <f t="shared" ref="G23:G31" si="0">$C$16*F23</f>
        <v>8750</v>
      </c>
      <c r="H23" s="45">
        <v>0</v>
      </c>
      <c r="I23" s="137">
        <f t="shared" ref="I23:I31" si="1">+(F23+G23)*H23</f>
        <v>0</v>
      </c>
      <c r="J23" s="172">
        <f>+F23+G23+I23</f>
        <v>33750</v>
      </c>
    </row>
    <row r="24" spans="2:11" x14ac:dyDescent="0.2">
      <c r="C24" s="171"/>
      <c r="D24" s="171"/>
      <c r="E24" s="173"/>
      <c r="F24" s="172"/>
      <c r="G24" s="172"/>
      <c r="H24" s="174"/>
      <c r="I24" s="137"/>
      <c r="J24" s="172"/>
    </row>
    <row r="25" spans="2:11" x14ac:dyDescent="0.2">
      <c r="B25" s="42" t="s">
        <v>282</v>
      </c>
      <c r="C25" s="43">
        <v>10000</v>
      </c>
      <c r="D25" s="171"/>
      <c r="E25" s="44">
        <v>1</v>
      </c>
      <c r="F25" s="172">
        <f>C25*E25</f>
        <v>10000</v>
      </c>
      <c r="G25" s="172">
        <f t="shared" si="0"/>
        <v>3500</v>
      </c>
      <c r="H25" s="45">
        <v>0</v>
      </c>
      <c r="I25" s="137">
        <f t="shared" si="1"/>
        <v>0</v>
      </c>
      <c r="J25" s="172">
        <f>+F25+G25+I25</f>
        <v>13500</v>
      </c>
    </row>
    <row r="26" spans="2:11" x14ac:dyDescent="0.2">
      <c r="C26" s="171"/>
      <c r="D26" s="171"/>
      <c r="E26" s="173"/>
      <c r="F26" s="172"/>
      <c r="G26" s="172"/>
      <c r="H26" s="174"/>
      <c r="I26" s="137"/>
      <c r="J26" s="172"/>
    </row>
    <row r="27" spans="2:11" x14ac:dyDescent="0.2">
      <c r="B27" s="42"/>
      <c r="C27" s="43"/>
      <c r="D27" s="171"/>
      <c r="E27" s="44"/>
      <c r="F27" s="172">
        <f>C27*E27</f>
        <v>0</v>
      </c>
      <c r="G27" s="172">
        <f t="shared" si="0"/>
        <v>0</v>
      </c>
      <c r="H27" s="45">
        <v>0</v>
      </c>
      <c r="I27" s="137">
        <f t="shared" si="1"/>
        <v>0</v>
      </c>
      <c r="J27" s="172">
        <f>+F27+G27+I27</f>
        <v>0</v>
      </c>
      <c r="K27" s="155"/>
    </row>
    <row r="28" spans="2:11" x14ac:dyDescent="0.2">
      <c r="C28" s="171"/>
      <c r="D28" s="171"/>
      <c r="E28" s="173"/>
      <c r="F28" s="172"/>
      <c r="G28" s="172"/>
      <c r="H28" s="174"/>
      <c r="I28" s="137"/>
      <c r="J28" s="172"/>
    </row>
    <row r="29" spans="2:11" x14ac:dyDescent="0.2">
      <c r="B29" s="42"/>
      <c r="C29" s="43"/>
      <c r="D29" s="171"/>
      <c r="E29" s="44"/>
      <c r="F29" s="172">
        <f>C29*E29</f>
        <v>0</v>
      </c>
      <c r="G29" s="172">
        <f t="shared" si="0"/>
        <v>0</v>
      </c>
      <c r="H29" s="45">
        <v>0</v>
      </c>
      <c r="I29" s="137">
        <f t="shared" si="1"/>
        <v>0</v>
      </c>
      <c r="J29" s="172">
        <f>+F29+G29+I29</f>
        <v>0</v>
      </c>
    </row>
    <row r="30" spans="2:11" x14ac:dyDescent="0.2">
      <c r="C30" s="171"/>
      <c r="D30" s="171"/>
      <c r="E30" s="173"/>
      <c r="F30" s="172"/>
      <c r="G30" s="172"/>
      <c r="H30" s="174"/>
      <c r="I30" s="137"/>
      <c r="J30" s="172"/>
    </row>
    <row r="31" spans="2:11" x14ac:dyDescent="0.2">
      <c r="B31" s="175" t="s">
        <v>320</v>
      </c>
      <c r="C31" s="171"/>
      <c r="D31" s="171"/>
      <c r="E31" s="173"/>
      <c r="F31" s="172">
        <f>'Production Assumptions'!C94</f>
        <v>120000</v>
      </c>
      <c r="G31" s="172">
        <f t="shared" si="0"/>
        <v>42000</v>
      </c>
      <c r="H31" s="45">
        <v>0</v>
      </c>
      <c r="I31" s="137">
        <f t="shared" si="1"/>
        <v>0</v>
      </c>
      <c r="J31" s="172">
        <f>+F31+G31+I31</f>
        <v>162000</v>
      </c>
    </row>
    <row r="32" spans="2:11" x14ac:dyDescent="0.2">
      <c r="C32" s="172"/>
      <c r="D32" s="176"/>
      <c r="E32" s="177"/>
      <c r="F32" s="178"/>
      <c r="G32" s="172"/>
      <c r="H32" s="155"/>
      <c r="J32" s="172"/>
    </row>
    <row r="33" spans="2:10" x14ac:dyDescent="0.2">
      <c r="B33" s="179" t="s">
        <v>283</v>
      </c>
      <c r="C33" s="180">
        <f>SUM(C20:C32)</f>
        <v>65000</v>
      </c>
      <c r="D33" s="181"/>
      <c r="F33" s="172">
        <f>SUM(F21:F32)</f>
        <v>185000</v>
      </c>
      <c r="G33" s="180">
        <f>SUM(G20:G32)</f>
        <v>64750</v>
      </c>
      <c r="H33" s="182"/>
      <c r="I33" s="180">
        <f>SUM(I20:I32)</f>
        <v>0</v>
      </c>
      <c r="J33" s="180">
        <f>SUM(J20:J32)</f>
        <v>249750</v>
      </c>
    </row>
  </sheetData>
  <sheetProtection password="E114" sheet="1" objects="1" scenarios="1" selectLockedCells="1"/>
  <hyperlinks>
    <hyperlink ref="B3" location="'Plant, Prop &amp; Equip'!A1" display="Plant, Property, &amp; Equipment"/>
    <hyperlink ref="B4" location="'Production Assumptions'!A1" display="Production Assumptions"/>
    <hyperlink ref="B5" location="'Market Projection'!A1" display="Market Projection"/>
    <hyperlink ref="B6" location="'Expense Projection'!A1" display="Expense Projection"/>
    <hyperlink ref="B7" location="'Profit &amp; Loss'!A1" display="Profit/Loss Summary"/>
    <hyperlink ref="B8" location="'Return On Investment'!A1" display="Return on Investment"/>
  </hyperlinks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7"/>
  <sheetViews>
    <sheetView showGridLines="0" showRowColHeaders="0" workbookViewId="0">
      <selection activeCell="B3" sqref="B3"/>
    </sheetView>
  </sheetViews>
  <sheetFormatPr defaultColWidth="8.85546875" defaultRowHeight="12.75" x14ac:dyDescent="0.2"/>
  <cols>
    <col min="1" max="1" width="5.7109375" style="48" customWidth="1"/>
    <col min="2" max="2" width="16.85546875" style="48" customWidth="1"/>
    <col min="3" max="3" width="6.28515625" style="48" customWidth="1"/>
    <col min="4" max="13" width="13.7109375" style="48" customWidth="1"/>
    <col min="14" max="14" width="11.85546875" style="183" bestFit="1" customWidth="1"/>
    <col min="15" max="16384" width="8.85546875" style="48"/>
  </cols>
  <sheetData>
    <row r="1" spans="2:14" x14ac:dyDescent="0.2">
      <c r="B1" s="61" t="s">
        <v>428</v>
      </c>
    </row>
    <row r="2" spans="2:14" x14ac:dyDescent="0.2">
      <c r="B2" s="57" t="s">
        <v>415</v>
      </c>
    </row>
    <row r="3" spans="2:14" x14ac:dyDescent="0.2">
      <c r="B3" s="119" t="s">
        <v>276</v>
      </c>
      <c r="C3" s="198"/>
    </row>
    <row r="4" spans="2:14" x14ac:dyDescent="0.2">
      <c r="B4" s="78" t="s">
        <v>408</v>
      </c>
      <c r="C4" s="198"/>
    </row>
    <row r="5" spans="2:14" x14ac:dyDescent="0.2">
      <c r="B5" s="78" t="s">
        <v>409</v>
      </c>
      <c r="C5" s="198"/>
    </row>
    <row r="6" spans="2:14" x14ac:dyDescent="0.2">
      <c r="B6" s="78" t="s">
        <v>411</v>
      </c>
      <c r="C6" s="198"/>
    </row>
    <row r="7" spans="2:14" x14ac:dyDescent="0.2">
      <c r="B7" s="78" t="s">
        <v>413</v>
      </c>
      <c r="C7" s="198"/>
    </row>
    <row r="8" spans="2:14" x14ac:dyDescent="0.2">
      <c r="B8" s="78" t="s">
        <v>414</v>
      </c>
      <c r="C8" s="198"/>
    </row>
    <row r="9" spans="2:14" x14ac:dyDescent="0.2">
      <c r="E9" s="75"/>
      <c r="F9" s="75"/>
      <c r="G9" s="75"/>
      <c r="H9" s="75"/>
      <c r="I9" s="75"/>
      <c r="J9" s="75"/>
      <c r="K9" s="75"/>
      <c r="L9" s="75"/>
      <c r="M9" s="75"/>
      <c r="N9" s="184"/>
    </row>
    <row r="10" spans="2:14" x14ac:dyDescent="0.2">
      <c r="B10" s="64" t="s">
        <v>309</v>
      </c>
      <c r="D10" s="193">
        <v>1</v>
      </c>
      <c r="E10" s="185" t="s">
        <v>436</v>
      </c>
      <c r="G10" s="186"/>
      <c r="H10" s="186"/>
      <c r="I10" s="186"/>
      <c r="J10" s="186"/>
      <c r="K10" s="186"/>
      <c r="L10" s="186"/>
      <c r="M10" s="186"/>
      <c r="N10" s="187"/>
    </row>
    <row r="11" spans="2:14" x14ac:dyDescent="0.2"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47"/>
    </row>
    <row r="12" spans="2:14" x14ac:dyDescent="0.2">
      <c r="B12" s="61" t="s">
        <v>102</v>
      </c>
      <c r="N12" s="187"/>
    </row>
    <row r="13" spans="2:14" x14ac:dyDescent="0.2">
      <c r="B13" s="61" t="s">
        <v>477</v>
      </c>
      <c r="N13" s="187"/>
    </row>
    <row r="14" spans="2:14" x14ac:dyDescent="0.2">
      <c r="B14" s="61"/>
      <c r="N14" s="187"/>
    </row>
    <row r="15" spans="2:14" x14ac:dyDescent="0.2">
      <c r="C15" s="189"/>
      <c r="D15" s="189" t="s">
        <v>0</v>
      </c>
      <c r="E15" s="189" t="s">
        <v>1</v>
      </c>
      <c r="F15" s="189" t="s">
        <v>2</v>
      </c>
      <c r="G15" s="189" t="s">
        <v>3</v>
      </c>
      <c r="H15" s="189" t="s">
        <v>4</v>
      </c>
      <c r="I15" s="189" t="s">
        <v>5</v>
      </c>
      <c r="J15" s="189" t="s">
        <v>6</v>
      </c>
      <c r="K15" s="189" t="s">
        <v>7</v>
      </c>
      <c r="L15" s="189" t="s">
        <v>8</v>
      </c>
      <c r="M15" s="189" t="s">
        <v>9</v>
      </c>
      <c r="N15" s="187"/>
    </row>
    <row r="16" spans="2:14" x14ac:dyDescent="0.2">
      <c r="B16" s="133" t="str">
        <f>'Production Assumptions'!B11</f>
        <v>Enter Product 1 Name Here</v>
      </c>
      <c r="D16" s="67">
        <f>'Production Assumptions'!BB11*$D$10</f>
        <v>0</v>
      </c>
      <c r="E16" s="67">
        <f>'Production Assumptions'!BB11*(1+'Production Assumptions'!$C$50)</f>
        <v>0</v>
      </c>
      <c r="F16" s="67">
        <f>E16*(1+'Production Assumptions'!$C$50)</f>
        <v>0</v>
      </c>
      <c r="G16" s="67">
        <f>F16*(1+'Production Assumptions'!$C$50)</f>
        <v>0</v>
      </c>
      <c r="H16" s="67">
        <f>G16*(1+'Production Assumptions'!$C$50)</f>
        <v>0</v>
      </c>
      <c r="I16" s="67">
        <f>H16*(1+'Production Assumptions'!$C$50)</f>
        <v>0</v>
      </c>
      <c r="J16" s="67">
        <f>I16*(1+'Production Assumptions'!$C$50)</f>
        <v>0</v>
      </c>
      <c r="K16" s="67">
        <f>J16*(1+'Production Assumptions'!$C$50)</f>
        <v>0</v>
      </c>
      <c r="L16" s="67">
        <f>K16*(1+'Production Assumptions'!$C$50)</f>
        <v>0</v>
      </c>
      <c r="M16" s="67">
        <f>L16*(1+'Production Assumptions'!$C$50)</f>
        <v>0</v>
      </c>
      <c r="N16" s="187"/>
    </row>
    <row r="17" spans="2:14" x14ac:dyDescent="0.2">
      <c r="B17" s="133" t="str">
        <f>'Production Assumptions'!B12</f>
        <v>Enter Product 2 Name Here</v>
      </c>
      <c r="C17" s="52"/>
      <c r="D17" s="67">
        <f>'Production Assumptions'!BB12*$D$10</f>
        <v>0</v>
      </c>
      <c r="E17" s="67">
        <f>'Production Assumptions'!BB12*(1+'Production Assumptions'!$C$50)</f>
        <v>0</v>
      </c>
      <c r="F17" s="67">
        <f>E17*(1+'Production Assumptions'!$C$50)</f>
        <v>0</v>
      </c>
      <c r="G17" s="67">
        <f>F17*(1+'Production Assumptions'!$C$50)</f>
        <v>0</v>
      </c>
      <c r="H17" s="67">
        <f>G17*(1+'Production Assumptions'!$C$50)</f>
        <v>0</v>
      </c>
      <c r="I17" s="67">
        <f>H17*(1+'Production Assumptions'!$C$50)</f>
        <v>0</v>
      </c>
      <c r="J17" s="67">
        <f>I17*(1+'Production Assumptions'!$C$50)</f>
        <v>0</v>
      </c>
      <c r="K17" s="67">
        <f>J17*(1+'Production Assumptions'!$C$50)</f>
        <v>0</v>
      </c>
      <c r="L17" s="67">
        <f>K17*(1+'Production Assumptions'!$C$50)</f>
        <v>0</v>
      </c>
      <c r="M17" s="67">
        <f>L17*(1+'Production Assumptions'!$C$50)</f>
        <v>0</v>
      </c>
      <c r="N17" s="187"/>
    </row>
    <row r="18" spans="2:14" x14ac:dyDescent="0.2">
      <c r="B18" s="133" t="str">
        <f>'Production Assumptions'!B13</f>
        <v>Enter Product 3 Name Here</v>
      </c>
      <c r="C18" s="190"/>
      <c r="D18" s="67">
        <f>'Production Assumptions'!BB13*$D$10</f>
        <v>0</v>
      </c>
      <c r="E18" s="67">
        <f>'Production Assumptions'!BB13*(1+'Production Assumptions'!$C$50)</f>
        <v>0</v>
      </c>
      <c r="F18" s="67">
        <f>E18*(1+'Production Assumptions'!$C$50)</f>
        <v>0</v>
      </c>
      <c r="G18" s="67">
        <f>F18*(1+'Production Assumptions'!$C$50)</f>
        <v>0</v>
      </c>
      <c r="H18" s="67">
        <f>G18*(1+'Production Assumptions'!$C$50)</f>
        <v>0</v>
      </c>
      <c r="I18" s="67">
        <f>H18*(1+'Production Assumptions'!$C$50)</f>
        <v>0</v>
      </c>
      <c r="J18" s="67">
        <f>I18*(1+'Production Assumptions'!$C$50)</f>
        <v>0</v>
      </c>
      <c r="K18" s="67">
        <f>J18*(1+'Production Assumptions'!$C$50)</f>
        <v>0</v>
      </c>
      <c r="L18" s="67">
        <f>K18*(1+'Production Assumptions'!$C$50)</f>
        <v>0</v>
      </c>
      <c r="M18" s="67">
        <f>L18*(1+'Production Assumptions'!$C$50)</f>
        <v>0</v>
      </c>
      <c r="N18" s="147"/>
    </row>
    <row r="19" spans="2:14" x14ac:dyDescent="0.2">
      <c r="B19" s="133" t="str">
        <f>'Production Assumptions'!B14</f>
        <v>Enter Product 4 Name Here</v>
      </c>
      <c r="C19" s="129"/>
      <c r="D19" s="67">
        <f>'Production Assumptions'!BB14*$D$10</f>
        <v>0</v>
      </c>
      <c r="E19" s="67">
        <f>'Production Assumptions'!BB14*(1+'Production Assumptions'!$C$50)</f>
        <v>0</v>
      </c>
      <c r="F19" s="67">
        <f>E19*(1+'Production Assumptions'!$C$50)</f>
        <v>0</v>
      </c>
      <c r="G19" s="67">
        <f>F19*(1+'Production Assumptions'!$C$50)</f>
        <v>0</v>
      </c>
      <c r="H19" s="67">
        <f>G19*(1+'Production Assumptions'!$C$50)</f>
        <v>0</v>
      </c>
      <c r="I19" s="67">
        <f>H19*(1+'Production Assumptions'!$C$50)</f>
        <v>0</v>
      </c>
      <c r="J19" s="67">
        <f>I19*(1+'Production Assumptions'!$C$50)</f>
        <v>0</v>
      </c>
      <c r="K19" s="67">
        <f>J19*(1+'Production Assumptions'!$C$50)</f>
        <v>0</v>
      </c>
      <c r="L19" s="67">
        <f>K19*(1+'Production Assumptions'!$C$50)</f>
        <v>0</v>
      </c>
      <c r="M19" s="67">
        <f>L19*(1+'Production Assumptions'!$C$50)</f>
        <v>0</v>
      </c>
      <c r="N19" s="147"/>
    </row>
    <row r="20" spans="2:14" x14ac:dyDescent="0.2">
      <c r="B20" s="133" t="str">
        <f>'Production Assumptions'!B15</f>
        <v>Enter Product 5 Name Here</v>
      </c>
      <c r="D20" s="67">
        <f>'Production Assumptions'!BB15*$D$10</f>
        <v>0</v>
      </c>
      <c r="E20" s="67">
        <f>'Production Assumptions'!BB15*(1+'Production Assumptions'!$C$50)</f>
        <v>0</v>
      </c>
      <c r="F20" s="67">
        <f>E20*(1+'Production Assumptions'!$C$50)</f>
        <v>0</v>
      </c>
      <c r="G20" s="67">
        <f>F20*(1+'Production Assumptions'!$C$50)</f>
        <v>0</v>
      </c>
      <c r="H20" s="67">
        <f>G20*(1+'Production Assumptions'!$C$50)</f>
        <v>0</v>
      </c>
      <c r="I20" s="67">
        <f>H20*(1+'Production Assumptions'!$C$50)</f>
        <v>0</v>
      </c>
      <c r="J20" s="67">
        <f>I20*(1+'Production Assumptions'!$C$50)</f>
        <v>0</v>
      </c>
      <c r="K20" s="67">
        <f>J20*(1+'Production Assumptions'!$C$50)</f>
        <v>0</v>
      </c>
      <c r="L20" s="67">
        <f>K20*(1+'Production Assumptions'!$C$50)</f>
        <v>0</v>
      </c>
      <c r="M20" s="67">
        <f>L20*(1+'Production Assumptions'!$C$50)</f>
        <v>0</v>
      </c>
      <c r="N20" s="187"/>
    </row>
    <row r="21" spans="2:14" x14ac:dyDescent="0.2">
      <c r="B21" s="133" t="str">
        <f>'Production Assumptions'!B16</f>
        <v>Enter Product 6 Name Here</v>
      </c>
      <c r="D21" s="67">
        <f>'Production Assumptions'!BB16*$D$10</f>
        <v>0</v>
      </c>
      <c r="E21" s="67">
        <f>'Production Assumptions'!BB16*(1+'Production Assumptions'!$C$50)</f>
        <v>0</v>
      </c>
      <c r="F21" s="67">
        <f>E21*(1+'Production Assumptions'!$C$50)</f>
        <v>0</v>
      </c>
      <c r="G21" s="67">
        <f>F21*(1+'Production Assumptions'!$C$50)</f>
        <v>0</v>
      </c>
      <c r="H21" s="67">
        <f>G21*(1+'Production Assumptions'!$C$50)</f>
        <v>0</v>
      </c>
      <c r="I21" s="67">
        <f>H21*(1+'Production Assumptions'!$C$50)</f>
        <v>0</v>
      </c>
      <c r="J21" s="67">
        <f>I21*(1+'Production Assumptions'!$C$50)</f>
        <v>0</v>
      </c>
      <c r="K21" s="67">
        <f>J21*(1+'Production Assumptions'!$C$50)</f>
        <v>0</v>
      </c>
      <c r="L21" s="67">
        <f>K21*(1+'Production Assumptions'!$C$50)</f>
        <v>0</v>
      </c>
      <c r="M21" s="67">
        <f>L21*(1+'Production Assumptions'!$C$50)</f>
        <v>0</v>
      </c>
      <c r="N21" s="187"/>
    </row>
    <row r="22" spans="2:14" x14ac:dyDescent="0.2">
      <c r="B22" s="133" t="str">
        <f>'Production Assumptions'!B17</f>
        <v>Enter Product 7 Name Here</v>
      </c>
      <c r="C22" s="52"/>
      <c r="D22" s="67">
        <f>'Production Assumptions'!BB17*$D$10</f>
        <v>0</v>
      </c>
      <c r="E22" s="67">
        <f>'Production Assumptions'!BB17*(1+'Production Assumptions'!$C$50)</f>
        <v>0</v>
      </c>
      <c r="F22" s="67">
        <f>E22*(1+'Production Assumptions'!$C$50)</f>
        <v>0</v>
      </c>
      <c r="G22" s="67">
        <f>F22*(1+'Production Assumptions'!$C$50)</f>
        <v>0</v>
      </c>
      <c r="H22" s="67">
        <f>G22*(1+'Production Assumptions'!$C$50)</f>
        <v>0</v>
      </c>
      <c r="I22" s="67">
        <f>H22*(1+'Production Assumptions'!$C$50)</f>
        <v>0</v>
      </c>
      <c r="J22" s="67">
        <f>I22*(1+'Production Assumptions'!$C$50)</f>
        <v>0</v>
      </c>
      <c r="K22" s="67">
        <f>J22*(1+'Production Assumptions'!$C$50)</f>
        <v>0</v>
      </c>
      <c r="L22" s="67">
        <f>K22*(1+'Production Assumptions'!$C$50)</f>
        <v>0</v>
      </c>
      <c r="M22" s="67">
        <f>L22*(1+'Production Assumptions'!$C$50)</f>
        <v>0</v>
      </c>
      <c r="N22" s="187"/>
    </row>
    <row r="23" spans="2:14" x14ac:dyDescent="0.2">
      <c r="B23" s="133" t="str">
        <f>'Production Assumptions'!B18</f>
        <v>Enter Product 8 Name Here</v>
      </c>
      <c r="C23" s="190"/>
      <c r="D23" s="67">
        <f>'Production Assumptions'!BB18*$D$10</f>
        <v>0</v>
      </c>
      <c r="E23" s="67">
        <f>'Production Assumptions'!BB18*(1+'Production Assumptions'!$C$50)</f>
        <v>0</v>
      </c>
      <c r="F23" s="67">
        <f>E23*(1+'Production Assumptions'!$C$50)</f>
        <v>0</v>
      </c>
      <c r="G23" s="67">
        <f>F23*(1+'Production Assumptions'!$C$50)</f>
        <v>0</v>
      </c>
      <c r="H23" s="67">
        <f>G23*(1+'Production Assumptions'!$C$50)</f>
        <v>0</v>
      </c>
      <c r="I23" s="67">
        <f>H23*(1+'Production Assumptions'!$C$50)</f>
        <v>0</v>
      </c>
      <c r="J23" s="67">
        <f>I23*(1+'Production Assumptions'!$C$50)</f>
        <v>0</v>
      </c>
      <c r="K23" s="67">
        <f>J23*(1+'Production Assumptions'!$C$50)</f>
        <v>0</v>
      </c>
      <c r="L23" s="67">
        <f>K23*(1+'Production Assumptions'!$C$50)</f>
        <v>0</v>
      </c>
      <c r="M23" s="67">
        <f>L23*(1+'Production Assumptions'!$C$50)</f>
        <v>0</v>
      </c>
      <c r="N23" s="187"/>
    </row>
    <row r="24" spans="2:14" x14ac:dyDescent="0.2">
      <c r="B24" s="133" t="str">
        <f>'Production Assumptions'!B19</f>
        <v>Enter Product 9 Name Here</v>
      </c>
      <c r="C24" s="129"/>
      <c r="D24" s="67">
        <f>'Production Assumptions'!BB19*$D$10</f>
        <v>0</v>
      </c>
      <c r="E24" s="67">
        <f>'Production Assumptions'!BB19*(1+'Production Assumptions'!$C$50)</f>
        <v>0</v>
      </c>
      <c r="F24" s="67">
        <f>E24*(1+'Production Assumptions'!$C$50)</f>
        <v>0</v>
      </c>
      <c r="G24" s="67">
        <f>F24*(1+'Production Assumptions'!$C$50)</f>
        <v>0</v>
      </c>
      <c r="H24" s="67">
        <f>G24*(1+'Production Assumptions'!$C$50)</f>
        <v>0</v>
      </c>
      <c r="I24" s="67">
        <f>H24*(1+'Production Assumptions'!$C$50)</f>
        <v>0</v>
      </c>
      <c r="J24" s="67">
        <f>I24*(1+'Production Assumptions'!$C$50)</f>
        <v>0</v>
      </c>
      <c r="K24" s="67">
        <f>J24*(1+'Production Assumptions'!$C$50)</f>
        <v>0</v>
      </c>
      <c r="L24" s="67">
        <f>K24*(1+'Production Assumptions'!$C$50)</f>
        <v>0</v>
      </c>
      <c r="M24" s="67">
        <f>L24*(1+'Production Assumptions'!$C$50)</f>
        <v>0</v>
      </c>
      <c r="N24" s="147"/>
    </row>
    <row r="25" spans="2:14" x14ac:dyDescent="0.2">
      <c r="B25" s="133" t="str">
        <f>'Production Assumptions'!B20</f>
        <v>Enter Product 10 Name Here</v>
      </c>
      <c r="D25" s="67">
        <f>'Production Assumptions'!BB20*$D$10</f>
        <v>0</v>
      </c>
      <c r="E25" s="67">
        <f>'Production Assumptions'!BB20*(1+'Production Assumptions'!$C$50)</f>
        <v>0</v>
      </c>
      <c r="F25" s="67">
        <f>E25*(1+'Production Assumptions'!$C$50)</f>
        <v>0</v>
      </c>
      <c r="G25" s="67">
        <f>F25*(1+'Production Assumptions'!$C$50)</f>
        <v>0</v>
      </c>
      <c r="H25" s="67">
        <f>G25*(1+'Production Assumptions'!$C$50)</f>
        <v>0</v>
      </c>
      <c r="I25" s="67">
        <f>H25*(1+'Production Assumptions'!$C$50)</f>
        <v>0</v>
      </c>
      <c r="J25" s="67">
        <f>I25*(1+'Production Assumptions'!$C$50)</f>
        <v>0</v>
      </c>
      <c r="K25" s="67">
        <f>J25*(1+'Production Assumptions'!$C$50)</f>
        <v>0</v>
      </c>
      <c r="L25" s="67">
        <f>K25*(1+'Production Assumptions'!$C$50)</f>
        <v>0</v>
      </c>
      <c r="M25" s="67">
        <f>L25*(1+'Production Assumptions'!$C$50)</f>
        <v>0</v>
      </c>
      <c r="N25" s="147"/>
    </row>
    <row r="27" spans="2:14" x14ac:dyDescent="0.2">
      <c r="B27" s="61" t="s">
        <v>104</v>
      </c>
      <c r="D27" s="129">
        <f>SUM(D16:D25)</f>
        <v>0</v>
      </c>
      <c r="E27" s="129">
        <f t="shared" ref="E27:M27" si="0">SUM(E16:E25)</f>
        <v>0</v>
      </c>
      <c r="F27" s="129">
        <f t="shared" si="0"/>
        <v>0</v>
      </c>
      <c r="G27" s="129">
        <f t="shared" si="0"/>
        <v>0</v>
      </c>
      <c r="H27" s="129">
        <f t="shared" si="0"/>
        <v>0</v>
      </c>
      <c r="I27" s="129">
        <f t="shared" si="0"/>
        <v>0</v>
      </c>
      <c r="J27" s="129">
        <f t="shared" si="0"/>
        <v>0</v>
      </c>
      <c r="K27" s="129">
        <f t="shared" si="0"/>
        <v>0</v>
      </c>
      <c r="L27" s="129">
        <f t="shared" si="0"/>
        <v>0</v>
      </c>
      <c r="M27" s="129">
        <f t="shared" si="0"/>
        <v>0</v>
      </c>
    </row>
    <row r="29" spans="2:14" x14ac:dyDescent="0.2">
      <c r="B29" s="61" t="s">
        <v>311</v>
      </c>
    </row>
    <row r="30" spans="2:14" x14ac:dyDescent="0.2">
      <c r="D30" s="137"/>
      <c r="E30" s="137"/>
      <c r="F30" s="137"/>
      <c r="G30" s="137"/>
      <c r="H30" s="137"/>
      <c r="I30" s="137"/>
      <c r="J30" s="137"/>
      <c r="K30" s="137"/>
      <c r="L30" s="137"/>
      <c r="M30" s="137"/>
    </row>
    <row r="31" spans="2:14" x14ac:dyDescent="0.2">
      <c r="B31" s="66" t="str">
        <f>B16</f>
        <v>Enter Product 1 Name Here</v>
      </c>
      <c r="D31" s="191">
        <f>$D$10*'Production Assumptions'!BB23</f>
        <v>0</v>
      </c>
      <c r="E31" s="191">
        <f>'Production Assumptions'!BB23*(1+'Expense Projection'!$D$10)</f>
        <v>0</v>
      </c>
      <c r="F31" s="191">
        <f>E31*(1+'Expense Projection'!$D$10)</f>
        <v>0</v>
      </c>
      <c r="G31" s="191">
        <f>F31*(1+'Expense Projection'!$D$10)</f>
        <v>0</v>
      </c>
      <c r="H31" s="191">
        <f>G31*(1+'Expense Projection'!$D$10)</f>
        <v>0</v>
      </c>
      <c r="I31" s="191">
        <f>H31*(1+'Expense Projection'!$D$10)</f>
        <v>0</v>
      </c>
      <c r="J31" s="191">
        <f>I31*(1+'Expense Projection'!$D$10)</f>
        <v>0</v>
      </c>
      <c r="K31" s="191">
        <f>J31*(1+'Expense Projection'!$D$10)</f>
        <v>0</v>
      </c>
      <c r="L31" s="191">
        <f>K31*(1+'Expense Projection'!$D$10)</f>
        <v>0</v>
      </c>
      <c r="M31" s="191">
        <f>L31*(1+'Expense Projection'!$D$10)</f>
        <v>0</v>
      </c>
    </row>
    <row r="32" spans="2:14" x14ac:dyDescent="0.2">
      <c r="B32" s="66" t="str">
        <f t="shared" ref="B32:B40" si="1">B17</f>
        <v>Enter Product 2 Name Here</v>
      </c>
      <c r="D32" s="191">
        <f>$D$10*'Production Assumptions'!BB24</f>
        <v>0</v>
      </c>
      <c r="E32" s="191">
        <f>'Production Assumptions'!BB24*(1+'Expense Projection'!$D$10)</f>
        <v>0</v>
      </c>
      <c r="F32" s="191">
        <f>E32*(1+'Expense Projection'!$D$10)</f>
        <v>0</v>
      </c>
      <c r="G32" s="191">
        <f>F32*(1+'Expense Projection'!$D$10)</f>
        <v>0</v>
      </c>
      <c r="H32" s="191">
        <f>G32*(1+'Expense Projection'!$D$10)</f>
        <v>0</v>
      </c>
      <c r="I32" s="191">
        <f>H32*(1+'Expense Projection'!$D$10)</f>
        <v>0</v>
      </c>
      <c r="J32" s="191">
        <f>I32*(1+'Expense Projection'!$D$10)</f>
        <v>0</v>
      </c>
      <c r="K32" s="191">
        <f>J32*(1+'Expense Projection'!$D$10)</f>
        <v>0</v>
      </c>
      <c r="L32" s="191">
        <f>K32*(1+'Expense Projection'!$D$10)</f>
        <v>0</v>
      </c>
      <c r="M32" s="191">
        <f>L32*(1+'Expense Projection'!$D$10)</f>
        <v>0</v>
      </c>
    </row>
    <row r="33" spans="2:13" x14ac:dyDescent="0.2">
      <c r="B33" s="66" t="str">
        <f t="shared" si="1"/>
        <v>Enter Product 3 Name Here</v>
      </c>
      <c r="D33" s="191">
        <f>$D$10*'Production Assumptions'!BB25</f>
        <v>0</v>
      </c>
      <c r="E33" s="191">
        <f>'Production Assumptions'!BB25*(1+'Expense Projection'!$D$10)</f>
        <v>0</v>
      </c>
      <c r="F33" s="191">
        <f>E33*(1+'Expense Projection'!$D$10)</f>
        <v>0</v>
      </c>
      <c r="G33" s="191">
        <f>F33*(1+'Expense Projection'!$D$10)</f>
        <v>0</v>
      </c>
      <c r="H33" s="191">
        <f>G33*(1+'Expense Projection'!$D$10)</f>
        <v>0</v>
      </c>
      <c r="I33" s="191">
        <f>H33*(1+'Expense Projection'!$D$10)</f>
        <v>0</v>
      </c>
      <c r="J33" s="191">
        <f>I33*(1+'Expense Projection'!$D$10)</f>
        <v>0</v>
      </c>
      <c r="K33" s="191">
        <f>J33*(1+'Expense Projection'!$D$10)</f>
        <v>0</v>
      </c>
      <c r="L33" s="191">
        <f>K33*(1+'Expense Projection'!$D$10)</f>
        <v>0</v>
      </c>
      <c r="M33" s="191">
        <f>L33*(1+'Expense Projection'!$D$10)</f>
        <v>0</v>
      </c>
    </row>
    <row r="34" spans="2:13" x14ac:dyDescent="0.2">
      <c r="B34" s="66" t="str">
        <f t="shared" si="1"/>
        <v>Enter Product 4 Name Here</v>
      </c>
      <c r="C34" s="52"/>
      <c r="D34" s="191">
        <f>$D$10*'Production Assumptions'!BB26</f>
        <v>0</v>
      </c>
      <c r="E34" s="191">
        <f>'Production Assumptions'!BB26*(1+'Expense Projection'!$D$10)</f>
        <v>0</v>
      </c>
      <c r="F34" s="191">
        <f>E34*(1+'Expense Projection'!$D$10)</f>
        <v>0</v>
      </c>
      <c r="G34" s="191">
        <f>F34*(1+'Expense Projection'!$D$10)</f>
        <v>0</v>
      </c>
      <c r="H34" s="191">
        <f>G34*(1+'Expense Projection'!$D$10)</f>
        <v>0</v>
      </c>
      <c r="I34" s="191">
        <f>H34*(1+'Expense Projection'!$D$10)</f>
        <v>0</v>
      </c>
      <c r="J34" s="191">
        <f>I34*(1+'Expense Projection'!$D$10)</f>
        <v>0</v>
      </c>
      <c r="K34" s="191">
        <f>J34*(1+'Expense Projection'!$D$10)</f>
        <v>0</v>
      </c>
      <c r="L34" s="191">
        <f>K34*(1+'Expense Projection'!$D$10)</f>
        <v>0</v>
      </c>
      <c r="M34" s="191">
        <f>L34*(1+'Expense Projection'!$D$10)</f>
        <v>0</v>
      </c>
    </row>
    <row r="35" spans="2:13" x14ac:dyDescent="0.2">
      <c r="B35" s="66" t="str">
        <f t="shared" si="1"/>
        <v>Enter Product 5 Name Here</v>
      </c>
      <c r="C35" s="52"/>
      <c r="D35" s="191">
        <f>$D$10*'Production Assumptions'!BB27</f>
        <v>0</v>
      </c>
      <c r="E35" s="191">
        <f>'Production Assumptions'!BB27*(1+'Expense Projection'!$D$10)</f>
        <v>0</v>
      </c>
      <c r="F35" s="191">
        <f>E35*(1+'Expense Projection'!$D$10)</f>
        <v>0</v>
      </c>
      <c r="G35" s="191">
        <f>F35*(1+'Expense Projection'!$D$10)</f>
        <v>0</v>
      </c>
      <c r="H35" s="191">
        <f>G35*(1+'Expense Projection'!$D$10)</f>
        <v>0</v>
      </c>
      <c r="I35" s="191">
        <f>H35*(1+'Expense Projection'!$D$10)</f>
        <v>0</v>
      </c>
      <c r="J35" s="191">
        <f>I35*(1+'Expense Projection'!$D$10)</f>
        <v>0</v>
      </c>
      <c r="K35" s="191">
        <f>J35*(1+'Expense Projection'!$D$10)</f>
        <v>0</v>
      </c>
      <c r="L35" s="191">
        <f>K35*(1+'Expense Projection'!$D$10)</f>
        <v>0</v>
      </c>
      <c r="M35" s="191">
        <f>L35*(1+'Expense Projection'!$D$10)</f>
        <v>0</v>
      </c>
    </row>
    <row r="36" spans="2:13" x14ac:dyDescent="0.2">
      <c r="B36" s="66" t="str">
        <f t="shared" si="1"/>
        <v>Enter Product 6 Name Here</v>
      </c>
      <c r="C36" s="52"/>
      <c r="D36" s="191">
        <f>$D$10*'Production Assumptions'!BB28</f>
        <v>0</v>
      </c>
      <c r="E36" s="191">
        <f>'Production Assumptions'!BB28*(1+'Expense Projection'!$D$10)</f>
        <v>0</v>
      </c>
      <c r="F36" s="191">
        <f>E36*(1+'Expense Projection'!$D$10)</f>
        <v>0</v>
      </c>
      <c r="G36" s="191">
        <f>F36*(1+'Expense Projection'!$D$10)</f>
        <v>0</v>
      </c>
      <c r="H36" s="191">
        <f>G36*(1+'Expense Projection'!$D$10)</f>
        <v>0</v>
      </c>
      <c r="I36" s="191">
        <f>H36*(1+'Expense Projection'!$D$10)</f>
        <v>0</v>
      </c>
      <c r="J36" s="191">
        <f>I36*(1+'Expense Projection'!$D$10)</f>
        <v>0</v>
      </c>
      <c r="K36" s="191">
        <f>J36*(1+'Expense Projection'!$D$10)</f>
        <v>0</v>
      </c>
      <c r="L36" s="191">
        <f>K36*(1+'Expense Projection'!$D$10)</f>
        <v>0</v>
      </c>
      <c r="M36" s="191">
        <f>L36*(1+'Expense Projection'!$D$10)</f>
        <v>0</v>
      </c>
    </row>
    <row r="37" spans="2:13" x14ac:dyDescent="0.2">
      <c r="B37" s="66" t="str">
        <f t="shared" si="1"/>
        <v>Enter Product 7 Name Here</v>
      </c>
      <c r="C37" s="52"/>
      <c r="D37" s="191">
        <f>$D$10*'Production Assumptions'!BB29</f>
        <v>0</v>
      </c>
      <c r="E37" s="191">
        <f>'Production Assumptions'!BB29*(1+'Expense Projection'!$D$10)</f>
        <v>0</v>
      </c>
      <c r="F37" s="191">
        <f>E37*(1+'Expense Projection'!$D$10)</f>
        <v>0</v>
      </c>
      <c r="G37" s="191">
        <f>F37*(1+'Expense Projection'!$D$10)</f>
        <v>0</v>
      </c>
      <c r="H37" s="191">
        <f>G37*(1+'Expense Projection'!$D$10)</f>
        <v>0</v>
      </c>
      <c r="I37" s="191">
        <f>H37*(1+'Expense Projection'!$D$10)</f>
        <v>0</v>
      </c>
      <c r="J37" s="191">
        <f>I37*(1+'Expense Projection'!$D$10)</f>
        <v>0</v>
      </c>
      <c r="K37" s="191">
        <f>J37*(1+'Expense Projection'!$D$10)</f>
        <v>0</v>
      </c>
      <c r="L37" s="191">
        <f>K37*(1+'Expense Projection'!$D$10)</f>
        <v>0</v>
      </c>
      <c r="M37" s="191">
        <f>L37*(1+'Expense Projection'!$D$10)</f>
        <v>0</v>
      </c>
    </row>
    <row r="38" spans="2:13" x14ac:dyDescent="0.2">
      <c r="B38" s="66" t="str">
        <f t="shared" si="1"/>
        <v>Enter Product 8 Name Here</v>
      </c>
      <c r="C38" s="52"/>
      <c r="D38" s="191">
        <f>$D$10*'Production Assumptions'!BB30</f>
        <v>0</v>
      </c>
      <c r="E38" s="191">
        <f>'Production Assumptions'!BB30*(1+'Expense Projection'!$D$10)</f>
        <v>0</v>
      </c>
      <c r="F38" s="191">
        <f>E38*(1+'Expense Projection'!$D$10)</f>
        <v>0</v>
      </c>
      <c r="G38" s="191">
        <f>F38*(1+'Expense Projection'!$D$10)</f>
        <v>0</v>
      </c>
      <c r="H38" s="191">
        <f>G38*(1+'Expense Projection'!$D$10)</f>
        <v>0</v>
      </c>
      <c r="I38" s="191">
        <f>H38*(1+'Expense Projection'!$D$10)</f>
        <v>0</v>
      </c>
      <c r="J38" s="191">
        <f>I38*(1+'Expense Projection'!$D$10)</f>
        <v>0</v>
      </c>
      <c r="K38" s="191">
        <f>J38*(1+'Expense Projection'!$D$10)</f>
        <v>0</v>
      </c>
      <c r="L38" s="191">
        <f>K38*(1+'Expense Projection'!$D$10)</f>
        <v>0</v>
      </c>
      <c r="M38" s="191">
        <f>L38*(1+'Expense Projection'!$D$10)</f>
        <v>0</v>
      </c>
    </row>
    <row r="39" spans="2:13" x14ac:dyDescent="0.2">
      <c r="B39" s="66" t="str">
        <f t="shared" si="1"/>
        <v>Enter Product 9 Name Here</v>
      </c>
      <c r="C39" s="52"/>
      <c r="D39" s="191">
        <f>$D$10*'Production Assumptions'!BB31</f>
        <v>0</v>
      </c>
      <c r="E39" s="191">
        <f>'Production Assumptions'!BB31*(1+'Expense Projection'!$D$10)</f>
        <v>0</v>
      </c>
      <c r="F39" s="191">
        <f>E39*(1+'Expense Projection'!$D$10)</f>
        <v>0</v>
      </c>
      <c r="G39" s="191">
        <f>F39*(1+'Expense Projection'!$D$10)</f>
        <v>0</v>
      </c>
      <c r="H39" s="191">
        <f>G39*(1+'Expense Projection'!$D$10)</f>
        <v>0</v>
      </c>
      <c r="I39" s="191">
        <f>H39*(1+'Expense Projection'!$D$10)</f>
        <v>0</v>
      </c>
      <c r="J39" s="191">
        <f>I39*(1+'Expense Projection'!$D$10)</f>
        <v>0</v>
      </c>
      <c r="K39" s="191">
        <f>J39*(1+'Expense Projection'!$D$10)</f>
        <v>0</v>
      </c>
      <c r="L39" s="191">
        <f>K39*(1+'Expense Projection'!$D$10)</f>
        <v>0</v>
      </c>
      <c r="M39" s="191">
        <f>L39*(1+'Expense Projection'!$D$10)</f>
        <v>0</v>
      </c>
    </row>
    <row r="40" spans="2:13" x14ac:dyDescent="0.2">
      <c r="B40" s="66" t="str">
        <f t="shared" si="1"/>
        <v>Enter Product 10 Name Here</v>
      </c>
      <c r="C40" s="52"/>
      <c r="D40" s="191">
        <f>$D$10*'Production Assumptions'!BB32</f>
        <v>0</v>
      </c>
      <c r="E40" s="191">
        <f>'Production Assumptions'!BB32*(1+'Expense Projection'!$D$10)</f>
        <v>0</v>
      </c>
      <c r="F40" s="191">
        <f>E40*(1+'Expense Projection'!$D$10)</f>
        <v>0</v>
      </c>
      <c r="G40" s="191">
        <f>F40*(1+'Expense Projection'!$D$10)</f>
        <v>0</v>
      </c>
      <c r="H40" s="191">
        <f>G40*(1+'Expense Projection'!$D$10)</f>
        <v>0</v>
      </c>
      <c r="I40" s="191">
        <f>H40*(1+'Expense Projection'!$D$10)</f>
        <v>0</v>
      </c>
      <c r="J40" s="191">
        <f>I40*(1+'Expense Projection'!$D$10)</f>
        <v>0</v>
      </c>
      <c r="K40" s="191">
        <f>J40*(1+'Expense Projection'!$D$10)</f>
        <v>0</v>
      </c>
      <c r="L40" s="191">
        <f>K40*(1+'Expense Projection'!$D$10)</f>
        <v>0</v>
      </c>
      <c r="M40" s="191">
        <f>L40*(1+'Expense Projection'!$D$10)</f>
        <v>0</v>
      </c>
    </row>
    <row r="41" spans="2:13" x14ac:dyDescent="0.2">
      <c r="B41" s="66"/>
      <c r="C41" s="188"/>
      <c r="D41" s="192"/>
      <c r="E41" s="192"/>
      <c r="F41" s="192"/>
      <c r="G41" s="192"/>
      <c r="H41" s="192"/>
      <c r="I41" s="192"/>
      <c r="J41" s="192"/>
      <c r="K41" s="192"/>
      <c r="L41" s="192"/>
      <c r="M41" s="192"/>
    </row>
    <row r="42" spans="2:13" x14ac:dyDescent="0.2">
      <c r="B42" s="61" t="s">
        <v>310</v>
      </c>
      <c r="D42" s="138">
        <f>SUM(D31:D40)</f>
        <v>0</v>
      </c>
      <c r="E42" s="138">
        <f t="shared" ref="E42:M42" si="2">SUM(E31:E40)</f>
        <v>0</v>
      </c>
      <c r="F42" s="138">
        <f t="shared" si="2"/>
        <v>0</v>
      </c>
      <c r="G42" s="138">
        <f t="shared" si="2"/>
        <v>0</v>
      </c>
      <c r="H42" s="138">
        <f t="shared" si="2"/>
        <v>0</v>
      </c>
      <c r="I42" s="138">
        <f t="shared" si="2"/>
        <v>0</v>
      </c>
      <c r="J42" s="138">
        <f t="shared" si="2"/>
        <v>0</v>
      </c>
      <c r="K42" s="138">
        <f t="shared" si="2"/>
        <v>0</v>
      </c>
      <c r="L42" s="138">
        <f t="shared" si="2"/>
        <v>0</v>
      </c>
      <c r="M42" s="138">
        <f t="shared" si="2"/>
        <v>0</v>
      </c>
    </row>
    <row r="45" spans="2:13" x14ac:dyDescent="0.2">
      <c r="C45" s="52"/>
      <c r="D45" s="52"/>
      <c r="E45" s="52"/>
      <c r="F45" s="52"/>
      <c r="G45" s="52"/>
      <c r="H45" s="52"/>
      <c r="I45" s="52"/>
      <c r="J45" s="52"/>
      <c r="K45" s="52"/>
      <c r="L45" s="52"/>
    </row>
    <row r="46" spans="2:13" x14ac:dyDescent="0.2">
      <c r="C46" s="52"/>
      <c r="D46" s="52"/>
      <c r="E46" s="52"/>
      <c r="F46" s="52"/>
      <c r="G46" s="52"/>
      <c r="H46" s="52"/>
      <c r="I46" s="52"/>
      <c r="J46" s="52"/>
      <c r="K46" s="52"/>
      <c r="L46" s="52"/>
    </row>
    <row r="47" spans="2:13" x14ac:dyDescent="0.2">
      <c r="C47" s="188"/>
      <c r="D47" s="188"/>
      <c r="E47" s="188"/>
      <c r="F47" s="188"/>
      <c r="G47" s="188"/>
      <c r="H47" s="188"/>
      <c r="I47" s="188"/>
      <c r="J47" s="188"/>
      <c r="K47" s="188"/>
      <c r="L47" s="188"/>
    </row>
  </sheetData>
  <sheetProtection password="E114" sheet="1" objects="1" scenarios="1" selectLockedCells="1"/>
  <phoneticPr fontId="0" type="noConversion"/>
  <hyperlinks>
    <hyperlink ref="B3" location="'Plant, Prop &amp; Equip'!A1" display="Plant, Property, &amp; Equipment"/>
    <hyperlink ref="B4" location="'Production Assumptions'!A1" display="Production Assumptions"/>
    <hyperlink ref="B5" location="'Personnel Expenses'!A1" display="Personnel Expenses"/>
    <hyperlink ref="B6" location="'Expense Projection'!A1" display="Expense Projection"/>
    <hyperlink ref="B7" location="'Profit &amp; Loss'!A1" display="Profit/Loss Summary"/>
    <hyperlink ref="B8" location="'Return On Investment'!A1" display="Return on Investment"/>
  </hyperlinks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8"/>
  <sheetViews>
    <sheetView showGridLines="0" showRowColHeaders="0" workbookViewId="0">
      <selection activeCell="B3" sqref="B3"/>
    </sheetView>
  </sheetViews>
  <sheetFormatPr defaultColWidth="8.85546875" defaultRowHeight="12.75" x14ac:dyDescent="0.2"/>
  <cols>
    <col min="1" max="1" width="5.7109375" style="48" customWidth="1"/>
    <col min="2" max="2" width="24.28515625" style="48" customWidth="1"/>
    <col min="3" max="4" width="13.42578125" style="48" bestFit="1" customWidth="1"/>
    <col min="5" max="12" width="12.28515625" style="48" bestFit="1" customWidth="1"/>
    <col min="13" max="16384" width="8.85546875" style="48"/>
  </cols>
  <sheetData>
    <row r="1" spans="1:13" x14ac:dyDescent="0.2">
      <c r="A1" s="198"/>
      <c r="B1" s="61" t="s">
        <v>429</v>
      </c>
    </row>
    <row r="2" spans="1:13" x14ac:dyDescent="0.2">
      <c r="B2" s="64" t="s">
        <v>424</v>
      </c>
    </row>
    <row r="3" spans="1:13" x14ac:dyDescent="0.2">
      <c r="B3" s="78" t="s">
        <v>276</v>
      </c>
    </row>
    <row r="5" spans="1:13" x14ac:dyDescent="0.2">
      <c r="B5" s="61" t="s">
        <v>457</v>
      </c>
      <c r="C5" s="140">
        <f>'Plant, Prop &amp; Equip'!G5</f>
        <v>895065.47500000009</v>
      </c>
    </row>
    <row r="6" spans="1:13" x14ac:dyDescent="0.2">
      <c r="B6" s="61" t="s">
        <v>12</v>
      </c>
      <c r="C6" s="194">
        <f>'Plant, Prop &amp; Equip'!G7</f>
        <v>7.4999999999999997E-2</v>
      </c>
    </row>
    <row r="7" spans="1:13" x14ac:dyDescent="0.2">
      <c r="B7" s="61" t="s">
        <v>13</v>
      </c>
      <c r="C7" s="194">
        <f>'Plant, Prop &amp; Equip'!G6</f>
        <v>0.5</v>
      </c>
    </row>
    <row r="8" spans="1:13" x14ac:dyDescent="0.2">
      <c r="B8" s="61" t="s">
        <v>10</v>
      </c>
      <c r="C8" s="140">
        <f>'Plant, Prop &amp; Equip'!G9</f>
        <v>447532.73750000005</v>
      </c>
    </row>
    <row r="9" spans="1:13" x14ac:dyDescent="0.2">
      <c r="B9" s="61" t="s">
        <v>11</v>
      </c>
      <c r="C9" s="195">
        <f>'Plant, Prop &amp; Equip'!G8</f>
        <v>40</v>
      </c>
    </row>
    <row r="11" spans="1:13" x14ac:dyDescent="0.2">
      <c r="C11" s="196"/>
    </row>
    <row r="13" spans="1:13" x14ac:dyDescent="0.2">
      <c r="C13" s="189" t="s">
        <v>0</v>
      </c>
      <c r="D13" s="189" t="s">
        <v>1</v>
      </c>
      <c r="E13" s="189" t="s">
        <v>2</v>
      </c>
      <c r="F13" s="189" t="s">
        <v>3</v>
      </c>
      <c r="G13" s="189" t="s">
        <v>4</v>
      </c>
      <c r="H13" s="189" t="s">
        <v>5</v>
      </c>
      <c r="I13" s="189" t="s">
        <v>6</v>
      </c>
      <c r="J13" s="189" t="s">
        <v>7</v>
      </c>
      <c r="K13" s="189" t="s">
        <v>8</v>
      </c>
      <c r="L13" s="189" t="s">
        <v>9</v>
      </c>
    </row>
    <row r="14" spans="1:13" x14ac:dyDescent="0.2">
      <c r="B14" s="61" t="s">
        <v>15</v>
      </c>
      <c r="C14" s="67">
        <f>IF(C9&gt;0,$C$8,0)</f>
        <v>447532.73750000005</v>
      </c>
      <c r="D14" s="67">
        <f t="shared" ref="D14:L14" si="0">C21</f>
        <v>445563.45301789633</v>
      </c>
      <c r="E14" s="67">
        <f t="shared" si="0"/>
        <v>443446.47219963482</v>
      </c>
      <c r="F14" s="67">
        <f t="shared" si="0"/>
        <v>441170.71782000369</v>
      </c>
      <c r="G14" s="67">
        <f t="shared" si="0"/>
        <v>438724.28186190024</v>
      </c>
      <c r="H14" s="67">
        <f t="shared" si="0"/>
        <v>436094.36320693902</v>
      </c>
      <c r="I14" s="67">
        <f t="shared" si="0"/>
        <v>433267.20065285568</v>
      </c>
      <c r="J14" s="67">
        <f t="shared" si="0"/>
        <v>430228.0009072161</v>
      </c>
      <c r="K14" s="67">
        <f t="shared" si="0"/>
        <v>426960.86118065356</v>
      </c>
      <c r="L14" s="67">
        <f t="shared" si="0"/>
        <v>423448.68597459886</v>
      </c>
    </row>
    <row r="15" spans="1:13" x14ac:dyDescent="0.2">
      <c r="B15" s="61" t="s">
        <v>16</v>
      </c>
      <c r="C15" s="197">
        <f t="shared" ref="C15:L15" si="1">$C$6</f>
        <v>7.4999999999999997E-2</v>
      </c>
      <c r="D15" s="197">
        <f t="shared" si="1"/>
        <v>7.4999999999999997E-2</v>
      </c>
      <c r="E15" s="197">
        <f t="shared" si="1"/>
        <v>7.4999999999999997E-2</v>
      </c>
      <c r="F15" s="197">
        <f t="shared" si="1"/>
        <v>7.4999999999999997E-2</v>
      </c>
      <c r="G15" s="197">
        <f t="shared" si="1"/>
        <v>7.4999999999999997E-2</v>
      </c>
      <c r="H15" s="197">
        <f t="shared" si="1"/>
        <v>7.4999999999999997E-2</v>
      </c>
      <c r="I15" s="197">
        <f t="shared" si="1"/>
        <v>7.4999999999999997E-2</v>
      </c>
      <c r="J15" s="197">
        <f t="shared" si="1"/>
        <v>7.4999999999999997E-2</v>
      </c>
      <c r="K15" s="197">
        <f t="shared" si="1"/>
        <v>7.4999999999999997E-2</v>
      </c>
      <c r="L15" s="197">
        <f t="shared" si="1"/>
        <v>7.4999999999999997E-2</v>
      </c>
    </row>
    <row r="16" spans="1:13" x14ac:dyDescent="0.2">
      <c r="B16" s="61" t="s">
        <v>17</v>
      </c>
      <c r="C16" s="67">
        <f>IF(C9&gt;0,C14*C15,0)</f>
        <v>33564.955312500002</v>
      </c>
      <c r="D16" s="67">
        <f t="shared" ref="D16:L16" si="2">D14*D15</f>
        <v>33417.258976342222</v>
      </c>
      <c r="E16" s="67">
        <f t="shared" si="2"/>
        <v>33258.485414972609</v>
      </c>
      <c r="F16" s="67">
        <f t="shared" si="2"/>
        <v>33087.803836500272</v>
      </c>
      <c r="G16" s="67">
        <f t="shared" si="2"/>
        <v>32904.321139642518</v>
      </c>
      <c r="H16" s="67">
        <f t="shared" si="2"/>
        <v>32707.077240520426</v>
      </c>
      <c r="I16" s="67">
        <f t="shared" si="2"/>
        <v>32495.040048964176</v>
      </c>
      <c r="J16" s="67">
        <f t="shared" si="2"/>
        <v>32267.100068041207</v>
      </c>
      <c r="K16" s="67">
        <f t="shared" si="2"/>
        <v>32022.064588549016</v>
      </c>
      <c r="L16" s="67">
        <f t="shared" si="2"/>
        <v>31758.651448094912</v>
      </c>
      <c r="M16" s="67"/>
    </row>
    <row r="17" spans="2:12" x14ac:dyDescent="0.2">
      <c r="B17" s="61"/>
    </row>
    <row r="18" spans="2:12" x14ac:dyDescent="0.2">
      <c r="B18" s="61" t="s">
        <v>18</v>
      </c>
      <c r="C18" s="67">
        <f>IFERROR(PMT(C15,$C$9,-$C$8),0)</f>
        <v>35534.239794603731</v>
      </c>
      <c r="D18" s="67">
        <f t="shared" ref="D18:L18" si="3">IFERROR(PMT(D15,$C$9,-$C$8),0)</f>
        <v>35534.239794603731</v>
      </c>
      <c r="E18" s="67">
        <f t="shared" si="3"/>
        <v>35534.239794603731</v>
      </c>
      <c r="F18" s="67">
        <f t="shared" si="3"/>
        <v>35534.239794603731</v>
      </c>
      <c r="G18" s="67">
        <f t="shared" si="3"/>
        <v>35534.239794603731</v>
      </c>
      <c r="H18" s="67">
        <f t="shared" si="3"/>
        <v>35534.239794603731</v>
      </c>
      <c r="I18" s="67">
        <f t="shared" si="3"/>
        <v>35534.239794603731</v>
      </c>
      <c r="J18" s="67">
        <f t="shared" si="3"/>
        <v>35534.239794603731</v>
      </c>
      <c r="K18" s="67">
        <f t="shared" si="3"/>
        <v>35534.239794603731</v>
      </c>
      <c r="L18" s="67">
        <f t="shared" si="3"/>
        <v>35534.239794603731</v>
      </c>
    </row>
    <row r="19" spans="2:12" x14ac:dyDescent="0.2">
      <c r="B19" s="61" t="s">
        <v>19</v>
      </c>
      <c r="C19" s="67">
        <f>IF(C18-C16&gt;0,C18-C16,0)</f>
        <v>1969.2844821037288</v>
      </c>
      <c r="D19" s="67">
        <f t="shared" ref="D19:L19" si="4">IF(D18-D16&gt;0,D18-D16,0)</f>
        <v>2116.9808182615088</v>
      </c>
      <c r="E19" s="67">
        <f t="shared" si="4"/>
        <v>2275.754379631122</v>
      </c>
      <c r="F19" s="67">
        <f t="shared" si="4"/>
        <v>2446.4359581034587</v>
      </c>
      <c r="G19" s="67">
        <f t="shared" si="4"/>
        <v>2629.9186549612132</v>
      </c>
      <c r="H19" s="67">
        <f t="shared" si="4"/>
        <v>2827.1625540833047</v>
      </c>
      <c r="I19" s="67">
        <f t="shared" si="4"/>
        <v>3039.1997456395547</v>
      </c>
      <c r="J19" s="67">
        <f t="shared" si="4"/>
        <v>3267.1397265625237</v>
      </c>
      <c r="K19" s="67">
        <f t="shared" si="4"/>
        <v>3512.1752060547151</v>
      </c>
      <c r="L19" s="67">
        <f t="shared" si="4"/>
        <v>3775.5883465088191</v>
      </c>
    </row>
    <row r="20" spans="2:12" x14ac:dyDescent="0.2">
      <c r="B20" s="61"/>
    </row>
    <row r="21" spans="2:12" x14ac:dyDescent="0.2">
      <c r="B21" s="61" t="s">
        <v>20</v>
      </c>
      <c r="C21" s="67">
        <f>IF(C19&gt;0,C14-C19,0)</f>
        <v>445563.45301789633</v>
      </c>
      <c r="D21" s="67">
        <f t="shared" ref="D21:L21" si="5">D14-D19</f>
        <v>443446.47219963482</v>
      </c>
      <c r="E21" s="67">
        <f t="shared" si="5"/>
        <v>441170.71782000369</v>
      </c>
      <c r="F21" s="67">
        <f t="shared" si="5"/>
        <v>438724.28186190024</v>
      </c>
      <c r="G21" s="67">
        <f t="shared" si="5"/>
        <v>436094.36320693902</v>
      </c>
      <c r="H21" s="67">
        <f t="shared" si="5"/>
        <v>433267.20065285568</v>
      </c>
      <c r="I21" s="67">
        <f t="shared" si="5"/>
        <v>430228.0009072161</v>
      </c>
      <c r="J21" s="67">
        <f t="shared" si="5"/>
        <v>426960.86118065356</v>
      </c>
      <c r="K21" s="67">
        <f t="shared" si="5"/>
        <v>423448.68597459886</v>
      </c>
      <c r="L21" s="67">
        <f t="shared" si="5"/>
        <v>419673.09762809006</v>
      </c>
    </row>
    <row r="24" spans="2:12" x14ac:dyDescent="0.2">
      <c r="B24" s="61" t="s">
        <v>14</v>
      </c>
      <c r="C24" s="199">
        <v>10000</v>
      </c>
    </row>
    <row r="25" spans="2:12" x14ac:dyDescent="0.2">
      <c r="B25" s="61" t="s">
        <v>21</v>
      </c>
      <c r="C25" s="200">
        <v>0.06</v>
      </c>
    </row>
    <row r="26" spans="2:12" x14ac:dyDescent="0.2">
      <c r="B26" s="61" t="s">
        <v>22</v>
      </c>
      <c r="C26" s="129">
        <f>C24*C25</f>
        <v>600</v>
      </c>
    </row>
    <row r="28" spans="2:12" x14ac:dyDescent="0.2">
      <c r="B28" s="61" t="s">
        <v>23</v>
      </c>
      <c r="C28" s="67">
        <f t="shared" ref="C28:L28" si="6">C16+$C$26</f>
        <v>34164.955312500002</v>
      </c>
      <c r="D28" s="67">
        <f t="shared" si="6"/>
        <v>34017.258976342222</v>
      </c>
      <c r="E28" s="67">
        <f t="shared" si="6"/>
        <v>33858.485414972609</v>
      </c>
      <c r="F28" s="67">
        <f t="shared" si="6"/>
        <v>33687.803836500272</v>
      </c>
      <c r="G28" s="67">
        <f t="shared" si="6"/>
        <v>33504.321139642518</v>
      </c>
      <c r="H28" s="67">
        <f t="shared" si="6"/>
        <v>33307.077240520426</v>
      </c>
      <c r="I28" s="67">
        <f t="shared" si="6"/>
        <v>33095.040048964176</v>
      </c>
      <c r="J28" s="67">
        <f t="shared" si="6"/>
        <v>32867.100068041211</v>
      </c>
      <c r="K28" s="67">
        <f t="shared" si="6"/>
        <v>32622.064588549016</v>
      </c>
      <c r="L28" s="67">
        <f t="shared" si="6"/>
        <v>32358.651448094912</v>
      </c>
    </row>
  </sheetData>
  <sheetProtection password="E114" sheet="1" objects="1" scenarios="1" selectLockedCells="1"/>
  <phoneticPr fontId="0" type="noConversion"/>
  <hyperlinks>
    <hyperlink ref="B3" location="'Plant, Prop &amp; Equip'!A1" display="Plant, Property, &amp; Equipment"/>
  </hyperlinks>
  <pageMargins left="0.75" right="0.75" top="1" bottom="1" header="0.5" footer="0.5"/>
  <pageSetup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7"/>
  <sheetViews>
    <sheetView showGridLines="0" showRowColHeaders="0" workbookViewId="0">
      <selection activeCell="B3" sqref="B3"/>
    </sheetView>
  </sheetViews>
  <sheetFormatPr defaultColWidth="8.85546875" defaultRowHeight="12.75" x14ac:dyDescent="0.2"/>
  <cols>
    <col min="1" max="1" width="5.7109375" style="48" customWidth="1"/>
    <col min="2" max="2" width="19.7109375" style="61" customWidth="1"/>
    <col min="3" max="12" width="12.7109375" style="48" customWidth="1"/>
    <col min="13" max="13" width="12.7109375" style="197" customWidth="1"/>
    <col min="14" max="16384" width="8.85546875" style="48"/>
  </cols>
  <sheetData>
    <row r="1" spans="1:14" x14ac:dyDescent="0.2">
      <c r="B1" s="61" t="s">
        <v>430</v>
      </c>
    </row>
    <row r="2" spans="1:14" x14ac:dyDescent="0.2">
      <c r="B2" s="57" t="s">
        <v>415</v>
      </c>
    </row>
    <row r="3" spans="1:14" x14ac:dyDescent="0.2">
      <c r="A3" s="198"/>
      <c r="B3" s="119" t="s">
        <v>276</v>
      </c>
    </row>
    <row r="4" spans="1:14" x14ac:dyDescent="0.2">
      <c r="B4" s="78" t="s">
        <v>408</v>
      </c>
    </row>
    <row r="5" spans="1:14" x14ac:dyDescent="0.2">
      <c r="B5" s="78" t="s">
        <v>409</v>
      </c>
    </row>
    <row r="6" spans="1:14" x14ac:dyDescent="0.2">
      <c r="B6" s="78" t="s">
        <v>410</v>
      </c>
    </row>
    <row r="7" spans="1:14" x14ac:dyDescent="0.2">
      <c r="B7" s="78" t="s">
        <v>413</v>
      </c>
    </row>
    <row r="8" spans="1:14" x14ac:dyDescent="0.2">
      <c r="B8" s="78" t="s">
        <v>414</v>
      </c>
    </row>
    <row r="10" spans="1:14" x14ac:dyDescent="0.2">
      <c r="B10" s="61" t="s">
        <v>324</v>
      </c>
      <c r="D10" s="203">
        <v>0.01</v>
      </c>
    </row>
    <row r="12" spans="1:14" x14ac:dyDescent="0.2">
      <c r="B12" s="189" t="s">
        <v>24</v>
      </c>
      <c r="C12" s="189" t="s">
        <v>444</v>
      </c>
      <c r="D12" s="189" t="s">
        <v>0</v>
      </c>
      <c r="E12" s="189" t="s">
        <v>1</v>
      </c>
      <c r="F12" s="189" t="s">
        <v>2</v>
      </c>
      <c r="G12" s="189" t="s">
        <v>3</v>
      </c>
      <c r="H12" s="189" t="s">
        <v>4</v>
      </c>
      <c r="I12" s="189" t="s">
        <v>5</v>
      </c>
      <c r="J12" s="189" t="s">
        <v>6</v>
      </c>
      <c r="K12" s="189" t="s">
        <v>7</v>
      </c>
      <c r="L12" s="189" t="s">
        <v>8</v>
      </c>
      <c r="M12" s="189" t="s">
        <v>9</v>
      </c>
    </row>
    <row r="13" spans="1:14" x14ac:dyDescent="0.2">
      <c r="B13" s="61" t="s">
        <v>29</v>
      </c>
      <c r="C13" s="137"/>
      <c r="D13" s="137">
        <f>'Personnel Expenses'!F33</f>
        <v>185000</v>
      </c>
      <c r="E13" s="137">
        <f>D13*(1+$D$10)</f>
        <v>186850</v>
      </c>
      <c r="F13" s="137">
        <f t="shared" ref="F13:M13" si="0">E13*(1+$D$10)</f>
        <v>188718.5</v>
      </c>
      <c r="G13" s="137">
        <f t="shared" si="0"/>
        <v>190605.685</v>
      </c>
      <c r="H13" s="137">
        <f t="shared" si="0"/>
        <v>192511.74184999999</v>
      </c>
      <c r="I13" s="137">
        <f t="shared" si="0"/>
        <v>194436.8592685</v>
      </c>
      <c r="J13" s="137">
        <f t="shared" si="0"/>
        <v>196381.22786118501</v>
      </c>
      <c r="K13" s="137">
        <f t="shared" si="0"/>
        <v>198345.04013979685</v>
      </c>
      <c r="L13" s="137">
        <f t="shared" si="0"/>
        <v>200328.49054119483</v>
      </c>
      <c r="M13" s="137">
        <f t="shared" si="0"/>
        <v>202331.77544660677</v>
      </c>
      <c r="N13" s="137"/>
    </row>
    <row r="14" spans="1:14" x14ac:dyDescent="0.2">
      <c r="B14" s="61" t="s">
        <v>28</v>
      </c>
      <c r="C14" s="137"/>
      <c r="D14" s="137">
        <f>'Personnel Expenses'!G33</f>
        <v>64750</v>
      </c>
      <c r="E14" s="137">
        <f>D14*(1+$D$10)</f>
        <v>65397.5</v>
      </c>
      <c r="F14" s="137">
        <f t="shared" ref="F14:M14" si="1">E14*(1+$D$10)</f>
        <v>66051.475000000006</v>
      </c>
      <c r="G14" s="137">
        <f t="shared" si="1"/>
        <v>66711.989750000008</v>
      </c>
      <c r="H14" s="137">
        <f t="shared" si="1"/>
        <v>67379.109647500009</v>
      </c>
      <c r="I14" s="137">
        <f t="shared" si="1"/>
        <v>68052.900743975013</v>
      </c>
      <c r="J14" s="137">
        <f t="shared" si="1"/>
        <v>68733.429751414762</v>
      </c>
      <c r="K14" s="137">
        <f t="shared" si="1"/>
        <v>69420.764048928904</v>
      </c>
      <c r="L14" s="137">
        <f t="shared" si="1"/>
        <v>70114.971689418191</v>
      </c>
      <c r="M14" s="137">
        <f t="shared" si="1"/>
        <v>70816.121406312377</v>
      </c>
      <c r="N14" s="137"/>
    </row>
    <row r="15" spans="1:14" x14ac:dyDescent="0.2">
      <c r="B15" s="61" t="s">
        <v>27</v>
      </c>
      <c r="C15" s="137"/>
      <c r="D15" s="137">
        <f>'Personnel Expenses'!I33</f>
        <v>0</v>
      </c>
      <c r="E15" s="137">
        <f>D15*(1+$D$10)</f>
        <v>0</v>
      </c>
      <c r="F15" s="137">
        <f t="shared" ref="F15:M15" si="2">E15*(1+$D$10)</f>
        <v>0</v>
      </c>
      <c r="G15" s="137">
        <f t="shared" si="2"/>
        <v>0</v>
      </c>
      <c r="H15" s="137">
        <f t="shared" si="2"/>
        <v>0</v>
      </c>
      <c r="I15" s="137">
        <f t="shared" si="2"/>
        <v>0</v>
      </c>
      <c r="J15" s="137">
        <f t="shared" si="2"/>
        <v>0</v>
      </c>
      <c r="K15" s="137">
        <f t="shared" si="2"/>
        <v>0</v>
      </c>
      <c r="L15" s="137">
        <f t="shared" si="2"/>
        <v>0</v>
      </c>
      <c r="M15" s="137">
        <f t="shared" si="2"/>
        <v>0</v>
      </c>
      <c r="N15" s="137"/>
    </row>
    <row r="16" spans="1:14" x14ac:dyDescent="0.2"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</row>
    <row r="17" spans="2:14" x14ac:dyDescent="0.2">
      <c r="B17" s="61" t="s">
        <v>33</v>
      </c>
      <c r="C17" s="201">
        <f t="shared" ref="C17:M17" si="3">SUM(C13,C14,C15)</f>
        <v>0</v>
      </c>
      <c r="D17" s="201">
        <f t="shared" si="3"/>
        <v>249750</v>
      </c>
      <c r="E17" s="201">
        <f t="shared" si="3"/>
        <v>252247.5</v>
      </c>
      <c r="F17" s="201">
        <f t="shared" si="3"/>
        <v>254769.97500000001</v>
      </c>
      <c r="G17" s="201">
        <f t="shared" si="3"/>
        <v>257317.67475000001</v>
      </c>
      <c r="H17" s="201">
        <f t="shared" si="3"/>
        <v>259890.8514975</v>
      </c>
      <c r="I17" s="201">
        <f t="shared" si="3"/>
        <v>262489.76001247502</v>
      </c>
      <c r="J17" s="201">
        <f t="shared" si="3"/>
        <v>265114.65761259978</v>
      </c>
      <c r="K17" s="201">
        <f t="shared" si="3"/>
        <v>267765.80418872577</v>
      </c>
      <c r="L17" s="201">
        <f t="shared" si="3"/>
        <v>270443.46223061299</v>
      </c>
      <c r="M17" s="201">
        <f t="shared" si="3"/>
        <v>273147.89685291913</v>
      </c>
      <c r="N17" s="137"/>
    </row>
    <row r="18" spans="2:14" x14ac:dyDescent="0.2"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</row>
    <row r="19" spans="2:14" x14ac:dyDescent="0.2">
      <c r="B19" s="61" t="s">
        <v>89</v>
      </c>
      <c r="C19" s="137"/>
      <c r="D19" s="137">
        <f>+'Market Projection'!D42</f>
        <v>0</v>
      </c>
      <c r="E19" s="137">
        <f>+'Market Projection'!E42</f>
        <v>0</v>
      </c>
      <c r="F19" s="137">
        <f>+'Market Projection'!F42</f>
        <v>0</v>
      </c>
      <c r="G19" s="137">
        <f>+'Market Projection'!G42</f>
        <v>0</v>
      </c>
      <c r="H19" s="137">
        <f>+'Market Projection'!H42</f>
        <v>0</v>
      </c>
      <c r="I19" s="137">
        <f>+'Market Projection'!I42</f>
        <v>0</v>
      </c>
      <c r="J19" s="137">
        <f>+'Market Projection'!J42</f>
        <v>0</v>
      </c>
      <c r="K19" s="137">
        <f>+'Market Projection'!K42</f>
        <v>0</v>
      </c>
      <c r="L19" s="137">
        <f>+'Market Projection'!L42</f>
        <v>0</v>
      </c>
      <c r="M19" s="137">
        <f>+'Market Projection'!M42</f>
        <v>0</v>
      </c>
      <c r="N19" s="137"/>
    </row>
    <row r="20" spans="2:14" x14ac:dyDescent="0.2"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</row>
    <row r="21" spans="2:14" x14ac:dyDescent="0.2">
      <c r="B21" s="61" t="s">
        <v>35</v>
      </c>
      <c r="C21" s="137"/>
      <c r="D21" s="137">
        <f>+'Plant, Prop &amp; Equip'!C124</f>
        <v>21644</v>
      </c>
      <c r="E21" s="137">
        <f>D21*(1+'Expense Projection'!$D$10)</f>
        <v>21860.44</v>
      </c>
      <c r="F21" s="137">
        <f>E21*(1+'Expense Projection'!$D$10)</f>
        <v>22079.044399999999</v>
      </c>
      <c r="G21" s="137">
        <f>F21*(1+'Expense Projection'!$D$10)</f>
        <v>22299.834843999997</v>
      </c>
      <c r="H21" s="137">
        <f>G21*(1+'Expense Projection'!$D$10)</f>
        <v>22522.833192439997</v>
      </c>
      <c r="I21" s="137">
        <f>H21*(1+'Expense Projection'!$D$10)</f>
        <v>22748.061524364399</v>
      </c>
      <c r="J21" s="137">
        <f>I21*(1+'Expense Projection'!$D$10)</f>
        <v>22975.542139608042</v>
      </c>
      <c r="K21" s="137">
        <f>J21*(1+'Expense Projection'!$D$10)</f>
        <v>23205.297561004121</v>
      </c>
      <c r="L21" s="137">
        <f>K21*(1+'Expense Projection'!$D$10)</f>
        <v>23437.350536614162</v>
      </c>
      <c r="M21" s="137">
        <f>L21*(1+'Expense Projection'!$D$10)</f>
        <v>23671.724041980302</v>
      </c>
      <c r="N21" s="137"/>
    </row>
    <row r="22" spans="2:14" x14ac:dyDescent="0.2"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</row>
    <row r="23" spans="2:14" x14ac:dyDescent="0.2">
      <c r="B23" s="61" t="s">
        <v>36</v>
      </c>
      <c r="C23" s="201">
        <f>SUM(C17:C21)</f>
        <v>0</v>
      </c>
      <c r="D23" s="201">
        <f>SUM(D17:D21)</f>
        <v>271394</v>
      </c>
      <c r="E23" s="201">
        <f t="shared" ref="E23:M23" si="4">SUM(E17:E21)</f>
        <v>274107.94</v>
      </c>
      <c r="F23" s="201">
        <f t="shared" si="4"/>
        <v>276849.01939999999</v>
      </c>
      <c r="G23" s="201">
        <f t="shared" si="4"/>
        <v>279617.509594</v>
      </c>
      <c r="H23" s="201">
        <f t="shared" si="4"/>
        <v>282413.68468994001</v>
      </c>
      <c r="I23" s="201">
        <f t="shared" si="4"/>
        <v>285237.82153683942</v>
      </c>
      <c r="J23" s="201">
        <f t="shared" si="4"/>
        <v>288090.19975220785</v>
      </c>
      <c r="K23" s="201">
        <f t="shared" si="4"/>
        <v>290971.10174972989</v>
      </c>
      <c r="L23" s="201">
        <f t="shared" si="4"/>
        <v>293880.81276722718</v>
      </c>
      <c r="M23" s="201">
        <f t="shared" si="4"/>
        <v>296819.62089489942</v>
      </c>
      <c r="N23" s="137"/>
    </row>
    <row r="24" spans="2:14" x14ac:dyDescent="0.2"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</row>
    <row r="25" spans="2:14" x14ac:dyDescent="0.2">
      <c r="B25" s="189" t="s">
        <v>37</v>
      </c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</row>
    <row r="26" spans="2:14" x14ac:dyDescent="0.2">
      <c r="B26" s="61" t="s">
        <v>38</v>
      </c>
      <c r="C26" s="137"/>
      <c r="D26" s="137">
        <f>+'Plant, Prop &amp; Equip'!C126*Depreciation!D29</f>
        <v>26101.964250000001</v>
      </c>
      <c r="E26" s="137">
        <f>D26*(1+'Expense Projection'!$D$10)</f>
        <v>26362.9838925</v>
      </c>
      <c r="F26" s="137">
        <f>E26*(1+'Expense Projection'!$D$10)</f>
        <v>26626.613731425001</v>
      </c>
      <c r="G26" s="137">
        <f>F26*(1+'Expense Projection'!$D$10)</f>
        <v>26892.879868739252</v>
      </c>
      <c r="H26" s="137">
        <f>G26*(1+'Expense Projection'!$D$10)</f>
        <v>27161.808667426645</v>
      </c>
      <c r="I26" s="137">
        <f>H26*(1+'Expense Projection'!$D$10)</f>
        <v>27433.42675410091</v>
      </c>
      <c r="J26" s="137">
        <f>I26*(1+'Expense Projection'!$D$10)</f>
        <v>27707.76102164192</v>
      </c>
      <c r="K26" s="137">
        <f>J26*(1+'Expense Projection'!$D$10)</f>
        <v>27984.83863185834</v>
      </c>
      <c r="L26" s="137">
        <f>K26*(1+'Expense Projection'!$D$10)</f>
        <v>28264.687018176923</v>
      </c>
      <c r="M26" s="137">
        <f>L26*(1+'Expense Projection'!$D$10)</f>
        <v>28547.333888358691</v>
      </c>
      <c r="N26" s="137"/>
    </row>
    <row r="27" spans="2:14" x14ac:dyDescent="0.2"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</row>
    <row r="28" spans="2:14" x14ac:dyDescent="0.2">
      <c r="B28" s="61" t="s">
        <v>40</v>
      </c>
      <c r="C28" s="137"/>
      <c r="D28" s="137">
        <f>+'Plant, Prop &amp; Equip'!C127*Depreciation!D29</f>
        <v>17401.309500000003</v>
      </c>
      <c r="E28" s="137">
        <f>D28*(1+'Expense Projection'!$D$10)</f>
        <v>17575.322595000001</v>
      </c>
      <c r="F28" s="137">
        <f>E28*(1+'Expense Projection'!$D$10)</f>
        <v>17751.075820950002</v>
      </c>
      <c r="G28" s="137">
        <f>F28*(1+'Expense Projection'!$D$10)</f>
        <v>17928.586579159502</v>
      </c>
      <c r="H28" s="137">
        <f>G28*(1+'Expense Projection'!$D$10)</f>
        <v>18107.872444951099</v>
      </c>
      <c r="I28" s="137">
        <f>H28*(1+'Expense Projection'!$D$10)</f>
        <v>18288.951169400611</v>
      </c>
      <c r="J28" s="137">
        <f>I28*(1+'Expense Projection'!$D$10)</f>
        <v>18471.840681094618</v>
      </c>
      <c r="K28" s="137">
        <f>J28*(1+'Expense Projection'!$D$10)</f>
        <v>18656.559087905564</v>
      </c>
      <c r="L28" s="137">
        <f>K28*(1+'Expense Projection'!$D$10)</f>
        <v>18843.124678784618</v>
      </c>
      <c r="M28" s="137">
        <f>L28*(1+'Expense Projection'!$D$10)</f>
        <v>19031.555925572466</v>
      </c>
      <c r="N28" s="137"/>
    </row>
    <row r="29" spans="2:14" x14ac:dyDescent="0.2"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</row>
    <row r="30" spans="2:14" x14ac:dyDescent="0.2">
      <c r="B30" s="61" t="s">
        <v>39</v>
      </c>
      <c r="C30" s="137"/>
      <c r="D30" s="137">
        <f>'Plant, Prop &amp; Equip'!C128*Depreciation!D31</f>
        <v>4475.3273750000008</v>
      </c>
      <c r="E30" s="137">
        <f>D30*(1+'Expense Projection'!$D$10)</f>
        <v>4520.0806487500004</v>
      </c>
      <c r="F30" s="137">
        <f>E30*(1+'Expense Projection'!$D$10)</f>
        <v>4565.2814552375003</v>
      </c>
      <c r="G30" s="137">
        <f>F30*(1+'Expense Projection'!$D$10)</f>
        <v>4610.9342697898755</v>
      </c>
      <c r="H30" s="137">
        <f>G30*(1+'Expense Projection'!$D$10)</f>
        <v>4657.0436124877742</v>
      </c>
      <c r="I30" s="137">
        <f>H30*(1+'Expense Projection'!$D$10)</f>
        <v>4703.6140486126524</v>
      </c>
      <c r="J30" s="137">
        <f>I30*(1+'Expense Projection'!$D$10)</f>
        <v>4750.6501890987793</v>
      </c>
      <c r="K30" s="137">
        <f>J30*(1+'Expense Projection'!$D$10)</f>
        <v>4798.1566909897674</v>
      </c>
      <c r="L30" s="137">
        <f>K30*(1+'Expense Projection'!$D$10)</f>
        <v>4846.1382578996654</v>
      </c>
      <c r="M30" s="137">
        <f>L30*(1+'Expense Projection'!$D$10)</f>
        <v>4894.599640478662</v>
      </c>
      <c r="N30" s="137"/>
    </row>
    <row r="31" spans="2:14" x14ac:dyDescent="0.2"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</row>
    <row r="32" spans="2:14" x14ac:dyDescent="0.2">
      <c r="B32" s="61" t="s">
        <v>46</v>
      </c>
      <c r="C32" s="137"/>
      <c r="D32" s="137">
        <f>Depreciation!C39</f>
        <v>49580.489839038462</v>
      </c>
      <c r="E32" s="137">
        <f>Depreciation!D39</f>
        <v>76673.268289038475</v>
      </c>
      <c r="F32" s="137">
        <f>Depreciation!E39</f>
        <v>58080.185039038464</v>
      </c>
      <c r="G32" s="137">
        <f>Depreciation!F39</f>
        <v>44799.411289038464</v>
      </c>
      <c r="H32" s="137">
        <f>Depreciation!G39</f>
        <v>35343.500379038465</v>
      </c>
      <c r="I32" s="137">
        <f>Depreciation!H39</f>
        <v>35316.938831538464</v>
      </c>
      <c r="J32" s="137">
        <f>Depreciation!I39</f>
        <v>35343.500379038465</v>
      </c>
      <c r="K32" s="137">
        <f>Depreciation!J39</f>
        <v>23470.488646538462</v>
      </c>
      <c r="L32" s="137">
        <f>Depreciation!K39</f>
        <v>11624.038461538461</v>
      </c>
      <c r="M32" s="137">
        <f>Depreciation!L39</f>
        <v>11624.038461538461</v>
      </c>
      <c r="N32" s="137"/>
    </row>
    <row r="33" spans="2:14" x14ac:dyDescent="0.2"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</row>
    <row r="34" spans="2:14" x14ac:dyDescent="0.2">
      <c r="B34" s="61" t="s">
        <v>17</v>
      </c>
      <c r="C34" s="137"/>
      <c r="D34" s="137">
        <f>+'Borrowing &amp; Debt'!C28</f>
        <v>34164.955312500002</v>
      </c>
      <c r="E34" s="137">
        <f>+'Borrowing &amp; Debt'!D28</f>
        <v>34017.258976342222</v>
      </c>
      <c r="F34" s="137">
        <f>+'Borrowing &amp; Debt'!E28</f>
        <v>33858.485414972609</v>
      </c>
      <c r="G34" s="137">
        <f>+'Borrowing &amp; Debt'!F28</f>
        <v>33687.803836500272</v>
      </c>
      <c r="H34" s="137">
        <f>+'Borrowing &amp; Debt'!G28</f>
        <v>33504.321139642518</v>
      </c>
      <c r="I34" s="137">
        <f>+'Borrowing &amp; Debt'!H28</f>
        <v>33307.077240520426</v>
      </c>
      <c r="J34" s="137">
        <f>+'Borrowing &amp; Debt'!I28</f>
        <v>33095.040048964176</v>
      </c>
      <c r="K34" s="137">
        <f>+'Borrowing &amp; Debt'!J28</f>
        <v>32867.100068041211</v>
      </c>
      <c r="L34" s="137">
        <f>+'Borrowing &amp; Debt'!K28</f>
        <v>32622.064588549016</v>
      </c>
      <c r="M34" s="137">
        <f>+'Borrowing &amp; Debt'!L28</f>
        <v>32358.651448094912</v>
      </c>
      <c r="N34" s="137"/>
    </row>
    <row r="35" spans="2:14" x14ac:dyDescent="0.2"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</row>
    <row r="36" spans="2:14" x14ac:dyDescent="0.2">
      <c r="B36" s="61" t="s">
        <v>49</v>
      </c>
      <c r="C36" s="201">
        <f t="shared" ref="C36:M36" si="5">SUM(C26,C28,C30,C32,C34)</f>
        <v>0</v>
      </c>
      <c r="D36" s="201">
        <f t="shared" si="5"/>
        <v>131724.04627653849</v>
      </c>
      <c r="E36" s="201">
        <f t="shared" si="5"/>
        <v>159148.9144016307</v>
      </c>
      <c r="F36" s="201">
        <f t="shared" si="5"/>
        <v>140881.64146162357</v>
      </c>
      <c r="G36" s="201">
        <f t="shared" si="5"/>
        <v>127919.61584322737</v>
      </c>
      <c r="H36" s="201">
        <f t="shared" si="5"/>
        <v>118774.5462435465</v>
      </c>
      <c r="I36" s="201">
        <f t="shared" si="5"/>
        <v>119050.00804417307</v>
      </c>
      <c r="J36" s="201">
        <f t="shared" si="5"/>
        <v>119368.79231983796</v>
      </c>
      <c r="K36" s="201">
        <f t="shared" si="5"/>
        <v>107777.14312533334</v>
      </c>
      <c r="L36" s="201">
        <f t="shared" si="5"/>
        <v>96200.053004948684</v>
      </c>
      <c r="M36" s="201">
        <f t="shared" si="5"/>
        <v>96456.179364043201</v>
      </c>
      <c r="N36" s="137"/>
    </row>
    <row r="37" spans="2:14" x14ac:dyDescent="0.2"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</row>
    <row r="38" spans="2:14" x14ac:dyDescent="0.2">
      <c r="B38" s="189" t="s">
        <v>47</v>
      </c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</row>
    <row r="39" spans="2:14" x14ac:dyDescent="0.2">
      <c r="B39" s="61" t="s">
        <v>41</v>
      </c>
      <c r="C39" s="84">
        <v>1000</v>
      </c>
      <c r="D39" s="84">
        <v>2500</v>
      </c>
      <c r="E39" s="77">
        <f>+D39*(1+'Expense Projection'!$D$10)</f>
        <v>2525</v>
      </c>
      <c r="F39" s="77">
        <f>+E39*(1+'Expense Projection'!$D$10)</f>
        <v>2550.25</v>
      </c>
      <c r="G39" s="77">
        <f>+F39*(1+'Expense Projection'!$D$10)</f>
        <v>2575.7525000000001</v>
      </c>
      <c r="H39" s="77">
        <f>+G39*(1+'Expense Projection'!$D$10)</f>
        <v>2601.510025</v>
      </c>
      <c r="I39" s="77">
        <f>+H39*(1+'Expense Projection'!$D$10)</f>
        <v>2627.5251252500002</v>
      </c>
      <c r="J39" s="77">
        <f>+I39*(1+'Expense Projection'!$D$10)</f>
        <v>2653.8003765025001</v>
      </c>
      <c r="K39" s="77">
        <f>+J39*(1+'Expense Projection'!$D$10)</f>
        <v>2680.3383802675253</v>
      </c>
      <c r="L39" s="77">
        <f>+K39*(1+'Expense Projection'!$D$10)</f>
        <v>2707.1417640702007</v>
      </c>
      <c r="M39" s="77">
        <f>+L39*(1+'Expense Projection'!$D$10)</f>
        <v>2734.2131817109025</v>
      </c>
      <c r="N39" s="137"/>
    </row>
    <row r="40" spans="2:14" x14ac:dyDescent="0.2"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137"/>
    </row>
    <row r="41" spans="2:14" x14ac:dyDescent="0.2">
      <c r="B41" s="61" t="s">
        <v>118</v>
      </c>
      <c r="C41" s="84">
        <v>20000</v>
      </c>
      <c r="D41" s="84">
        <v>10000</v>
      </c>
      <c r="E41" s="77">
        <f>+D41*(1+'Expense Projection'!$D$10)</f>
        <v>10100</v>
      </c>
      <c r="F41" s="77">
        <f>+E41*(1+'Expense Projection'!$D$10)</f>
        <v>10201</v>
      </c>
      <c r="G41" s="77">
        <f>+F41*(1+'Expense Projection'!$D$10)</f>
        <v>10303.01</v>
      </c>
      <c r="H41" s="77">
        <f>+G41*(1+'Expense Projection'!$D$10)</f>
        <v>10406.0401</v>
      </c>
      <c r="I41" s="77">
        <f>+H41*(1+'Expense Projection'!$D$10)</f>
        <v>10510.100501000001</v>
      </c>
      <c r="J41" s="77">
        <f>+I41*(1+'Expense Projection'!$D$10)</f>
        <v>10615.20150601</v>
      </c>
      <c r="K41" s="77">
        <f>+J41*(1+'Expense Projection'!$D$10)</f>
        <v>10721.353521070101</v>
      </c>
      <c r="L41" s="77">
        <f>+K41*(1+'Expense Projection'!$D$10)</f>
        <v>10828.567056280803</v>
      </c>
      <c r="M41" s="77">
        <f>+L41*(1+'Expense Projection'!$D$10)</f>
        <v>10936.85272684361</v>
      </c>
      <c r="N41" s="137"/>
    </row>
    <row r="42" spans="2:14" x14ac:dyDescent="0.2"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</row>
    <row r="43" spans="2:14" x14ac:dyDescent="0.2">
      <c r="B43" s="61" t="s">
        <v>48</v>
      </c>
      <c r="C43" s="201">
        <f t="shared" ref="C43:M43" si="6">SUM(C39,C41)</f>
        <v>21000</v>
      </c>
      <c r="D43" s="201">
        <f t="shared" si="6"/>
        <v>12500</v>
      </c>
      <c r="E43" s="201">
        <f t="shared" si="6"/>
        <v>12625</v>
      </c>
      <c r="F43" s="201">
        <f t="shared" si="6"/>
        <v>12751.25</v>
      </c>
      <c r="G43" s="201">
        <f t="shared" si="6"/>
        <v>12878.762500000001</v>
      </c>
      <c r="H43" s="201">
        <f t="shared" si="6"/>
        <v>13007.550125</v>
      </c>
      <c r="I43" s="201">
        <f t="shared" si="6"/>
        <v>13137.625626250001</v>
      </c>
      <c r="J43" s="201">
        <f t="shared" si="6"/>
        <v>13269.001882512501</v>
      </c>
      <c r="K43" s="201">
        <f t="shared" si="6"/>
        <v>13401.691901337626</v>
      </c>
      <c r="L43" s="201">
        <f t="shared" si="6"/>
        <v>13535.708820351003</v>
      </c>
      <c r="M43" s="201">
        <f t="shared" si="6"/>
        <v>13671.065908554512</v>
      </c>
      <c r="N43" s="137"/>
    </row>
    <row r="44" spans="2:14" x14ac:dyDescent="0.2"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</row>
    <row r="45" spans="2:14" x14ac:dyDescent="0.2">
      <c r="B45" s="61" t="s">
        <v>50</v>
      </c>
      <c r="C45" s="201">
        <f t="shared" ref="C45:M45" si="7">SUM(C23,C36,C43)</f>
        <v>21000</v>
      </c>
      <c r="D45" s="201">
        <f t="shared" si="7"/>
        <v>415618.04627653852</v>
      </c>
      <c r="E45" s="201">
        <f t="shared" si="7"/>
        <v>445881.8544016307</v>
      </c>
      <c r="F45" s="201">
        <f t="shared" si="7"/>
        <v>430481.91086162359</v>
      </c>
      <c r="G45" s="201">
        <f t="shared" si="7"/>
        <v>420415.88793722738</v>
      </c>
      <c r="H45" s="201">
        <f t="shared" si="7"/>
        <v>414195.78105848649</v>
      </c>
      <c r="I45" s="201">
        <f t="shared" si="7"/>
        <v>417425.45520726248</v>
      </c>
      <c r="J45" s="201">
        <f t="shared" si="7"/>
        <v>420727.99395455827</v>
      </c>
      <c r="K45" s="201">
        <f t="shared" si="7"/>
        <v>412149.93677640089</v>
      </c>
      <c r="L45" s="201">
        <f t="shared" si="7"/>
        <v>403616.57459252683</v>
      </c>
      <c r="M45" s="201">
        <f t="shared" si="7"/>
        <v>406946.86616749718</v>
      </c>
      <c r="N45" s="137"/>
    </row>
    <row r="47" spans="2:14" x14ac:dyDescent="0.2">
      <c r="B47" s="202" t="s">
        <v>461</v>
      </c>
    </row>
  </sheetData>
  <sheetProtection password="E114" sheet="1" objects="1" scenarios="1" selectLockedCells="1"/>
  <phoneticPr fontId="0" type="noConversion"/>
  <hyperlinks>
    <hyperlink ref="B3" location="'Plant, Prop &amp; Equip'!A1" display="Plant, Property, &amp; Equipment"/>
    <hyperlink ref="B4" location="'Production Assumptions'!A1" display="Production Assumptions"/>
    <hyperlink ref="B5" location="'Personnel Expenses'!A1" display="Personnel Expenses"/>
    <hyperlink ref="B6" location="'Market Projection'!A1" display="Market Projection"/>
    <hyperlink ref="B7" location="'Profit &amp; Loss'!A1" display="Profit/Loss Summary"/>
    <hyperlink ref="B8" location="'Return On Investment'!A1" display="Return on Investment"/>
  </hyperlinks>
  <pageMargins left="0.75" right="0.75" top="1" bottom="1" header="0.5" footer="0.5"/>
  <pageSetup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Introduction</vt:lpstr>
      <vt:lpstr>Plant, Prop &amp; Equip</vt:lpstr>
      <vt:lpstr>Utilities Estimates</vt:lpstr>
      <vt:lpstr>Production Assumptions</vt:lpstr>
      <vt:lpstr>Depreciation</vt:lpstr>
      <vt:lpstr>Personnel Expenses</vt:lpstr>
      <vt:lpstr>Market Projection</vt:lpstr>
      <vt:lpstr>Borrowing &amp; Debt</vt:lpstr>
      <vt:lpstr>Expense Projection</vt:lpstr>
      <vt:lpstr>Profit &amp; Loss</vt:lpstr>
      <vt:lpstr>Return On Investment</vt:lpstr>
      <vt:lpstr>Onfarm</vt:lpstr>
    </vt:vector>
  </TitlesOfParts>
  <Company>Oklahoma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Rodney Holcomb</cp:lastModifiedBy>
  <dcterms:created xsi:type="dcterms:W3CDTF">2003-07-24T15:07:28Z</dcterms:created>
  <dcterms:modified xsi:type="dcterms:W3CDTF">2017-08-21T20:42:02Z</dcterms:modified>
</cp:coreProperties>
</file>