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7280" windowHeight="9870" tabRatio="913" activeTab="0"/>
  </bookViews>
  <sheets>
    <sheet name="Introduction" sheetId="1" r:id="rId1"/>
    <sheet name="Grapes &amp; Wines" sheetId="2" r:id="rId2"/>
    <sheet name="Input Value" sheetId="3" r:id="rId3"/>
    <sheet name="Wine Products" sheetId="4" r:id="rId4"/>
    <sheet name="Equipment &amp; Depreciation" sheetId="5" r:id="rId5"/>
    <sheet name="Personnel Expenses" sheetId="6" r:id="rId6"/>
    <sheet name="Market Projection" sheetId="7" r:id="rId7"/>
    <sheet name="Loan Amortization" sheetId="8" r:id="rId8"/>
    <sheet name="Expense Projection" sheetId="9" r:id="rId9"/>
    <sheet name="Operations Summary" sheetId="10" r:id="rId10"/>
    <sheet name="Return On Investment" sheetId="11" r:id="rId11"/>
  </sheets>
  <definedNames/>
  <calcPr fullCalcOnLoad="1"/>
</workbook>
</file>

<file path=xl/sharedStrings.xml><?xml version="1.0" encoding="utf-8"?>
<sst xmlns="http://schemas.openxmlformats.org/spreadsheetml/2006/main" count="801" uniqueCount="456">
  <si>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</si>
  <si>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</si>
  <si>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</si>
  <si>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</si>
  <si>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</si>
  <si>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</si>
  <si>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</si>
  <si>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</si>
  <si>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</si>
  <si>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</si>
  <si>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Units</t>
  </si>
  <si>
    <t>Year 0</t>
  </si>
  <si>
    <t>Total Investment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</si>
  <si>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</si>
  <si>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</si>
  <si>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</si>
  <si>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</si>
  <si>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</si>
  <si>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</si>
  <si>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</si>
  <si>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</si>
  <si>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</si>
  <si>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</si>
  <si>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</si>
  <si>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</si>
  <si>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</si>
  <si>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</si>
  <si>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Occupation</t>
  </si>
  <si>
    <t>Salary</t>
  </si>
  <si>
    <t>Overtime</t>
  </si>
  <si>
    <t>Benefits</t>
  </si>
  <si>
    <t>Salaries</t>
  </si>
  <si>
    <t>% of Payroll Tax to Salaries</t>
  </si>
  <si>
    <t>% of Retirement Tax to Salaries</t>
  </si>
  <si>
    <t>Total Labor</t>
  </si>
  <si>
    <t>Variable</t>
  </si>
  <si>
    <t>Total Variable</t>
  </si>
  <si>
    <t>Fixed</t>
  </si>
  <si>
    <t>Maintenance</t>
  </si>
  <si>
    <t>Property Tax</t>
  </si>
  <si>
    <t>Insurance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</si>
  <si>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</si>
  <si>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</si>
  <si>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</si>
  <si>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</si>
  <si>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</si>
  <si>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</si>
  <si>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Total Other</t>
  </si>
  <si>
    <t>Total Fixed</t>
  </si>
  <si>
    <t>Total Expenses</t>
  </si>
  <si>
    <t>Total</t>
  </si>
  <si>
    <t>Expenses</t>
  </si>
  <si>
    <t>Discount Rate</t>
  </si>
  <si>
    <t>Return On Investment</t>
  </si>
  <si>
    <t>Quality Percent</t>
  </si>
  <si>
    <t>Gross Margin</t>
  </si>
  <si>
    <t>Discount Factor</t>
  </si>
  <si>
    <t>PV of Income</t>
  </si>
  <si>
    <t>Total Expense</t>
  </si>
  <si>
    <t>Cash Expenses</t>
  </si>
  <si>
    <t>PV of Expenses</t>
  </si>
  <si>
    <t>Benefits Less Costs</t>
  </si>
  <si>
    <t>Net Present Value</t>
  </si>
  <si>
    <t>Internal Rate of Return</t>
  </si>
  <si>
    <t>Year</t>
  </si>
  <si>
    <t>Annual Total Depreciation</t>
  </si>
  <si>
    <t>39 year Straight Line</t>
  </si>
  <si>
    <t>Total Depreciation</t>
  </si>
  <si>
    <t>10 year with percentage from table</t>
  </si>
  <si>
    <t>7 year with percentage from table</t>
  </si>
  <si>
    <t>5 year with percentage from table</t>
  </si>
  <si>
    <t>Cost</t>
  </si>
  <si>
    <t>Life</t>
  </si>
  <si>
    <t>Salvage</t>
  </si>
  <si>
    <t>Period</t>
  </si>
  <si>
    <t>Rate</t>
  </si>
  <si>
    <t>Description</t>
  </si>
  <si>
    <t>Value</t>
  </si>
  <si>
    <t>#2</t>
  </si>
  <si>
    <t>#3</t>
  </si>
  <si>
    <t>#4</t>
  </si>
  <si>
    <t>#5</t>
  </si>
  <si>
    <t>Total Buildings</t>
  </si>
  <si>
    <t>10 year Straight Line</t>
  </si>
  <si>
    <t>7 Yr MACRS with half year convention</t>
  </si>
  <si>
    <t>5 Yr MACRS with half year convention</t>
  </si>
  <si>
    <t>Wage Inflation</t>
  </si>
  <si>
    <t>Property Tax as % of Prop and Plant</t>
  </si>
  <si>
    <t>Expense Inflation Rate</t>
  </si>
  <si>
    <t>Total Plant Property &amp; Equip</t>
  </si>
  <si>
    <t>Tax Information</t>
  </si>
  <si>
    <t>Payroll Information</t>
  </si>
  <si>
    <t>Income Tax Rate</t>
  </si>
  <si>
    <t>Overtime%</t>
  </si>
  <si>
    <t>Initial Volume</t>
  </si>
  <si>
    <t>Sales Projections</t>
  </si>
  <si>
    <t xml:space="preserve">Sales growth </t>
  </si>
  <si>
    <t>Product Name</t>
  </si>
  <si>
    <t>Price/unit</t>
  </si>
  <si>
    <t>Production Expense</t>
  </si>
  <si>
    <t>Production Expenses</t>
  </si>
  <si>
    <t>Total Utilities</t>
  </si>
  <si>
    <t>Insurance as % of Plant &amp; Equip</t>
  </si>
  <si>
    <t>Discount rate for NPV calculation</t>
  </si>
  <si>
    <t>Total PV of Income</t>
  </si>
  <si>
    <t>Total PV of Expenses</t>
  </si>
  <si>
    <t>PV Benefits Less PV Costs</t>
  </si>
  <si>
    <t>Land</t>
  </si>
  <si>
    <t>Total Land, Plant Property and Equipment</t>
  </si>
  <si>
    <t>This sheet summaries income, expenses and net profit.  There are no inputs on this sheet</t>
  </si>
  <si>
    <t>Before Tax Profit</t>
  </si>
  <si>
    <t>Tax</t>
  </si>
  <si>
    <t>After Tax Profit</t>
  </si>
  <si>
    <t>If you choose to modify the template we would advise you to save it under another name and retain the original for reference.</t>
  </si>
  <si>
    <t>Developed by:</t>
  </si>
  <si>
    <t>To get started go to the "Input Page"</t>
  </si>
  <si>
    <t>For comments or suggestions contact:</t>
  </si>
  <si>
    <t>Phil Kenkel,  kenkel@okstate.edu  405-744-9818'</t>
  </si>
  <si>
    <t>PV Benefit/PV Cost Ratio</t>
  </si>
  <si>
    <t>This sheet calculates loan amortization and interest.  There are no inputs on this sheet.</t>
  </si>
  <si>
    <t>% of Employee INS Tax to Salaries</t>
  </si>
  <si>
    <t>Maintenance as % of Plant &amp; Equip</t>
  </si>
  <si>
    <t>Gross Sales Projection</t>
  </si>
  <si>
    <t>Price/Unit</t>
  </si>
  <si>
    <t>Gross Sales</t>
  </si>
  <si>
    <t>TOTAL GROSS SALES</t>
  </si>
  <si>
    <t>Position #4</t>
  </si>
  <si>
    <t>After Tax Profits</t>
  </si>
  <si>
    <t>Principle</t>
  </si>
  <si>
    <t xml:space="preserve">Cash Flow </t>
  </si>
  <si>
    <t>Return on Assets</t>
  </si>
  <si>
    <t>Estimate of Cash Flows</t>
  </si>
  <si>
    <t>(after tax income/total PPE investment)</t>
  </si>
  <si>
    <t>(does not consider increases or decreases in working capital loan)</t>
  </si>
  <si>
    <t>Payback Period (years)</t>
  </si>
  <si>
    <t>(payback period only displayed if less than 10 years)</t>
  </si>
  <si>
    <t>For a Guide to Using the Feasibility Template Click On the Icon Below</t>
  </si>
  <si>
    <t>MENU</t>
  </si>
  <si>
    <t>FORWARD TO EXPENSE PROJECTION</t>
  </si>
  <si>
    <t>FORWARD TO OPERATIONS SUMMARY</t>
  </si>
  <si>
    <t>FORWARD TO RETURN ON INVESTMENT</t>
  </si>
  <si>
    <t>BACK TO INTRODUCTION</t>
  </si>
  <si>
    <t>Less Depreciation and Term Interest</t>
  </si>
  <si>
    <t>Miscellaneous*</t>
  </si>
  <si>
    <t>Depreciation per yr. for 39 yrs.</t>
  </si>
  <si>
    <t>(after tax income/non-borrowed PPE investment)</t>
  </si>
  <si>
    <t>This templates is designed to assist you in assessing the feasibility of a project.</t>
  </si>
  <si>
    <t>The template can be modified and expanded to meet your particular situation.</t>
  </si>
  <si>
    <t>Rodney Holcomb, rodney.holcomb@okstate.edu 405-744-6272</t>
  </si>
  <si>
    <t>Average ROA</t>
  </si>
  <si>
    <t>Return on (Beginning) Equity</t>
  </si>
  <si>
    <t>Average ROE</t>
  </si>
  <si>
    <t>Bottles</t>
  </si>
  <si>
    <t>Merlot</t>
  </si>
  <si>
    <t>Winery/Tasting Room</t>
  </si>
  <si>
    <t>Equipment</t>
  </si>
  <si>
    <t>Bottle</t>
  </si>
  <si>
    <t>Label</t>
  </si>
  <si>
    <t>Cork</t>
  </si>
  <si>
    <t>Capsule</t>
  </si>
  <si>
    <t>Fed Excise Tax</t>
  </si>
  <si>
    <t>Water</t>
  </si>
  <si>
    <t>Gas</t>
  </si>
  <si>
    <t>Electric</t>
  </si>
  <si>
    <t>Sewer</t>
  </si>
  <si>
    <t>Special Purpose Building</t>
  </si>
  <si>
    <t>Total Special Purpose Bldg</t>
  </si>
  <si>
    <t>Total Lt. Trucks/Vehicles</t>
  </si>
  <si>
    <t xml:space="preserve">Equipment </t>
  </si>
  <si>
    <t>Bulk Wine</t>
  </si>
  <si>
    <t>Bulk 1</t>
  </si>
  <si>
    <t>Bulk 2</t>
  </si>
  <si>
    <t>Bulk 3</t>
  </si>
  <si>
    <t>Bulk 4</t>
  </si>
  <si>
    <t>Wine 1</t>
  </si>
  <si>
    <t>Cabernet Franc</t>
  </si>
  <si>
    <t>Cabernet Sauvignon</t>
  </si>
  <si>
    <t>Chardonnay</t>
  </si>
  <si>
    <t>Chenin Blanc</t>
  </si>
  <si>
    <t>Grenache</t>
  </si>
  <si>
    <t>Muscat Blanc</t>
  </si>
  <si>
    <t>Muscat Canelli</t>
  </si>
  <si>
    <t>Pinot Noir</t>
  </si>
  <si>
    <t>Riesling</t>
  </si>
  <si>
    <t>Ruby Cabernet</t>
  </si>
  <si>
    <t>Sauvignon Blanc</t>
  </si>
  <si>
    <t>Seyval Blanc</t>
  </si>
  <si>
    <t>Shiraz</t>
  </si>
  <si>
    <t>Tempranillo</t>
  </si>
  <si>
    <t>Viognier</t>
  </si>
  <si>
    <t>Zinfandel</t>
  </si>
  <si>
    <t>Chambourcin</t>
  </si>
  <si>
    <t>Vidal Blanc</t>
  </si>
  <si>
    <t>Balleyana</t>
  </si>
  <si>
    <t>Concord</t>
  </si>
  <si>
    <t>Cynthiana</t>
  </si>
  <si>
    <t>Golden Muscat</t>
  </si>
  <si>
    <t>Mars</t>
  </si>
  <si>
    <t>Post Oak</t>
  </si>
  <si>
    <t>Stuben</t>
  </si>
  <si>
    <t>Name</t>
  </si>
  <si>
    <t>Bulk 5</t>
  </si>
  <si>
    <t>Bulk 6</t>
  </si>
  <si>
    <t>Bulk 8</t>
  </si>
  <si>
    <t>GRAPES</t>
  </si>
  <si>
    <t>Vinifera</t>
  </si>
  <si>
    <t>Vinifera - Red</t>
  </si>
  <si>
    <t>Limberger</t>
  </si>
  <si>
    <t>Malbec</t>
  </si>
  <si>
    <t>Syrah</t>
  </si>
  <si>
    <t>Vinifera - White</t>
  </si>
  <si>
    <t>Gewurztraminer</t>
  </si>
  <si>
    <t>Malvasia Bianca</t>
  </si>
  <si>
    <t>Semillion</t>
  </si>
  <si>
    <t>Siegfried</t>
  </si>
  <si>
    <t>Hybrid</t>
  </si>
  <si>
    <t>Chardonel</t>
  </si>
  <si>
    <t>Leon Millet</t>
  </si>
  <si>
    <t>Rougeon</t>
  </si>
  <si>
    <t>Vignoles</t>
  </si>
  <si>
    <t>American</t>
  </si>
  <si>
    <t>Muscat</t>
  </si>
  <si>
    <t>Rubaiyat</t>
  </si>
  <si>
    <t>American Other 1</t>
  </si>
  <si>
    <t>American Other 2</t>
  </si>
  <si>
    <t>Hybrid Other 1</t>
  </si>
  <si>
    <t>Hybrid Other 2</t>
  </si>
  <si>
    <t>Bulk 7</t>
  </si>
  <si>
    <t>$/Ton</t>
  </si>
  <si>
    <t>Bottle/Ton</t>
  </si>
  <si>
    <t>$/Bottle</t>
  </si>
  <si>
    <t>Gallon/Ton</t>
  </si>
  <si>
    <t>REFERENCE</t>
  </si>
  <si>
    <t>1 Bottle = 750 mL</t>
  </si>
  <si>
    <t>12 Bottles = 1 Case</t>
  </si>
  <si>
    <t>1 Case = 9 Liters</t>
  </si>
  <si>
    <t>1 Case = 2.37753 Gallons</t>
  </si>
  <si>
    <t>1 Liter = 0.264172 Gallons</t>
  </si>
  <si>
    <t>1 Bottle = 0.1981 Gallons</t>
  </si>
  <si>
    <t>1 Gallon = 5.0472 Bottles</t>
  </si>
  <si>
    <t>$/Gallon</t>
  </si>
  <si>
    <t xml:space="preserve">Product Mix: </t>
  </si>
  <si>
    <t>Percentage</t>
  </si>
  <si>
    <t>TOTAL:</t>
  </si>
  <si>
    <t>Wine 2</t>
  </si>
  <si>
    <t>Name:</t>
  </si>
  <si>
    <t>Product Mix:</t>
  </si>
  <si>
    <t>Wine 5</t>
  </si>
  <si>
    <t>Wine 3</t>
  </si>
  <si>
    <t>Wine 4</t>
  </si>
  <si>
    <t>Wine 6</t>
  </si>
  <si>
    <t>Wine 7</t>
  </si>
  <si>
    <t>Wine 8</t>
  </si>
  <si>
    <t>Wine 9</t>
  </si>
  <si>
    <t>Wine 10</t>
  </si>
  <si>
    <t>Wine 11</t>
  </si>
  <si>
    <t>Wine 12</t>
  </si>
  <si>
    <t>TOTAL</t>
  </si>
  <si>
    <t>OK Winemaker License Fee</t>
  </si>
  <si>
    <t>OK Food Retailer License Fee</t>
  </si>
  <si>
    <t>Marketing</t>
  </si>
  <si>
    <t>Wine Label Fee ($200 each)</t>
  </si>
  <si>
    <t>Lab Supplies</t>
  </si>
  <si>
    <t>Bottle Filler</t>
  </si>
  <si>
    <t>Corker</t>
  </si>
  <si>
    <t>Labeler</t>
  </si>
  <si>
    <t>Hot Shrink Applicator</t>
  </si>
  <si>
    <t>Glasses</t>
  </si>
  <si>
    <t>Printer</t>
  </si>
  <si>
    <t>Desk</t>
  </si>
  <si>
    <t>Refrigerator</t>
  </si>
  <si>
    <t>Furnishings/Decorations</t>
  </si>
  <si>
    <t>Press</t>
  </si>
  <si>
    <t>Filter</t>
  </si>
  <si>
    <t>Tankage</t>
  </si>
  <si>
    <t>Bottle Washer</t>
  </si>
  <si>
    <t>Bottle Tree</t>
  </si>
  <si>
    <t>Tasting Room</t>
  </si>
  <si>
    <t>Cork Remover</t>
  </si>
  <si>
    <t>Chairs</t>
  </si>
  <si>
    <t>File Cabinets</t>
  </si>
  <si>
    <t>Federal Winemaker License</t>
  </si>
  <si>
    <t>Special Occupational Tax</t>
  </si>
  <si>
    <t xml:space="preserve">OK Food Retailer License </t>
  </si>
  <si>
    <t>Manager</t>
  </si>
  <si>
    <t>Asst. Manager</t>
  </si>
  <si>
    <t xml:space="preserve">This sheet allows you to input personnel expenses for both salaried and hourly positions.  </t>
  </si>
  <si>
    <t xml:space="preserve">PERSONNEL - MANAGERIAL AND ADMINISTRATIVE </t>
  </si>
  <si>
    <t>Variable Cost/unit</t>
  </si>
  <si>
    <t>Pinot Gris</t>
  </si>
  <si>
    <t>Must Pump(s)</t>
  </si>
  <si>
    <t>Filter Accessories</t>
  </si>
  <si>
    <t>Hose/Accessories</t>
  </si>
  <si>
    <t>Production Equipment</t>
  </si>
  <si>
    <t>Wine Pump(s)</t>
  </si>
  <si>
    <t>Laboratory Equipment</t>
  </si>
  <si>
    <t>Misc</t>
  </si>
  <si>
    <t>Storage Equipment</t>
  </si>
  <si>
    <t>Tank 1</t>
  </si>
  <si>
    <t>Tank 2</t>
  </si>
  <si>
    <t>Tank 3</t>
  </si>
  <si>
    <t>Tank 4</t>
  </si>
  <si>
    <t>Tank 5</t>
  </si>
  <si>
    <t>Tank 6</t>
  </si>
  <si>
    <t>Tank 7</t>
  </si>
  <si>
    <t>Other Containers</t>
  </si>
  <si>
    <t>Storage Accessories</t>
  </si>
  <si>
    <t>Tasting Room Equipment</t>
  </si>
  <si>
    <t>Bottling/PackingEquipment</t>
  </si>
  <si>
    <t xml:space="preserve">Dishwasher </t>
  </si>
  <si>
    <t>Office Equipment</t>
  </si>
  <si>
    <t>Computer + Software</t>
  </si>
  <si>
    <t>Wooden Barrels</t>
  </si>
  <si>
    <t xml:space="preserve">Tank 8 </t>
  </si>
  <si>
    <t xml:space="preserve">Tank 9 </t>
  </si>
  <si>
    <t>Tank 10</t>
  </si>
  <si>
    <t>Value of Each</t>
  </si>
  <si>
    <t>Quantity</t>
  </si>
  <si>
    <t xml:space="preserve">Barrel(s) 1 </t>
  </si>
  <si>
    <t>Barrel(s)2</t>
  </si>
  <si>
    <t>Barrel(s) 5</t>
  </si>
  <si>
    <t>Container 5</t>
  </si>
  <si>
    <t>Winemaker</t>
  </si>
  <si>
    <t>Total # of Employees</t>
  </si>
  <si>
    <t>Hourly Wage Rate</t>
  </si>
  <si>
    <t>Hours Per Week</t>
  </si>
  <si>
    <t>Tasting Room 1</t>
  </si>
  <si>
    <t>Tasting Room 2</t>
  </si>
  <si>
    <t xml:space="preserve">PERSONNEL - Seasonal </t>
  </si>
  <si>
    <t>Weeks Per Year</t>
  </si>
  <si>
    <t>Overtime %</t>
  </si>
  <si>
    <t xml:space="preserve">Total </t>
  </si>
  <si>
    <t>Harvest 2</t>
  </si>
  <si>
    <t>Harvest 3</t>
  </si>
  <si>
    <t>Harvest 4</t>
  </si>
  <si>
    <t>Harvest 5</t>
  </si>
  <si>
    <t>Tasting Room 3</t>
  </si>
  <si>
    <t>Tasting Room 4</t>
  </si>
  <si>
    <t>Tasting Room 5</t>
  </si>
  <si>
    <t>Managerial/Administrative Subtotal</t>
  </si>
  <si>
    <t>Part-time Subtotal</t>
  </si>
  <si>
    <t>PERSONNEL - Part-time</t>
  </si>
  <si>
    <t>Seasonal Subtotal</t>
  </si>
  <si>
    <t>Benefit calculations are based on the percentage you entered above.</t>
  </si>
  <si>
    <t>Equipment Cost</t>
  </si>
  <si>
    <t>Total Equipment Cost</t>
  </si>
  <si>
    <t>Barrel(s) 3</t>
  </si>
  <si>
    <t>Barrel(s) 4</t>
  </si>
  <si>
    <t>Permits/Licenses</t>
  </si>
  <si>
    <t>Managerial</t>
  </si>
  <si>
    <t>Seasonal/Harvest</t>
  </si>
  <si>
    <t>* Year 0 miscellaneous expenses may include legal fees and other organizational expenses.</t>
  </si>
  <si>
    <t>State Excise Tax</t>
  </si>
  <si>
    <t>Variable Cost Per 750 ml Bottle - All Wines</t>
  </si>
  <si>
    <t>Utilities Expenses</t>
  </si>
  <si>
    <t>Variable Cost Excluding</t>
  </si>
  <si>
    <t>Grape Cost</t>
  </si>
  <si>
    <t>INFORMATION</t>
  </si>
  <si>
    <t>Additional WC as % of Sales</t>
  </si>
  <si>
    <t>Additional WC in Dollars</t>
  </si>
  <si>
    <t>Additional WC for Contingency</t>
  </si>
  <si>
    <t>Total WC Requirements</t>
  </si>
  <si>
    <t>Volume</t>
  </si>
  <si>
    <t>Harvest 1</t>
  </si>
  <si>
    <t>Percent</t>
  </si>
  <si>
    <t>Merchandise</t>
  </si>
  <si>
    <t>Merchandise Mark-up %</t>
  </si>
  <si>
    <t>Merchandise Sales as % of Wine Sales</t>
  </si>
  <si>
    <t>Wine Sales</t>
  </si>
  <si>
    <t>Merchandise Expense</t>
  </si>
  <si>
    <t>Blend 1</t>
  </si>
  <si>
    <t>Blend 2</t>
  </si>
  <si>
    <t xml:space="preserve">Feasibility Template for a Small Winery </t>
  </si>
  <si>
    <t xml:space="preserve">Amanda Hill, Rodney Holcomb and Phil Kenkel,  Oklahoma State University </t>
  </si>
  <si>
    <t xml:space="preserve">INPUT CAPITAL </t>
  </si>
  <si>
    <t>Production Capacity (in bottles)</t>
  </si>
  <si>
    <t>Production Capcity (in Gallons)</t>
  </si>
  <si>
    <t xml:space="preserve">Winery Capacity </t>
  </si>
  <si>
    <t xml:space="preserve">Is Production within Capacity? </t>
  </si>
  <si>
    <t>530 Gal Sloped VC</t>
  </si>
  <si>
    <t>Crusher/Destemmer                  S/S 3.5 ton/hr</t>
  </si>
  <si>
    <t>Var.Speed, Hydraulic, 2.5"</t>
  </si>
  <si>
    <t>Var. Speed Hydraulic, 1.5"</t>
  </si>
  <si>
    <t>20*20 Plate/Frame, PF30</t>
  </si>
  <si>
    <t>various</t>
  </si>
  <si>
    <t>2.5" and 1.5"</t>
  </si>
  <si>
    <t>3 @ $15</t>
  </si>
  <si>
    <t>Upright, 220 V</t>
  </si>
  <si>
    <t>Annual Sales Generated by all Samples</t>
  </si>
  <si>
    <t>Income from Samples (if applicable)</t>
  </si>
  <si>
    <t>Sample Volume (% of Sales)</t>
  </si>
  <si>
    <t>REMINDER:</t>
  </si>
  <si>
    <t>Gallons</t>
  </si>
  <si>
    <t xml:space="preserve"> "Input Value" page as: </t>
  </si>
  <si>
    <t xml:space="preserve">You input production capacity on the   </t>
  </si>
  <si>
    <t>Merchandise Sales</t>
  </si>
  <si>
    <t>Gross Wine Sales</t>
  </si>
  <si>
    <t>Annual Samples Income</t>
  </si>
  <si>
    <t>Volume Consumed</t>
  </si>
  <si>
    <t>Sales Volume</t>
  </si>
  <si>
    <t>3 Gal Glass Carboy</t>
  </si>
  <si>
    <t>5 Gal Glass Carboy</t>
  </si>
  <si>
    <t>Stainless Steel Drums - 55 Gal</t>
  </si>
  <si>
    <t>Plastic Drums - 55 Gal</t>
  </si>
  <si>
    <t xml:space="preserve">85 Gal, Wood Basket, Bladder Press </t>
  </si>
  <si>
    <t>108 (3 cases) Libby stemware</t>
  </si>
  <si>
    <t xml:space="preserve">Kenmore, 24" </t>
  </si>
  <si>
    <t>Kenmore, 48 Bottle Wine Cellar</t>
  </si>
  <si>
    <t>Dell All-in-One Photo Inkjet</t>
  </si>
  <si>
    <t xml:space="preserve">2 4-Drawer 25" Letter-Size Vertical File Cabinet </t>
  </si>
  <si>
    <t>Plant, Property and Equipment</t>
  </si>
  <si>
    <t>Dell Dimensions Desktop for Small Business</t>
  </si>
  <si>
    <t>4 spout gravit, bench, 20 Gal</t>
  </si>
  <si>
    <t>Portuguese floor model maunal</t>
  </si>
  <si>
    <t>MEP semiautomatic</t>
  </si>
  <si>
    <t>Pct. Growth in Annual Sample Revenues</t>
  </si>
  <si>
    <t>Input cells are shaded in light purple.</t>
  </si>
  <si>
    <t>FORWARD TO GRAPES &amp; WINE</t>
  </si>
  <si>
    <t xml:space="preserve">FORWARD TO INPUT VALUES </t>
  </si>
  <si>
    <t xml:space="preserve">There are also inputs on the "Wine Products", "Equipment and Depreciation", </t>
  </si>
  <si>
    <t>FORWARD TO WINE PRODUCTS</t>
  </si>
  <si>
    <t>FORWARD TO EQUIPMENT AND DEPRECIATION</t>
  </si>
  <si>
    <t>FORWARD TO PERSONNEL EXPENSES</t>
  </si>
  <si>
    <t>FORWARD TO MARKET PROJECTION</t>
  </si>
  <si>
    <t>FORWARD TO LOAN AMORTIZATION</t>
  </si>
  <si>
    <t>BACK TO GRAPES AND WINES</t>
  </si>
  <si>
    <t>BACK TO INPUT VALUES</t>
  </si>
  <si>
    <t xml:space="preserve">Volume of Samples, and Price Per Unit. </t>
  </si>
  <si>
    <t xml:space="preserve">Input the Product Names, Initial Volume, Anticipated Sales Growth, </t>
  </si>
  <si>
    <t xml:space="preserve">This sheet calculates depreciation.  You enter descriptions and values for buildings, </t>
  </si>
  <si>
    <t>equipment and other property.</t>
  </si>
  <si>
    <t>BACK TO WINE PRODUCTS</t>
  </si>
  <si>
    <t>BACK TO EQUIPMENT AND DEPRECIATION</t>
  </si>
  <si>
    <t>BACK TO PERSONNEL EXPENSES</t>
  </si>
  <si>
    <t>This sheet summarizes the volume and price and sales growth from the input values page.</t>
  </si>
  <si>
    <t xml:space="preserve">There are no inputs on this page. </t>
  </si>
  <si>
    <t>BACK TO MARKET PROJECTION</t>
  </si>
  <si>
    <t xml:space="preserve">and "Miscellaneous," and "Permits and Licenses" expenses.  </t>
  </si>
  <si>
    <t xml:space="preserve">This sheet summarizes expenses.  The only inputs are for "Supplies"   </t>
  </si>
  <si>
    <t>BACK TO LOAN AMORTIZATION</t>
  </si>
  <si>
    <t>BACK TO EXPENSE PROJECTION</t>
  </si>
  <si>
    <t xml:space="preserve">This sheet summarizes the feasibility of the project.  It provides net present value, benefit- </t>
  </si>
  <si>
    <t>cost ration, and internal rate of return.</t>
  </si>
  <si>
    <t>BACK TO OPERATIONS SUMMARY</t>
  </si>
  <si>
    <t>"Personnel Expenses", and "Expense Projection" sheets.</t>
  </si>
  <si>
    <t>Installation Cost</t>
  </si>
  <si>
    <t>Utilities - per month</t>
  </si>
  <si>
    <t>Installation as % of Equip. Cost (default = 100% Cost)</t>
  </si>
  <si>
    <t>Benefits as % of Salaries (Mgr/Admin)</t>
  </si>
  <si>
    <t>Benefits as % of Wage (Part-Time/Seasonal))</t>
  </si>
  <si>
    <t>Supplies/Marketing</t>
  </si>
  <si>
    <t>2 Office Chairs</t>
  </si>
  <si>
    <t xml:space="preserve">Workstation for Small Business </t>
  </si>
  <si>
    <t>Start-Up Licenses</t>
  </si>
  <si>
    <t>Annual Supplies/Expenses/Licenses</t>
  </si>
  <si>
    <t>WC for Grape Purchases at Harvest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</si>
</sst>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"/>
    <numFmt numFmtId="177" formatCode="#,##0.000"/>
    <numFmt numFmtId="178" formatCode="&quot;$&quot;#,##0.0000"/>
    <numFmt numFmtId="179" formatCode="&quot;$&quot;#,##0.000"/>
    <numFmt numFmtId="180" formatCode="0.0000%"/>
    <numFmt numFmtId="181" formatCode="[$-409]dddd\,\ mmmm\ dd\,\ yyyy"/>
    <numFmt numFmtId="182" formatCode="[$-409]h:mm:ss\ AM/PM"/>
    <numFmt numFmtId="183" formatCode="00000"/>
    <numFmt numFmtId="184" formatCode="0.000%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69" fontId="0" fillId="0" borderId="0" xfId="17" applyNumberFormat="1" applyAlignment="1">
      <alignment/>
    </xf>
    <xf numFmtId="6" fontId="0" fillId="0" borderId="0" xfId="0" applyNumberFormat="1" applyFill="1" applyAlignment="1" applyProtection="1">
      <alignment/>
      <protection/>
    </xf>
    <xf numFmtId="44" fontId="0" fillId="0" borderId="0" xfId="17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Alignment="1">
      <alignment/>
    </xf>
    <xf numFmtId="10" fontId="0" fillId="0" borderId="0" xfId="0" applyNumberFormat="1" applyFill="1" applyAlignment="1" applyProtection="1">
      <alignment/>
      <protection/>
    </xf>
    <xf numFmtId="1" fontId="0" fillId="0" borderId="0" xfId="17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38" fontId="1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69" fontId="0" fillId="0" borderId="0" xfId="17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1" fillId="0" borderId="0" xfId="20" applyFont="1" applyFill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1" fillId="0" borderId="0" xfId="17" applyNumberFormat="1" applyFont="1" applyAlignment="1" applyProtection="1">
      <alignment/>
      <protection/>
    </xf>
    <xf numFmtId="169" fontId="0" fillId="0" borderId="0" xfId="17" applyNumberForma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6" fontId="1" fillId="0" borderId="0" xfId="0" applyNumberFormat="1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6" fontId="0" fillId="0" borderId="2" xfId="0" applyNumberFormat="1" applyBorder="1" applyAlignment="1" applyProtection="1">
      <alignment/>
      <protection/>
    </xf>
    <xf numFmtId="10" fontId="0" fillId="0" borderId="3" xfId="0" applyNumberFormat="1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0" fontId="0" fillId="0" borderId="0" xfId="22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9" fontId="0" fillId="2" borderId="0" xfId="17" applyNumberFormat="1" applyFill="1" applyAlignment="1" applyProtection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76" fontId="0" fillId="0" borderId="0" xfId="17" applyNumberFormat="1" applyFill="1" applyBorder="1" applyAlignment="1" applyProtection="1">
      <alignment/>
      <protection/>
    </xf>
    <xf numFmtId="8" fontId="0" fillId="0" borderId="0" xfId="0" applyNumberFormat="1" applyAlignment="1">
      <alignment horizontal="center"/>
    </xf>
    <xf numFmtId="0" fontId="0" fillId="0" borderId="5" xfId="0" applyBorder="1" applyAlignment="1" applyProtection="1">
      <alignment/>
      <protection/>
    </xf>
    <xf numFmtId="8" fontId="2" fillId="0" borderId="0" xfId="0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6" fontId="0" fillId="0" borderId="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38" fontId="0" fillId="0" borderId="7" xfId="0" applyNumberFormat="1" applyBorder="1" applyAlignment="1">
      <alignment horizontal="center"/>
    </xf>
    <xf numFmtId="38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8" fontId="0" fillId="0" borderId="7" xfId="0" applyNumberFormat="1" applyFill="1" applyBorder="1" applyAlignment="1">
      <alignment horizontal="center"/>
    </xf>
    <xf numFmtId="0" fontId="1" fillId="0" borderId="7" xfId="0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0" borderId="12" xfId="0" applyFont="1" applyBorder="1" applyAlignment="1" applyProtection="1">
      <alignment/>
      <protection/>
    </xf>
    <xf numFmtId="6" fontId="0" fillId="0" borderId="0" xfId="0" applyNumberFormat="1" applyFill="1" applyBorder="1" applyAlignment="1" applyProtection="1">
      <alignment horizontal="center"/>
      <protection/>
    </xf>
    <xf numFmtId="6" fontId="0" fillId="0" borderId="0" xfId="0" applyNumberFormat="1" applyBorder="1" applyAlignment="1" applyProtection="1">
      <alignment horizontal="center"/>
      <protection/>
    </xf>
    <xf numFmtId="9" fontId="0" fillId="0" borderId="0" xfId="22" applyFill="1" applyBorder="1" applyAlignment="1" applyProtection="1">
      <alignment horizontal="center"/>
      <protection/>
    </xf>
    <xf numFmtId="169" fontId="0" fillId="0" borderId="0" xfId="17" applyNumberFormat="1" applyBorder="1" applyAlignment="1" applyProtection="1">
      <alignment horizontal="center"/>
      <protection/>
    </xf>
    <xf numFmtId="6" fontId="0" fillId="0" borderId="9" xfId="0" applyNumberFormat="1" applyBorder="1" applyAlignment="1" applyProtection="1">
      <alignment horizontal="center"/>
      <protection/>
    </xf>
    <xf numFmtId="6" fontId="0" fillId="0" borderId="7" xfId="0" applyNumberFormat="1" applyBorder="1" applyAlignment="1" applyProtection="1">
      <alignment horizontal="center"/>
      <protection/>
    </xf>
    <xf numFmtId="8" fontId="0" fillId="0" borderId="7" xfId="0" applyNumberFormat="1" applyBorder="1" applyAlignment="1" applyProtection="1">
      <alignment horizontal="center"/>
      <protection/>
    </xf>
    <xf numFmtId="6" fontId="0" fillId="0" borderId="11" xfId="0" applyNumberForma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8" fontId="1" fillId="0" borderId="14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8" fontId="1" fillId="0" borderId="14" xfId="0" applyNumberFormat="1" applyFont="1" applyBorder="1" applyAlignment="1" applyProtection="1">
      <alignment horizontal="center"/>
      <protection/>
    </xf>
    <xf numFmtId="8" fontId="1" fillId="0" borderId="15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8" fontId="0" fillId="0" borderId="15" xfId="0" applyNumberFormat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6" fontId="0" fillId="0" borderId="8" xfId="0" applyNumberFormat="1" applyFill="1" applyBorder="1" applyAlignment="1" applyProtection="1">
      <alignment horizontal="center"/>
      <protection/>
    </xf>
    <xf numFmtId="6" fontId="0" fillId="0" borderId="8" xfId="0" applyNumberFormat="1" applyBorder="1" applyAlignment="1" applyProtection="1">
      <alignment horizontal="center"/>
      <protection/>
    </xf>
    <xf numFmtId="9" fontId="0" fillId="0" borderId="8" xfId="22" applyFill="1" applyBorder="1" applyAlignment="1" applyProtection="1">
      <alignment horizontal="center"/>
      <protection/>
    </xf>
    <xf numFmtId="169" fontId="0" fillId="0" borderId="8" xfId="17" applyNumberFormat="1" applyBorder="1" applyAlignment="1" applyProtection="1">
      <alignment horizontal="center"/>
      <protection/>
    </xf>
    <xf numFmtId="6" fontId="0" fillId="0" borderId="10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8" fontId="0" fillId="0" borderId="0" xfId="0" applyNumberFormat="1" applyFill="1" applyAlignment="1" applyProtection="1">
      <alignment/>
      <protection/>
    </xf>
    <xf numFmtId="9" fontId="0" fillId="0" borderId="0" xfId="22" applyFill="1" applyAlignment="1" applyProtection="1">
      <alignment/>
      <protection/>
    </xf>
    <xf numFmtId="44" fontId="0" fillId="0" borderId="0" xfId="17" applyFill="1" applyAlignment="1" applyProtection="1">
      <alignment/>
      <protection/>
    </xf>
    <xf numFmtId="38" fontId="1" fillId="0" borderId="0" xfId="0" applyNumberFormat="1" applyFont="1" applyFill="1" applyAlignment="1" applyProtection="1">
      <alignment/>
      <protection/>
    </xf>
    <xf numFmtId="6" fontId="0" fillId="0" borderId="9" xfId="0" applyNumberForma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69" fontId="0" fillId="0" borderId="16" xfId="0" applyNumberFormat="1" applyBorder="1" applyAlignment="1">
      <alignment horizontal="center"/>
    </xf>
    <xf numFmtId="0" fontId="1" fillId="0" borderId="12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7" xfId="0" applyNumberForma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9" fontId="0" fillId="0" borderId="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0" fontId="0" fillId="0" borderId="15" xfId="0" applyNumberFormat="1" applyFill="1" applyBorder="1" applyAlignment="1" applyProtection="1">
      <alignment/>
      <protection/>
    </xf>
    <xf numFmtId="0" fontId="0" fillId="0" borderId="9" xfId="0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38" fontId="0" fillId="0" borderId="0" xfId="0" applyNumberFormat="1" applyAlignment="1" applyProtection="1">
      <alignment horizontal="center"/>
      <protection/>
    </xf>
    <xf numFmtId="8" fontId="0" fillId="0" borderId="0" xfId="0" applyNumberFormat="1" applyFill="1" applyAlignment="1" applyProtection="1">
      <alignment horizontal="center"/>
      <protection/>
    </xf>
    <xf numFmtId="8" fontId="0" fillId="0" borderId="0" xfId="0" applyNumberFormat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6" fontId="0" fillId="0" borderId="0" xfId="0" applyNumberFormat="1" applyAlignment="1" applyProtection="1">
      <alignment horizontal="center"/>
      <protection/>
    </xf>
    <xf numFmtId="4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8" fontId="0" fillId="0" borderId="0" xfId="17" applyNumberFormat="1" applyAlignment="1" applyProtection="1">
      <alignment horizontal="center"/>
      <protection/>
    </xf>
    <xf numFmtId="8" fontId="0" fillId="0" borderId="0" xfId="17" applyNumberFormat="1" applyFont="1" applyAlignment="1" applyProtection="1">
      <alignment horizontal="center"/>
      <protection/>
    </xf>
    <xf numFmtId="8" fontId="1" fillId="0" borderId="0" xfId="0" applyNumberFormat="1" applyFont="1" applyAlignment="1" applyProtection="1">
      <alignment horizontal="center"/>
      <protection/>
    </xf>
    <xf numFmtId="38" fontId="1" fillId="0" borderId="0" xfId="0" applyNumberFormat="1" applyFont="1" applyAlignment="1" applyProtection="1">
      <alignment horizontal="center"/>
      <protection/>
    </xf>
    <xf numFmtId="0" fontId="0" fillId="3" borderId="0" xfId="0" applyFill="1" applyBorder="1" applyAlignment="1">
      <alignment/>
    </xf>
    <xf numFmtId="38" fontId="1" fillId="0" borderId="0" xfId="0" applyNumberFormat="1" applyFont="1" applyFill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4" borderId="12" xfId="2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11" fillId="4" borderId="13" xfId="2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11" fillId="4" borderId="1" xfId="2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1" fillId="4" borderId="15" xfId="20" applyFont="1" applyFill="1" applyBorder="1" applyAlignment="1">
      <alignment/>
    </xf>
    <xf numFmtId="8" fontId="16" fillId="0" borderId="0" xfId="0" applyNumberFormat="1" applyFont="1" applyAlignment="1" applyProtection="1">
      <alignment/>
      <protection/>
    </xf>
    <xf numFmtId="0" fontId="11" fillId="4" borderId="13" xfId="2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38" fontId="0" fillId="3" borderId="9" xfId="0" applyNumberFormat="1" applyFill="1" applyBorder="1" applyAlignment="1" applyProtection="1">
      <alignment/>
      <protection locked="0"/>
    </xf>
    <xf numFmtId="38" fontId="0" fillId="3" borderId="9" xfId="0" applyNumberFormat="1" applyFill="1" applyBorder="1" applyAlignment="1" applyProtection="1">
      <alignment/>
      <protection locked="0"/>
    </xf>
    <xf numFmtId="9" fontId="0" fillId="3" borderId="9" xfId="22" applyFill="1" applyBorder="1" applyAlignment="1" applyProtection="1">
      <alignment/>
      <protection locked="0"/>
    </xf>
    <xf numFmtId="9" fontId="0" fillId="3" borderId="9" xfId="22" applyFill="1" applyBorder="1" applyAlignment="1" applyProtection="1">
      <alignment/>
      <protection locked="0"/>
    </xf>
    <xf numFmtId="176" fontId="0" fillId="3" borderId="11" xfId="17" applyNumberFormat="1" applyFill="1" applyBorder="1" applyAlignment="1" applyProtection="1">
      <alignment/>
      <protection locked="0"/>
    </xf>
    <xf numFmtId="176" fontId="0" fillId="3" borderId="11" xfId="17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4" fontId="0" fillId="0" borderId="0" xfId="17" applyFill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169" fontId="0" fillId="3" borderId="0" xfId="17" applyNumberFormat="1" applyFill="1" applyAlignment="1" applyProtection="1">
      <alignment/>
      <protection locked="0"/>
    </xf>
    <xf numFmtId="169" fontId="0" fillId="3" borderId="0" xfId="0" applyNumberFormat="1" applyFill="1" applyAlignment="1" applyProtection="1">
      <alignment/>
      <protection locked="0"/>
    </xf>
    <xf numFmtId="169" fontId="0" fillId="3" borderId="0" xfId="17" applyNumberFormat="1" applyFont="1" applyFill="1" applyAlignment="1" applyProtection="1">
      <alignment/>
      <protection locked="0"/>
    </xf>
    <xf numFmtId="169" fontId="0" fillId="3" borderId="2" xfId="17" applyNumberFormat="1" applyFill="1" applyBorder="1" applyAlignment="1" applyProtection="1">
      <alignment/>
      <protection locked="0"/>
    </xf>
    <xf numFmtId="169" fontId="0" fillId="3" borderId="0" xfId="17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169" fontId="0" fillId="3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6" fontId="0" fillId="3" borderId="0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69" fontId="0" fillId="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6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69" fontId="0" fillId="3" borderId="0" xfId="0" applyNumberFormat="1" applyFont="1" applyFill="1" applyAlignment="1" applyProtection="1">
      <alignment/>
      <protection locked="0"/>
    </xf>
    <xf numFmtId="176" fontId="0" fillId="3" borderId="0" xfId="0" applyNumberFormat="1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9" fontId="0" fillId="3" borderId="0" xfId="17" applyNumberFormat="1" applyFont="1" applyFill="1" applyAlignment="1" applyProtection="1">
      <alignment/>
      <protection locked="0"/>
    </xf>
    <xf numFmtId="10" fontId="0" fillId="0" borderId="9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 horizontal="left"/>
      <protection locked="0"/>
    </xf>
    <xf numFmtId="176" fontId="0" fillId="0" borderId="0" xfId="0" applyNumberFormat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76" fontId="0" fillId="0" borderId="9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76" fontId="0" fillId="3" borderId="17" xfId="0" applyNumberFormat="1" applyFill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9" fontId="0" fillId="5" borderId="0" xfId="0" applyNumberFormat="1" applyFill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76" fontId="0" fillId="3" borderId="18" xfId="0" applyNumberFormat="1" applyFill="1" applyBorder="1" applyAlignment="1" applyProtection="1">
      <alignment horizontal="center"/>
      <protection locked="0"/>
    </xf>
    <xf numFmtId="176" fontId="0" fillId="0" borderId="7" xfId="0" applyNumberFormat="1" applyBorder="1" applyAlignment="1" applyProtection="1">
      <alignment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176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/>
      <protection locked="0"/>
    </xf>
    <xf numFmtId="0" fontId="0" fillId="0" borderId="0" xfId="21" applyBorder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9" fontId="0" fillId="3" borderId="0" xfId="0" applyNumberFormat="1" applyFill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0" borderId="0" xfId="21" applyProtection="1">
      <alignment/>
      <protection locked="0"/>
    </xf>
    <xf numFmtId="0" fontId="1" fillId="0" borderId="15" xfId="0" applyFont="1" applyBorder="1" applyAlignment="1" applyProtection="1">
      <alignment horizontal="center"/>
      <protection/>
    </xf>
    <xf numFmtId="176" fontId="0" fillId="0" borderId="9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176" fontId="1" fillId="0" borderId="0" xfId="0" applyNumberFormat="1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176" fontId="0" fillId="0" borderId="9" xfId="0" applyNumberForma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1" fillId="4" borderId="12" xfId="20" applyFont="1" applyFill="1" applyBorder="1" applyAlignment="1" applyProtection="1">
      <alignment/>
      <protection/>
    </xf>
    <xf numFmtId="0" fontId="9" fillId="4" borderId="11" xfId="0" applyFont="1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169" fontId="0" fillId="3" borderId="9" xfId="17" applyNumberFormat="1" applyFill="1" applyBorder="1" applyAlignment="1" applyProtection="1">
      <alignment/>
      <protection locked="0"/>
    </xf>
    <xf numFmtId="10" fontId="0" fillId="3" borderId="9" xfId="0" applyNumberForma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10" fontId="0" fillId="3" borderId="11" xfId="0" applyNumberFormat="1" applyFill="1" applyBorder="1" applyAlignment="1" applyProtection="1">
      <alignment/>
      <protection locked="0"/>
    </xf>
    <xf numFmtId="176" fontId="0" fillId="3" borderId="5" xfId="0" applyNumberFormat="1" applyFill="1" applyBorder="1" applyAlignment="1" applyProtection="1">
      <alignment/>
      <protection locked="0"/>
    </xf>
    <xf numFmtId="176" fontId="0" fillId="3" borderId="9" xfId="0" applyNumberFormat="1" applyFill="1" applyBorder="1" applyAlignment="1" applyProtection="1">
      <alignment/>
      <protection locked="0"/>
    </xf>
    <xf numFmtId="178" fontId="0" fillId="3" borderId="9" xfId="0" applyNumberFormat="1" applyFill="1" applyBorder="1" applyAlignment="1" applyProtection="1">
      <alignment/>
      <protection locked="0"/>
    </xf>
    <xf numFmtId="9" fontId="0" fillId="3" borderId="9" xfId="0" applyNumberFormat="1" applyFill="1" applyBorder="1" applyAlignment="1" applyProtection="1">
      <alignment/>
      <protection locked="0"/>
    </xf>
    <xf numFmtId="10" fontId="0" fillId="3" borderId="9" xfId="22" applyNumberFormat="1" applyFill="1" applyBorder="1" applyAlignment="1" applyProtection="1">
      <alignment/>
      <protection locked="0"/>
    </xf>
    <xf numFmtId="10" fontId="0" fillId="3" borderId="11" xfId="22" applyNumberFormat="1" applyFill="1" applyBorder="1" applyAlignment="1" applyProtection="1" quotePrefix="1">
      <alignment horizontal="right"/>
      <protection locked="0"/>
    </xf>
    <xf numFmtId="9" fontId="0" fillId="3" borderId="11" xfId="0" applyNumberFormat="1" applyFill="1" applyBorder="1" applyAlignment="1" applyProtection="1">
      <alignment/>
      <protection locked="0"/>
    </xf>
    <xf numFmtId="3" fontId="0" fillId="3" borderId="9" xfId="0" applyNumberFormat="1" applyFill="1" applyBorder="1" applyAlignment="1" applyProtection="1">
      <alignment/>
      <protection locked="0"/>
    </xf>
    <xf numFmtId="8" fontId="0" fillId="3" borderId="5" xfId="0" applyNumberFormat="1" applyFill="1" applyBorder="1" applyAlignment="1" applyProtection="1">
      <alignment/>
      <protection locked="0"/>
    </xf>
    <xf numFmtId="9" fontId="0" fillId="3" borderId="11" xfId="22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9" fontId="1" fillId="0" borderId="1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9" fontId="0" fillId="0" borderId="6" xfId="0" applyNumberFormat="1" applyBorder="1" applyAlignment="1" applyProtection="1">
      <alignment/>
      <protection/>
    </xf>
    <xf numFmtId="178" fontId="0" fillId="0" borderId="9" xfId="0" applyNumberForma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76" fontId="1" fillId="0" borderId="11" xfId="0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8" fontId="2" fillId="0" borderId="0" xfId="0" applyNumberFormat="1" applyFont="1" applyAlignment="1" applyProtection="1">
      <alignment horizontal="center"/>
      <protection/>
    </xf>
    <xf numFmtId="8" fontId="2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7" fontId="0" fillId="0" borderId="0" xfId="17" applyNumberFormat="1" applyAlignment="1" applyProtection="1">
      <alignment/>
      <protection/>
    </xf>
    <xf numFmtId="6" fontId="1" fillId="0" borderId="0" xfId="0" applyNumberFormat="1" applyFont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176" fontId="1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69" fontId="1" fillId="0" borderId="11" xfId="17" applyNumberFormat="1" applyFont="1" applyFill="1" applyBorder="1" applyAlignment="1" applyProtection="1">
      <alignment/>
      <protection/>
    </xf>
    <xf numFmtId="0" fontId="11" fillId="4" borderId="1" xfId="20" applyFont="1" applyFill="1" applyBorder="1" applyAlignment="1" applyProtection="1">
      <alignment/>
      <protection/>
    </xf>
    <xf numFmtId="0" fontId="9" fillId="4" borderId="5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4" borderId="15" xfId="2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6" fontId="0" fillId="0" borderId="0" xfId="0" applyNumberFormat="1" applyFont="1" applyFill="1" applyAlignment="1" applyProtection="1">
      <alignment/>
      <protection/>
    </xf>
    <xf numFmtId="6" fontId="1" fillId="0" borderId="0" xfId="0" applyNumberFormat="1" applyFont="1" applyFill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9" fontId="1" fillId="8" borderId="0" xfId="17" applyNumberFormat="1" applyFont="1" applyFill="1" applyAlignment="1" applyProtection="1">
      <alignment/>
      <protection/>
    </xf>
    <xf numFmtId="44" fontId="0" fillId="0" borderId="0" xfId="17" applyAlignment="1" applyProtection="1">
      <alignment/>
      <protection/>
    </xf>
    <xf numFmtId="6" fontId="1" fillId="6" borderId="0" xfId="0" applyNumberFormat="1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3" fontId="1" fillId="6" borderId="0" xfId="0" applyNumberFormat="1" applyFont="1" applyFill="1" applyAlignment="1" applyProtection="1">
      <alignment/>
      <protection/>
    </xf>
    <xf numFmtId="6" fontId="1" fillId="8" borderId="0" xfId="0" applyNumberFormat="1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6" fontId="1" fillId="8" borderId="0" xfId="0" applyNumberFormat="1" applyFont="1" applyFill="1" applyAlignment="1" applyProtection="1">
      <alignment/>
      <protection/>
    </xf>
    <xf numFmtId="169" fontId="1" fillId="8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69" fontId="1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169" fontId="0" fillId="0" borderId="0" xfId="17" applyNumberFormat="1" applyFont="1" applyAlignment="1" applyProtection="1">
      <alignment/>
      <protection/>
    </xf>
    <xf numFmtId="169" fontId="0" fillId="0" borderId="0" xfId="17" applyNumberFormat="1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center" vertical="top" wrapText="1"/>
      <protection/>
    </xf>
    <xf numFmtId="10" fontId="0" fillId="0" borderId="0" xfId="0" applyNumberFormat="1" applyFont="1" applyAlignment="1" applyProtection="1">
      <alignment horizontal="center" vertical="top" wrapText="1"/>
      <protection/>
    </xf>
    <xf numFmtId="10" fontId="3" fillId="0" borderId="0" xfId="0" applyNumberFormat="1" applyFont="1" applyBorder="1" applyAlignment="1" applyProtection="1">
      <alignment horizontal="center" vertical="top" wrapText="1"/>
      <protection/>
    </xf>
    <xf numFmtId="10" fontId="3" fillId="0" borderId="0" xfId="0" applyNumberFormat="1" applyFont="1" applyAlignment="1" applyProtection="1">
      <alignment horizontal="center" vertical="top" wrapText="1"/>
      <protection/>
    </xf>
    <xf numFmtId="0" fontId="1" fillId="3" borderId="6" xfId="0" applyFont="1" applyFill="1" applyBorder="1" applyAlignment="1" applyProtection="1">
      <alignment/>
      <protection locked="0"/>
    </xf>
    <xf numFmtId="0" fontId="1" fillId="3" borderId="21" xfId="0" applyFont="1" applyFill="1" applyBorder="1" applyAlignment="1" applyProtection="1">
      <alignment/>
      <protection locked="0"/>
    </xf>
    <xf numFmtId="6" fontId="0" fillId="3" borderId="0" xfId="0" applyNumberFormat="1" applyFill="1" applyBorder="1" applyAlignment="1" applyProtection="1">
      <alignment horizontal="center"/>
      <protection locked="0"/>
    </xf>
    <xf numFmtId="6" fontId="0" fillId="3" borderId="8" xfId="0" applyNumberFormat="1" applyFill="1" applyBorder="1" applyAlignment="1" applyProtection="1">
      <alignment horizontal="center"/>
      <protection locked="0"/>
    </xf>
    <xf numFmtId="9" fontId="0" fillId="3" borderId="0" xfId="22" applyFill="1" applyBorder="1" applyAlignment="1" applyProtection="1">
      <alignment horizontal="center"/>
      <protection locked="0"/>
    </xf>
    <xf numFmtId="9" fontId="0" fillId="3" borderId="8" xfId="22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38" fontId="0" fillId="3" borderId="0" xfId="0" applyNumberFormat="1" applyFill="1" applyBorder="1" applyAlignment="1" applyProtection="1">
      <alignment horizontal="center"/>
      <protection locked="0"/>
    </xf>
    <xf numFmtId="38" fontId="0" fillId="3" borderId="8" xfId="0" applyNumberFormat="1" applyFill="1" applyBorder="1" applyAlignment="1" applyProtection="1">
      <alignment horizontal="center"/>
      <protection locked="0"/>
    </xf>
    <xf numFmtId="8" fontId="0" fillId="3" borderId="0" xfId="0" applyNumberFormat="1" applyFill="1" applyBorder="1" applyAlignment="1" applyProtection="1">
      <alignment horizontal="center"/>
      <protection locked="0"/>
    </xf>
    <xf numFmtId="8" fontId="0" fillId="3" borderId="8" xfId="0" applyNumberFormat="1" applyFill="1" applyBorder="1" applyAlignment="1" applyProtection="1">
      <alignment horizontal="center"/>
      <protection locked="0"/>
    </xf>
    <xf numFmtId="9" fontId="0" fillId="3" borderId="0" xfId="0" applyNumberFormat="1" applyFill="1" applyBorder="1" applyAlignment="1" applyProtection="1">
      <alignment horizontal="center"/>
      <protection locked="0"/>
    </xf>
    <xf numFmtId="9" fontId="0" fillId="3" borderId="8" xfId="0" applyNumberFormat="1" applyFill="1" applyBorder="1" applyAlignment="1" applyProtection="1">
      <alignment horizontal="center"/>
      <protection locked="0"/>
    </xf>
    <xf numFmtId="6" fontId="0" fillId="0" borderId="9" xfId="0" applyNumberFormat="1" applyFill="1" applyBorder="1" applyAlignment="1" applyProtection="1">
      <alignment/>
      <protection locked="0"/>
    </xf>
    <xf numFmtId="169" fontId="0" fillId="3" borderId="0" xfId="17" applyNumberFormat="1" applyFill="1" applyAlignment="1" applyProtection="1">
      <alignment horizontal="center"/>
      <protection locked="0"/>
    </xf>
    <xf numFmtId="0" fontId="11" fillId="0" borderId="0" xfId="20" applyFont="1" applyFill="1" applyBorder="1" applyAlignment="1" applyProtection="1">
      <alignment/>
      <protection/>
    </xf>
    <xf numFmtId="0" fontId="11" fillId="0" borderId="0" xfId="2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1" fillId="8" borderId="0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11" fillId="0" borderId="0" xfId="2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RowColHeaders="0" tabSelected="1" workbookViewId="0" topLeftCell="A1">
      <selection activeCell="E22" sqref="E22"/>
    </sheetView>
  </sheetViews>
  <sheetFormatPr defaultColWidth="9.140625" defaultRowHeight="12.75"/>
  <cols>
    <col min="1" max="1" width="21.8515625" style="0" customWidth="1"/>
    <col min="3" max="3" width="9.421875" style="0" customWidth="1"/>
    <col min="5" max="5" width="21.00390625" style="0" bestFit="1" customWidth="1"/>
    <col min="11" max="12" width="9.7109375" style="0" bestFit="1" customWidth="1"/>
  </cols>
  <sheetData>
    <row r="1" spans="1:9" ht="18">
      <c r="A1" s="20" t="s">
        <v>372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20"/>
      <c r="B2" s="15"/>
      <c r="C2" s="15"/>
      <c r="D2" s="15"/>
      <c r="E2" s="15"/>
      <c r="F2" s="15"/>
      <c r="G2" s="15"/>
      <c r="H2" s="15"/>
      <c r="I2" s="15"/>
    </row>
    <row r="3" spans="1:9" ht="18.75">
      <c r="A3" s="20"/>
      <c r="B3" s="21"/>
      <c r="C3" s="15"/>
      <c r="D3" s="15"/>
      <c r="E3" s="15"/>
      <c r="F3" s="15"/>
      <c r="G3" s="15"/>
      <c r="H3" s="15"/>
      <c r="I3" s="15"/>
    </row>
    <row r="4" spans="1:9" ht="18.75">
      <c r="A4" s="20" t="s">
        <v>114</v>
      </c>
      <c r="B4" s="21" t="s">
        <v>373</v>
      </c>
      <c r="C4" s="15"/>
      <c r="D4" s="15"/>
      <c r="E4" s="15"/>
      <c r="F4" s="15"/>
      <c r="G4" s="15"/>
      <c r="H4" s="15"/>
      <c r="I4" s="15"/>
    </row>
    <row r="5" spans="1:9" ht="18">
      <c r="A5" s="20"/>
      <c r="B5" s="15"/>
      <c r="C5" s="15"/>
      <c r="D5" s="15"/>
      <c r="E5" s="15"/>
      <c r="F5" s="15"/>
      <c r="G5" s="15"/>
      <c r="H5" s="15"/>
      <c r="I5" s="15"/>
    </row>
    <row r="6" spans="1:9" ht="16.5">
      <c r="A6" s="22" t="s">
        <v>146</v>
      </c>
      <c r="B6" s="15"/>
      <c r="C6" s="15"/>
      <c r="D6" s="15"/>
      <c r="E6" s="15"/>
      <c r="F6" s="15"/>
      <c r="G6" s="15"/>
      <c r="H6" s="15"/>
      <c r="I6" s="15"/>
    </row>
    <row r="7" spans="1:9" ht="16.5">
      <c r="A7" s="22" t="s">
        <v>416</v>
      </c>
      <c r="B7" s="15"/>
      <c r="C7" s="15"/>
      <c r="D7" s="15"/>
      <c r="E7" s="176"/>
      <c r="F7" s="15"/>
      <c r="G7" s="15"/>
      <c r="H7" s="15"/>
      <c r="I7" s="15"/>
    </row>
    <row r="8" spans="1:13" ht="16.5">
      <c r="A8" s="22" t="s">
        <v>147</v>
      </c>
      <c r="B8" s="15"/>
      <c r="C8" s="15"/>
      <c r="D8" s="15"/>
      <c r="E8" s="15"/>
      <c r="F8" s="15"/>
      <c r="G8" s="15"/>
      <c r="H8" s="15"/>
      <c r="I8" s="15"/>
      <c r="M8" s="6"/>
    </row>
    <row r="9" spans="1:9" ht="16.5">
      <c r="A9" s="22" t="s">
        <v>113</v>
      </c>
      <c r="B9" s="15"/>
      <c r="C9" s="15"/>
      <c r="D9" s="15"/>
      <c r="E9" s="15"/>
      <c r="F9" s="15"/>
      <c r="G9" s="15"/>
      <c r="H9" s="15"/>
      <c r="I9" s="15"/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6.5">
      <c r="A11" s="22" t="s">
        <v>115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3" t="s">
        <v>116</v>
      </c>
      <c r="B15" s="15"/>
      <c r="C15" s="15"/>
      <c r="D15" s="16" t="s">
        <v>148</v>
      </c>
      <c r="E15" s="15"/>
      <c r="F15" s="15"/>
      <c r="G15" s="15"/>
      <c r="H15" s="15"/>
      <c r="I15" s="15"/>
    </row>
    <row r="16" spans="1:9" ht="12.75">
      <c r="A16" s="14"/>
      <c r="B16" s="23"/>
      <c r="C16" s="23"/>
      <c r="D16" s="23" t="s">
        <v>117</v>
      </c>
      <c r="E16" s="15"/>
      <c r="F16" s="15"/>
      <c r="G16" s="15"/>
      <c r="H16" s="15"/>
      <c r="I16" s="15"/>
    </row>
    <row r="17" spans="1:9" ht="12.75">
      <c r="A17" s="14"/>
      <c r="B17" s="14"/>
      <c r="C17" s="14"/>
      <c r="E17" s="14"/>
      <c r="F17" s="14"/>
      <c r="G17" s="14"/>
      <c r="H17" s="14"/>
      <c r="I17" s="14"/>
    </row>
    <row r="18" spans="2:9" ht="12.75">
      <c r="B18" s="14"/>
      <c r="C18" s="14"/>
      <c r="D18" s="14"/>
      <c r="E18" s="14"/>
      <c r="F18" s="14"/>
      <c r="G18" s="14"/>
      <c r="H18" s="14"/>
      <c r="I18" s="14"/>
    </row>
    <row r="19" ht="23.25">
      <c r="A19" s="27" t="s">
        <v>136</v>
      </c>
    </row>
    <row r="21" ht="13.5" thickBot="1"/>
    <row r="22" spans="5:6" ht="13.5" thickBot="1">
      <c r="E22" s="179" t="s">
        <v>137</v>
      </c>
      <c r="F22" s="180"/>
    </row>
    <row r="23" spans="5:6" ht="13.5" thickBot="1">
      <c r="E23" s="181" t="s">
        <v>417</v>
      </c>
      <c r="F23" s="182"/>
    </row>
  </sheetData>
  <hyperlinks>
    <hyperlink ref="E23" location="'Grapes &amp; Wines'!A1" display="FORWARD TO GRAPES &amp; WINE"/>
  </hyperlinks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dvAspect="DVASPECT_ICON" shapeId="695210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A28">
      <selection activeCell="D58" sqref="D58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14.140625" style="0" customWidth="1"/>
    <col min="4" max="13" width="12.7109375" style="0" customWidth="1"/>
  </cols>
  <sheetData>
    <row r="1" ht="13.5" thickBot="1"/>
    <row r="2" spans="2:3" ht="13.5" thickBot="1">
      <c r="B2" s="183" t="s">
        <v>137</v>
      </c>
      <c r="C2" s="157"/>
    </row>
    <row r="3" spans="2:3" ht="13.5" thickBot="1">
      <c r="B3" s="185" t="s">
        <v>140</v>
      </c>
      <c r="C3" s="186"/>
    </row>
    <row r="4" spans="2:3" ht="13.5" thickBot="1">
      <c r="B4" s="185" t="s">
        <v>141</v>
      </c>
      <c r="C4" s="186"/>
    </row>
    <row r="5" spans="2:3" ht="13.5" thickBot="1">
      <c r="B5" s="187" t="s">
        <v>425</v>
      </c>
      <c r="C5" s="188"/>
    </row>
    <row r="6" spans="2:3" ht="13.5" thickBot="1">
      <c r="B6" s="185" t="s">
        <v>426</v>
      </c>
      <c r="C6" s="186"/>
    </row>
    <row r="7" spans="2:3" ht="13.5" thickBot="1">
      <c r="B7" s="185" t="s">
        <v>431</v>
      </c>
      <c r="C7" s="191"/>
    </row>
    <row r="8" spans="2:3" ht="13.5" thickBot="1">
      <c r="B8" s="185" t="s">
        <v>432</v>
      </c>
      <c r="C8" s="191"/>
    </row>
    <row r="9" spans="2:3" ht="13.5" thickBot="1">
      <c r="B9" s="185" t="s">
        <v>433</v>
      </c>
      <c r="C9" s="186"/>
    </row>
    <row r="10" spans="2:3" ht="13.5" thickBot="1">
      <c r="B10" s="193" t="s">
        <v>436</v>
      </c>
      <c r="C10" s="194"/>
    </row>
    <row r="11" spans="2:3" ht="13.5" thickBot="1">
      <c r="B11" s="185" t="s">
        <v>439</v>
      </c>
      <c r="C11" s="186"/>
    </row>
    <row r="12" spans="2:3" ht="13.5" thickBot="1">
      <c r="B12" s="185" t="s">
        <v>440</v>
      </c>
      <c r="C12" s="186"/>
    </row>
    <row r="14" spans="2:4" ht="12.75">
      <c r="B14" s="403"/>
      <c r="C14" s="403"/>
      <c r="D14" s="403"/>
    </row>
    <row r="15" spans="2:7" ht="15.75">
      <c r="B15" s="184" t="s">
        <v>109</v>
      </c>
      <c r="C15" s="190"/>
      <c r="D15" s="190"/>
      <c r="E15" s="190"/>
      <c r="F15" s="190"/>
      <c r="G15" s="190"/>
    </row>
    <row r="17" ht="12.75">
      <c r="B17" s="3" t="s">
        <v>124</v>
      </c>
    </row>
    <row r="18" spans="3:13" ht="12.75">
      <c r="C18" s="3" t="s">
        <v>11</v>
      </c>
      <c r="D18" s="2" t="s">
        <v>0</v>
      </c>
      <c r="E18" s="2" t="s">
        <v>1</v>
      </c>
      <c r="F18" s="2" t="s">
        <v>2</v>
      </c>
      <c r="G18" s="2" t="s">
        <v>3</v>
      </c>
      <c r="H18" s="2" t="s">
        <v>4</v>
      </c>
      <c r="I18" s="2" t="s">
        <v>5</v>
      </c>
      <c r="J18" s="2" t="s">
        <v>6</v>
      </c>
      <c r="K18" s="2" t="s">
        <v>7</v>
      </c>
      <c r="L18" s="2" t="s">
        <v>8</v>
      </c>
      <c r="M18" s="2" t="s">
        <v>9</v>
      </c>
    </row>
    <row r="19" spans="2:13" ht="12.75">
      <c r="B19" s="1" t="str">
        <f>'Market Projection'!B36</f>
        <v>Merlot</v>
      </c>
      <c r="C19" s="6">
        <f>'Market Projection'!C40</f>
        <v>0</v>
      </c>
      <c r="D19" s="6">
        <f>'Market Projection'!D40</f>
        <v>82968.75</v>
      </c>
      <c r="E19" s="6">
        <f>'Market Projection'!E40</f>
        <v>85457.8125</v>
      </c>
      <c r="F19" s="6">
        <f>'Market Projection'!F40</f>
        <v>88021.546875</v>
      </c>
      <c r="G19" s="6">
        <f>'Market Projection'!G40</f>
        <v>90662.19328125</v>
      </c>
      <c r="H19" s="6">
        <f>'Market Projection'!H40</f>
        <v>93382.0590796875</v>
      </c>
      <c r="I19" s="6">
        <f>'Market Projection'!I40</f>
        <v>96183.52085207812</v>
      </c>
      <c r="J19" s="6">
        <f>'Market Projection'!J40</f>
        <v>99069.02647764047</v>
      </c>
      <c r="K19" s="6">
        <f>'Market Projection'!K40</f>
        <v>102041.09727196969</v>
      </c>
      <c r="L19" s="6">
        <f>'Market Projection'!L40</f>
        <v>105102.33019012878</v>
      </c>
      <c r="M19" s="6">
        <f>'Market Projection'!M40</f>
        <v>108255.40009583265</v>
      </c>
    </row>
    <row r="20" spans="2:13" ht="12.75">
      <c r="B20" s="1" t="str">
        <f>'Market Projection'!B42</f>
        <v>Cabernet Sauvignon</v>
      </c>
      <c r="C20" s="8">
        <f>'Market Projection'!C46</f>
        <v>0</v>
      </c>
      <c r="D20" s="8">
        <f>'Market Projection'!D46</f>
        <v>88675</v>
      </c>
      <c r="E20" s="8">
        <f>'Market Projection'!E46</f>
        <v>91335.25</v>
      </c>
      <c r="F20" s="8">
        <f>'Market Projection'!F46</f>
        <v>94075.30750000001</v>
      </c>
      <c r="G20" s="8">
        <f>'Market Projection'!G46</f>
        <v>96897.566725</v>
      </c>
      <c r="H20" s="8">
        <f>'Market Projection'!H46</f>
        <v>99804.49372674999</v>
      </c>
      <c r="I20" s="8">
        <f>'Market Projection'!I46</f>
        <v>102798.6285385525</v>
      </c>
      <c r="J20" s="8">
        <f>'Market Projection'!J46</f>
        <v>105882.58739470909</v>
      </c>
      <c r="K20" s="8">
        <f>'Market Projection'!K46</f>
        <v>109059.06501655035</v>
      </c>
      <c r="L20" s="8">
        <f>'Market Projection'!L46</f>
        <v>112330.83696704687</v>
      </c>
      <c r="M20" s="8">
        <f>'Market Projection'!M46</f>
        <v>115700.76207605828</v>
      </c>
    </row>
    <row r="21" spans="2:13" ht="12.75">
      <c r="B21" s="1" t="str">
        <f>'Market Projection'!B48</f>
        <v>Chardonnay</v>
      </c>
      <c r="C21" s="8">
        <f>'Market Projection'!C52</f>
        <v>0</v>
      </c>
      <c r="D21" s="8">
        <f>'Market Projection'!D52</f>
        <v>74981.25</v>
      </c>
      <c r="E21" s="8">
        <f>'Market Projection'!E52</f>
        <v>77230.6875</v>
      </c>
      <c r="F21" s="8">
        <f>'Market Projection'!F52</f>
        <v>79547.608125</v>
      </c>
      <c r="G21" s="8">
        <f>'Market Projection'!G52</f>
        <v>81934.03636874999</v>
      </c>
      <c r="H21" s="8">
        <f>'Market Projection'!H52</f>
        <v>84392.0574598125</v>
      </c>
      <c r="I21" s="8">
        <f>'Market Projection'!I52</f>
        <v>86923.81918360687</v>
      </c>
      <c r="J21" s="8">
        <f>'Market Projection'!J52</f>
        <v>89531.53375911507</v>
      </c>
      <c r="K21" s="8">
        <f>'Market Projection'!K52</f>
        <v>92217.47977188854</v>
      </c>
      <c r="L21" s="8">
        <f>'Market Projection'!L52</f>
        <v>94984.00416504519</v>
      </c>
      <c r="M21" s="8">
        <f>'Market Projection'!M52</f>
        <v>97833.52428999655</v>
      </c>
    </row>
    <row r="22" spans="2:13" ht="12.75">
      <c r="B22" s="1" t="str">
        <f>'Market Projection'!B54</f>
        <v>Wine 4</v>
      </c>
      <c r="C22" s="8">
        <f>'Market Projection'!C58</f>
        <v>0</v>
      </c>
      <c r="D22" s="8">
        <f>'Market Projection'!D58</f>
        <v>0</v>
      </c>
      <c r="E22" s="8">
        <f>'Market Projection'!E58</f>
        <v>0</v>
      </c>
      <c r="F22" s="8">
        <f>'Market Projection'!F58</f>
        <v>0</v>
      </c>
      <c r="G22" s="8">
        <f>'Market Projection'!G58</f>
        <v>0</v>
      </c>
      <c r="H22" s="8">
        <f>'Market Projection'!H58</f>
        <v>0</v>
      </c>
      <c r="I22" s="8">
        <f>'Market Projection'!I58</f>
        <v>0</v>
      </c>
      <c r="J22" s="8">
        <f>'Market Projection'!J58</f>
        <v>0</v>
      </c>
      <c r="K22" s="8">
        <f>'Market Projection'!K58</f>
        <v>0</v>
      </c>
      <c r="L22" s="8">
        <f>'Market Projection'!L58</f>
        <v>0</v>
      </c>
      <c r="M22" s="8">
        <f>'Market Projection'!M58</f>
        <v>0</v>
      </c>
    </row>
    <row r="23" spans="2:13" ht="12.75">
      <c r="B23" s="1" t="str">
        <f>'Market Projection'!B60</f>
        <v>Wine 5</v>
      </c>
      <c r="C23" s="8">
        <f>'Market Projection'!C64</f>
        <v>0</v>
      </c>
      <c r="D23" s="8">
        <f>'Market Projection'!D64</f>
        <v>0</v>
      </c>
      <c r="E23" s="8">
        <f>'Market Projection'!E64</f>
        <v>0</v>
      </c>
      <c r="F23" s="8">
        <f>'Market Projection'!F64</f>
        <v>0</v>
      </c>
      <c r="G23" s="8">
        <f>'Market Projection'!G64</f>
        <v>0</v>
      </c>
      <c r="H23" s="8">
        <f>'Market Projection'!H64</f>
        <v>0</v>
      </c>
      <c r="I23" s="8">
        <f>'Market Projection'!I64</f>
        <v>0</v>
      </c>
      <c r="J23" s="8">
        <f>'Market Projection'!J64</f>
        <v>0</v>
      </c>
      <c r="K23" s="8">
        <f>'Market Projection'!K64</f>
        <v>0</v>
      </c>
      <c r="L23" s="8">
        <f>'Market Projection'!L64</f>
        <v>0</v>
      </c>
      <c r="M23" s="8">
        <f>'Market Projection'!M64</f>
        <v>0</v>
      </c>
    </row>
    <row r="24" spans="2:13" ht="12.75">
      <c r="B24" s="1" t="str">
        <f>'Market Projection'!B66</f>
        <v>Wine 6</v>
      </c>
      <c r="C24" s="8">
        <f>'Market Projection'!C70</f>
        <v>0</v>
      </c>
      <c r="D24" s="8">
        <f>'Market Projection'!D70</f>
        <v>0</v>
      </c>
      <c r="E24" s="8">
        <f>'Market Projection'!E70</f>
        <v>0</v>
      </c>
      <c r="F24" s="8">
        <f>'Market Projection'!F70</f>
        <v>0</v>
      </c>
      <c r="G24" s="8">
        <f>'Market Projection'!G70</f>
        <v>0</v>
      </c>
      <c r="H24" s="8">
        <f>'Market Projection'!H70</f>
        <v>0</v>
      </c>
      <c r="I24" s="8">
        <f>'Market Projection'!I70</f>
        <v>0</v>
      </c>
      <c r="J24" s="8">
        <f>'Market Projection'!J70</f>
        <v>0</v>
      </c>
      <c r="K24" s="8">
        <f>'Market Projection'!K70</f>
        <v>0</v>
      </c>
      <c r="L24" s="8">
        <f>'Market Projection'!L70</f>
        <v>0</v>
      </c>
      <c r="M24" s="8">
        <f>'Market Projection'!M70</f>
        <v>0</v>
      </c>
    </row>
    <row r="25" spans="2:13" ht="12.75">
      <c r="B25" s="1" t="str">
        <f>'Market Projection'!B72</f>
        <v>Blend 1</v>
      </c>
      <c r="C25" s="8">
        <f>'Market Projection'!C76</f>
        <v>0</v>
      </c>
      <c r="D25" s="8">
        <f>'Market Projection'!D76</f>
        <v>0</v>
      </c>
      <c r="E25" s="8">
        <f>'Market Projection'!E76</f>
        <v>0</v>
      </c>
      <c r="F25" s="8">
        <f>'Market Projection'!F76</f>
        <v>0</v>
      </c>
      <c r="G25" s="8">
        <f>'Market Projection'!G76</f>
        <v>0</v>
      </c>
      <c r="H25" s="8">
        <f>'Market Projection'!H76</f>
        <v>0</v>
      </c>
      <c r="I25" s="8">
        <f>'Market Projection'!I76</f>
        <v>0</v>
      </c>
      <c r="J25" s="8">
        <f>'Market Projection'!J76</f>
        <v>0</v>
      </c>
      <c r="K25" s="8">
        <f>'Market Projection'!K76</f>
        <v>0</v>
      </c>
      <c r="L25" s="8">
        <f>'Market Projection'!L76</f>
        <v>0</v>
      </c>
      <c r="M25" s="8">
        <f>'Market Projection'!M76</f>
        <v>0</v>
      </c>
    </row>
    <row r="26" spans="2:13" ht="12.75">
      <c r="B26" s="1" t="str">
        <f>'Market Projection'!B78</f>
        <v>Blend 2</v>
      </c>
      <c r="C26" s="8">
        <f>'Market Projection'!C82</f>
        <v>0</v>
      </c>
      <c r="D26" s="8">
        <f>'Market Projection'!D82</f>
        <v>0</v>
      </c>
      <c r="E26" s="8">
        <f>'Market Projection'!E82</f>
        <v>0</v>
      </c>
      <c r="F26" s="8">
        <f>'Market Projection'!F82</f>
        <v>0</v>
      </c>
      <c r="G26" s="8">
        <f>'Market Projection'!G82</f>
        <v>0</v>
      </c>
      <c r="H26" s="8">
        <f>'Market Projection'!H82</f>
        <v>0</v>
      </c>
      <c r="I26" s="8">
        <f>'Market Projection'!I82</f>
        <v>0</v>
      </c>
      <c r="J26" s="8">
        <f>'Market Projection'!J82</f>
        <v>0</v>
      </c>
      <c r="K26" s="8">
        <f>'Market Projection'!K82</f>
        <v>0</v>
      </c>
      <c r="L26" s="8">
        <f>'Market Projection'!L82</f>
        <v>0</v>
      </c>
      <c r="M26" s="8">
        <f>'Market Projection'!M82</f>
        <v>0</v>
      </c>
    </row>
    <row r="27" spans="2:13" ht="12.75">
      <c r="B27" s="1"/>
      <c r="C27" s="8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 ht="12.75">
      <c r="B28" s="1" t="s">
        <v>368</v>
      </c>
      <c r="C28" s="8">
        <f>SUM(C19:C26)</f>
        <v>0</v>
      </c>
      <c r="D28" s="8">
        <f aca="true" t="shared" si="0" ref="D28:M28">SUM(D19:D26)</f>
        <v>246625</v>
      </c>
      <c r="E28" s="8">
        <f t="shared" si="0"/>
        <v>254023.75</v>
      </c>
      <c r="F28" s="8">
        <f t="shared" si="0"/>
        <v>261644.4625</v>
      </c>
      <c r="G28" s="8">
        <f t="shared" si="0"/>
        <v>269493.796375</v>
      </c>
      <c r="H28" s="8">
        <f t="shared" si="0"/>
        <v>277578.61026625</v>
      </c>
      <c r="I28" s="8">
        <f t="shared" si="0"/>
        <v>285905.9685742375</v>
      </c>
      <c r="J28" s="8">
        <f t="shared" si="0"/>
        <v>294483.14763146464</v>
      </c>
      <c r="K28" s="8">
        <f t="shared" si="0"/>
        <v>303317.64206040854</v>
      </c>
      <c r="L28" s="8">
        <f t="shared" si="0"/>
        <v>312417.1713222208</v>
      </c>
      <c r="M28" s="8">
        <f t="shared" si="0"/>
        <v>321789.6864618875</v>
      </c>
    </row>
    <row r="29" spans="2:13" ht="12.75">
      <c r="B29" s="1"/>
      <c r="C29" s="8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 ht="12.75">
      <c r="B30" s="1" t="s">
        <v>395</v>
      </c>
      <c r="C30" s="8">
        <f>'Market Projection'!C88</f>
        <v>0</v>
      </c>
      <c r="D30" s="8">
        <f>'Market Projection'!D88</f>
        <v>25162.5</v>
      </c>
      <c r="E30" s="8">
        <f>'Market Projection'!E88</f>
        <v>25917.375</v>
      </c>
      <c r="F30" s="8">
        <f>'Market Projection'!F88</f>
        <v>26694.896250000005</v>
      </c>
      <c r="G30" s="8">
        <f>'Market Projection'!G88</f>
        <v>27495.7431375</v>
      </c>
      <c r="H30" s="8">
        <f>'Market Projection'!H88</f>
        <v>28320.615431625003</v>
      </c>
      <c r="I30" s="8">
        <f>'Market Projection'!I88</f>
        <v>29170.233894573747</v>
      </c>
      <c r="J30" s="8">
        <f>'Market Projection'!J88</f>
        <v>30045.340911410967</v>
      </c>
      <c r="K30" s="8">
        <f>'Market Projection'!K88</f>
        <v>30946.701138753288</v>
      </c>
      <c r="L30" s="8">
        <f>'Market Projection'!L88</f>
        <v>31875.10217291589</v>
      </c>
      <c r="M30" s="8">
        <f>'Market Projection'!M88</f>
        <v>32831.35523810337</v>
      </c>
    </row>
    <row r="31" spans="2:13" ht="12.75">
      <c r="B31" s="1"/>
      <c r="C31" s="8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 ht="12.75">
      <c r="B32" s="1" t="s">
        <v>50</v>
      </c>
      <c r="C32" s="11">
        <f>C28+C30</f>
        <v>0</v>
      </c>
      <c r="D32" s="11">
        <f aca="true" t="shared" si="1" ref="D32:M32">D28+D30</f>
        <v>271787.5</v>
      </c>
      <c r="E32" s="11">
        <f t="shared" si="1"/>
        <v>279941.125</v>
      </c>
      <c r="F32" s="11">
        <f t="shared" si="1"/>
        <v>288339.35875</v>
      </c>
      <c r="G32" s="11">
        <f t="shared" si="1"/>
        <v>296989.5395125</v>
      </c>
      <c r="H32" s="11">
        <f t="shared" si="1"/>
        <v>305899.22569787496</v>
      </c>
      <c r="I32" s="11">
        <f t="shared" si="1"/>
        <v>315076.20246881124</v>
      </c>
      <c r="J32" s="11">
        <f t="shared" si="1"/>
        <v>324528.4885428756</v>
      </c>
      <c r="K32" s="11">
        <f t="shared" si="1"/>
        <v>334264.3431991618</v>
      </c>
      <c r="L32" s="11">
        <f t="shared" si="1"/>
        <v>344292.2734951367</v>
      </c>
      <c r="M32" s="11">
        <f t="shared" si="1"/>
        <v>354621.04169999086</v>
      </c>
    </row>
    <row r="33" spans="2:13" ht="12.75">
      <c r="B33" s="1"/>
      <c r="C33" s="11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 ht="12.75">
      <c r="B34" s="1"/>
      <c r="C34" s="11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6" ht="12.75">
      <c r="B36" s="3" t="s">
        <v>51</v>
      </c>
    </row>
    <row r="37" spans="2:13" ht="12.75">
      <c r="B37" s="1" t="s">
        <v>35</v>
      </c>
      <c r="C37" s="8">
        <f>'Expense Projection'!C41</f>
        <v>0</v>
      </c>
      <c r="D37" s="8">
        <f>'Expense Projection'!D41</f>
        <v>138300.54511432082</v>
      </c>
      <c r="E37" s="8">
        <f>'Expense Projection'!E41</f>
        <v>140926.52146775043</v>
      </c>
      <c r="F37" s="8">
        <f>'Expense Projection'!F41</f>
        <v>143616.04671178295</v>
      </c>
      <c r="G37" s="8">
        <f>'Expense Projection'!G41</f>
        <v>146370.87500913645</v>
      </c>
      <c r="H37" s="8">
        <f>'Expense Projection'!H41</f>
        <v>149192.81162437052</v>
      </c>
      <c r="I37" s="8">
        <f>'Expense Projection'!I41</f>
        <v>152083.71444171126</v>
      </c>
      <c r="J37" s="8">
        <f>'Expense Projection'!J41</f>
        <v>155045.4955282583</v>
      </c>
      <c r="K37" s="8">
        <f>'Expense Projection'!K41</f>
        <v>158080.12274393468</v>
      </c>
      <c r="L37" s="8">
        <f>'Expense Projection'!L41</f>
        <v>161189.62139957966</v>
      </c>
      <c r="M37" s="8">
        <f>'Expense Projection'!M41</f>
        <v>164376.07596462726</v>
      </c>
    </row>
    <row r="38" spans="2:13" ht="12.75">
      <c r="B38" s="1" t="s">
        <v>37</v>
      </c>
      <c r="C38" s="8">
        <f>'Expense Projection'!C54</f>
        <v>0</v>
      </c>
      <c r="D38" s="8">
        <f>'Expense Projection'!D54</f>
        <v>51640.8314581413</v>
      </c>
      <c r="E38" s="8">
        <f>'Expense Projection'!E54</f>
        <v>58808.029747869004</v>
      </c>
      <c r="F38" s="8">
        <f>'Expense Projection'!F54</f>
        <v>53194.976678774925</v>
      </c>
      <c r="G38" s="8">
        <f>'Expense Projection'!G54</f>
        <v>49010.048186733315</v>
      </c>
      <c r="H38" s="8">
        <f>'Expense Projection'!H54</f>
        <v>45834.35043813419</v>
      </c>
      <c r="I38" s="8">
        <f>'Expense Projection'!I54</f>
        <v>45225.052714680976</v>
      </c>
      <c r="J38" s="8">
        <f>'Expense Projection'!J54</f>
        <v>44564.048016795714</v>
      </c>
      <c r="K38" s="8">
        <f>'Expense Projection'!K54</f>
        <v>40514.79681911826</v>
      </c>
      <c r="L38" s="8">
        <f>'Expense Projection'!L54</f>
        <v>36394.98509826564</v>
      </c>
      <c r="M38" s="8">
        <f>'Expense Projection'!M54</f>
        <v>35492.21203863023</v>
      </c>
    </row>
    <row r="39" spans="2:13" ht="12.75">
      <c r="B39" s="1" t="s">
        <v>46</v>
      </c>
      <c r="C39" s="8">
        <f>'Expense Projection'!C63</f>
        <v>3550</v>
      </c>
      <c r="D39" s="8">
        <f>'Expense Projection'!D63</f>
        <v>8035</v>
      </c>
      <c r="E39" s="8">
        <f>'Expense Projection'!E63</f>
        <v>8102.6</v>
      </c>
      <c r="F39" s="8">
        <f>'Expense Projection'!F63</f>
        <v>8170.876</v>
      </c>
      <c r="G39" s="8">
        <f>'Expense Projection'!G63</f>
        <v>8239.83476</v>
      </c>
      <c r="H39" s="8">
        <f>'Expense Projection'!H63</f>
        <v>8309.483107600001</v>
      </c>
      <c r="I39" s="8">
        <f>'Expense Projection'!I63</f>
        <v>8379.827938676</v>
      </c>
      <c r="J39" s="8">
        <f>'Expense Projection'!J63</f>
        <v>8450.87621806276</v>
      </c>
      <c r="K39" s="8">
        <f>'Expense Projection'!K63</f>
        <v>8522.634980243389</v>
      </c>
      <c r="L39" s="8">
        <f>'Expense Projection'!L63</f>
        <v>8595.111330045822</v>
      </c>
      <c r="M39" s="8">
        <f>'Expense Projection'!M63</f>
        <v>8668.31244334628</v>
      </c>
    </row>
    <row r="40" spans="2:13" ht="12.75">
      <c r="B40" s="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.75">
      <c r="B41" s="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3:13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.75">
      <c r="B43" s="1" t="s">
        <v>49</v>
      </c>
      <c r="C43" s="11">
        <f aca="true" t="shared" si="2" ref="C43:M43">SUM(C37:C39)</f>
        <v>3550</v>
      </c>
      <c r="D43" s="11">
        <f t="shared" si="2"/>
        <v>197976.37657246212</v>
      </c>
      <c r="E43" s="11">
        <f t="shared" si="2"/>
        <v>207837.15121561944</v>
      </c>
      <c r="F43" s="11">
        <f t="shared" si="2"/>
        <v>204981.89939055787</v>
      </c>
      <c r="G43" s="11">
        <f t="shared" si="2"/>
        <v>203620.75795586978</v>
      </c>
      <c r="H43" s="11">
        <f t="shared" si="2"/>
        <v>203336.64517010472</v>
      </c>
      <c r="I43" s="11">
        <f t="shared" si="2"/>
        <v>205688.59509506822</v>
      </c>
      <c r="J43" s="11">
        <f t="shared" si="2"/>
        <v>208060.41976311678</v>
      </c>
      <c r="K43" s="11">
        <f t="shared" si="2"/>
        <v>207117.55454329634</v>
      </c>
      <c r="L43" s="11">
        <f t="shared" si="2"/>
        <v>206179.71782789112</v>
      </c>
      <c r="M43" s="11">
        <f t="shared" si="2"/>
        <v>208536.60044660376</v>
      </c>
    </row>
    <row r="44" spans="2:13" ht="12.75">
      <c r="B44" s="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12.75">
      <c r="B45" s="1" t="s">
        <v>110</v>
      </c>
      <c r="C45" s="8">
        <f aca="true" t="shared" si="3" ref="C45:M45">+C32-C43</f>
        <v>-3550</v>
      </c>
      <c r="D45" s="8">
        <f t="shared" si="3"/>
        <v>73811.12342753788</v>
      </c>
      <c r="E45" s="8">
        <f t="shared" si="3"/>
        <v>72103.97378438056</v>
      </c>
      <c r="F45" s="8">
        <f t="shared" si="3"/>
        <v>83357.45935944215</v>
      </c>
      <c r="G45" s="8">
        <f t="shared" si="3"/>
        <v>93368.78155663022</v>
      </c>
      <c r="H45" s="8">
        <f t="shared" si="3"/>
        <v>102562.58052777025</v>
      </c>
      <c r="I45" s="8">
        <f t="shared" si="3"/>
        <v>109387.60737374303</v>
      </c>
      <c r="J45" s="8">
        <f t="shared" si="3"/>
        <v>116468.06877975885</v>
      </c>
      <c r="K45" s="8">
        <f t="shared" si="3"/>
        <v>127146.78865586547</v>
      </c>
      <c r="L45" s="8">
        <f t="shared" si="3"/>
        <v>138112.5556672456</v>
      </c>
      <c r="M45" s="8">
        <f t="shared" si="3"/>
        <v>146084.4412533871</v>
      </c>
    </row>
    <row r="46" spans="2:13" ht="12.75">
      <c r="B46" s="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1" t="s">
        <v>111</v>
      </c>
      <c r="C47" s="17">
        <f>IF(C45&gt;0,('Input Value'!$C$31*C45),0)</f>
        <v>0</v>
      </c>
      <c r="D47" s="17">
        <f>IF(D45&gt;0,('Input Value'!$C$31*D45),0)</f>
        <v>22143.337028261365</v>
      </c>
      <c r="E47" s="17">
        <f>IF(E45&gt;0,('Input Value'!$C$31*E45),0)</f>
        <v>21631.19213531417</v>
      </c>
      <c r="F47" s="17">
        <f>IF(F45&gt;0,('Input Value'!$C$31*F45),0)</f>
        <v>25007.237807832644</v>
      </c>
      <c r="G47" s="17">
        <f>IF(G45&gt;0,('Input Value'!$C$31*G45),0)</f>
        <v>28010.634466989064</v>
      </c>
      <c r="H47" s="17">
        <f>IF(H45&gt;0,('Input Value'!$C$31*H45),0)</f>
        <v>30768.77415833107</v>
      </c>
      <c r="I47" s="17">
        <f>IF(I45&gt;0,('Input Value'!$C$31*I45),0)</f>
        <v>32816.282212122904</v>
      </c>
      <c r="J47" s="17">
        <f>IF(J45&gt;0,('Input Value'!$C$31*J45),0)</f>
        <v>34940.42063392765</v>
      </c>
      <c r="K47" s="17">
        <f>IF(K45&gt;0,('Input Value'!$C$31*K45),0)</f>
        <v>38144.03659675964</v>
      </c>
      <c r="L47" s="17">
        <f>IF(L45&gt;0,('Input Value'!$C$31*L45),0)</f>
        <v>41433.76670017368</v>
      </c>
      <c r="M47" s="17">
        <f>IF(M45&gt;0,('Input Value'!$C$31*M45),0)</f>
        <v>43825.33237601613</v>
      </c>
    </row>
    <row r="48" spans="2:13" ht="12.75">
      <c r="B48" s="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1" t="s">
        <v>112</v>
      </c>
      <c r="C49" s="24">
        <f aca="true" t="shared" si="4" ref="C49:M49">+C45-C47</f>
        <v>-3550</v>
      </c>
      <c r="D49" s="24">
        <f t="shared" si="4"/>
        <v>51667.78639927652</v>
      </c>
      <c r="E49" s="24">
        <f t="shared" si="4"/>
        <v>50472.7816490664</v>
      </c>
      <c r="F49" s="24">
        <f t="shared" si="4"/>
        <v>58350.2215516095</v>
      </c>
      <c r="G49" s="24">
        <f t="shared" si="4"/>
        <v>65358.14708964115</v>
      </c>
      <c r="H49" s="24">
        <f t="shared" si="4"/>
        <v>71793.80636943917</v>
      </c>
      <c r="I49" s="24">
        <f t="shared" si="4"/>
        <v>76571.32516162013</v>
      </c>
      <c r="J49" s="24">
        <f t="shared" si="4"/>
        <v>81527.64814583119</v>
      </c>
      <c r="K49" s="24">
        <f t="shared" si="4"/>
        <v>89002.75205910584</v>
      </c>
      <c r="L49" s="24">
        <f t="shared" si="4"/>
        <v>96678.78896707192</v>
      </c>
      <c r="M49" s="24">
        <f t="shared" si="4"/>
        <v>102259.10887737098</v>
      </c>
    </row>
    <row r="53" ht="12.75">
      <c r="B53" s="3" t="s">
        <v>131</v>
      </c>
    </row>
    <row r="54" spans="3:13" ht="12.75">
      <c r="C54" s="2" t="str">
        <f aca="true" t="shared" si="5" ref="C54:M54">C18</f>
        <v>Year 0</v>
      </c>
      <c r="D54" s="2" t="str">
        <f t="shared" si="5"/>
        <v>Year 1</v>
      </c>
      <c r="E54" s="2" t="str">
        <f t="shared" si="5"/>
        <v>Year 2</v>
      </c>
      <c r="F54" s="2" t="str">
        <f t="shared" si="5"/>
        <v>Year 3</v>
      </c>
      <c r="G54" s="2" t="str">
        <f t="shared" si="5"/>
        <v>Year 4</v>
      </c>
      <c r="H54" s="2" t="str">
        <f t="shared" si="5"/>
        <v>Year 5</v>
      </c>
      <c r="I54" s="2" t="str">
        <f t="shared" si="5"/>
        <v>Year 6</v>
      </c>
      <c r="J54" s="2" t="str">
        <f t="shared" si="5"/>
        <v>Year 7</v>
      </c>
      <c r="K54" s="2" t="str">
        <f t="shared" si="5"/>
        <v>Year 8</v>
      </c>
      <c r="L54" s="2" t="str">
        <f t="shared" si="5"/>
        <v>Year 9</v>
      </c>
      <c r="M54" s="2" t="str">
        <f t="shared" si="5"/>
        <v>Year 10</v>
      </c>
    </row>
    <row r="55" spans="2:13" ht="12.75">
      <c r="B55" t="s">
        <v>127</v>
      </c>
      <c r="C55" s="19">
        <f aca="true" t="shared" si="6" ref="C55:M55">C49</f>
        <v>-3550</v>
      </c>
      <c r="D55" s="17">
        <f t="shared" si="6"/>
        <v>51667.78639927652</v>
      </c>
      <c r="E55" s="17">
        <f t="shared" si="6"/>
        <v>50472.7816490664</v>
      </c>
      <c r="F55" s="17">
        <f t="shared" si="6"/>
        <v>58350.2215516095</v>
      </c>
      <c r="G55" s="17">
        <f t="shared" si="6"/>
        <v>65358.14708964115</v>
      </c>
      <c r="H55" s="17">
        <f t="shared" si="6"/>
        <v>71793.80636943917</v>
      </c>
      <c r="I55" s="17">
        <f t="shared" si="6"/>
        <v>76571.32516162013</v>
      </c>
      <c r="J55" s="17">
        <f t="shared" si="6"/>
        <v>81527.64814583119</v>
      </c>
      <c r="K55" s="17">
        <f t="shared" si="6"/>
        <v>89002.75205910584</v>
      </c>
      <c r="L55" s="17">
        <f t="shared" si="6"/>
        <v>96678.78896707192</v>
      </c>
      <c r="M55" s="17">
        <f t="shared" si="6"/>
        <v>102259.10887737098</v>
      </c>
    </row>
    <row r="56" spans="2:13" ht="12.75">
      <c r="B56" t="s">
        <v>45</v>
      </c>
      <c r="C56" s="19">
        <v>0</v>
      </c>
      <c r="D56" s="17">
        <f>'Equipment &amp; Depreciation'!C107</f>
        <v>12629.16875128205</v>
      </c>
      <c r="E56" s="17">
        <f>'Equipment &amp; Depreciation'!D107</f>
        <v>20179.51475128205</v>
      </c>
      <c r="F56" s="17">
        <f>'Equipment &amp; Depreciation'!E108</f>
        <v>0</v>
      </c>
      <c r="G56" s="17">
        <f>'Equipment &amp; Depreciation'!F108</f>
        <v>0</v>
      </c>
      <c r="H56" s="17">
        <f>'Equipment &amp; Depreciation'!G107</f>
        <v>8661.535951282052</v>
      </c>
      <c r="I56" s="17">
        <f>'Equipment &amp; Depreciation'!H107</f>
        <v>8654.13365128205</v>
      </c>
      <c r="J56" s="17">
        <f>'Equipment &amp; Depreciation'!I107</f>
        <v>8661.535951282052</v>
      </c>
      <c r="K56" s="17">
        <f>'Equipment &amp; Depreciation'!J108</f>
        <v>0</v>
      </c>
      <c r="L56" s="17">
        <f>'Equipment &amp; Depreciation'!K108</f>
        <v>0</v>
      </c>
      <c r="M56" s="17">
        <f>'Equipment &amp; Depreciation'!L108</f>
        <v>0</v>
      </c>
    </row>
    <row r="57" spans="2:13" ht="12.75">
      <c r="B57" t="s">
        <v>128</v>
      </c>
      <c r="C57" s="19">
        <v>0</v>
      </c>
      <c r="D57" s="17">
        <f>'Loan Amortization'!C31</f>
        <v>7939.978878403697</v>
      </c>
      <c r="E57" s="17">
        <f>'Loan Amortization'!D31</f>
        <v>8575.177188675993</v>
      </c>
      <c r="F57" s="17">
        <f>'Loan Amortization'!E31</f>
        <v>9261.191363770073</v>
      </c>
      <c r="G57" s="17">
        <f>'Loan Amortization'!F31</f>
        <v>10002.08667287168</v>
      </c>
      <c r="H57" s="17">
        <f>'Loan Amortization'!G31</f>
        <v>10802.253606701413</v>
      </c>
      <c r="I57" s="17">
        <f>'Loan Amortization'!H31</f>
        <v>11666.433895237526</v>
      </c>
      <c r="J57" s="17">
        <f>'Loan Amortization'!I31</f>
        <v>12599.748606856529</v>
      </c>
      <c r="K57" s="17">
        <f>'Loan Amortization'!J31</f>
        <v>13607.72849540505</v>
      </c>
      <c r="L57" s="17">
        <f>'Loan Amortization'!K31</f>
        <v>14696.346775037455</v>
      </c>
      <c r="M57" s="17">
        <f>'Loan Amortization'!L31</f>
        <v>15872.054517040451</v>
      </c>
    </row>
    <row r="58" spans="2:13" ht="12.75">
      <c r="B58" s="1" t="s">
        <v>129</v>
      </c>
      <c r="C58" s="24">
        <f aca="true" t="shared" si="7" ref="C58:M58">C55+C56-C57</f>
        <v>-3550</v>
      </c>
      <c r="D58" s="24">
        <f t="shared" si="7"/>
        <v>56356.976272154876</v>
      </c>
      <c r="E58" s="24">
        <f t="shared" si="7"/>
        <v>62077.119211672456</v>
      </c>
      <c r="F58" s="24">
        <f t="shared" si="7"/>
        <v>49089.03018783943</v>
      </c>
      <c r="G58" s="24">
        <f t="shared" si="7"/>
        <v>55356.06041676947</v>
      </c>
      <c r="H58" s="24">
        <f t="shared" si="7"/>
        <v>69653.08871401982</v>
      </c>
      <c r="I58" s="24">
        <f t="shared" si="7"/>
        <v>73559.02491766466</v>
      </c>
      <c r="J58" s="24">
        <f t="shared" si="7"/>
        <v>77589.43549025671</v>
      </c>
      <c r="K58" s="24">
        <f t="shared" si="7"/>
        <v>75395.02356370079</v>
      </c>
      <c r="L58" s="24">
        <f t="shared" si="7"/>
        <v>81982.44219203446</v>
      </c>
      <c r="M58" s="24">
        <f t="shared" si="7"/>
        <v>86387.05436033053</v>
      </c>
    </row>
    <row r="59" ht="12.75">
      <c r="B59" s="1" t="s">
        <v>133</v>
      </c>
    </row>
  </sheetData>
  <sheetProtection sheet="1" objects="1" scenarios="1"/>
  <mergeCells count="1">
    <mergeCell ref="B14:D14"/>
  </mergeCells>
  <hyperlinks>
    <hyperlink ref="B3" location="'Return On Investment'!A1" display="FORWARD TO RETURN ON INVESTMENT"/>
    <hyperlink ref="B4" location="Introduction!A1" display="BACK TO INTRODUCTION"/>
    <hyperlink ref="B5" location="'Grapes &amp; Wines'!A1" display="BACK TO GRAPES AND WINES"/>
    <hyperlink ref="B6" location="'Input Value'!A1" display="BACK TO INPUT VALUES"/>
    <hyperlink ref="B7:C7" location="'Wine Products'!A1" display="BACK TO WINE PRODUCTS"/>
    <hyperlink ref="B8:C8" location="'Equipment &amp; Depreciation'!A1" display="BACK TO EQUIPMENT AND DEPRECIATION"/>
    <hyperlink ref="B9" location="'Personnel Expenses'!A1" display="BACK TO PERSONNEL EXPENSES"/>
    <hyperlink ref="B10" location="'Market Projection'!A1" display="BACK TO MARKET PROJECTION"/>
    <hyperlink ref="B11" location="'Loan Amortization'!A1" display="BACK TO LOAN AMORTIZATION"/>
    <hyperlink ref="B12" location="'Expense Projection'!A1" display="BACK TO EXPENSE PROJECTION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69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15.421875" style="0" customWidth="1"/>
    <col min="4" max="14" width="12.7109375" style="0" customWidth="1"/>
  </cols>
  <sheetData>
    <row r="1" ht="13.5" thickBot="1"/>
    <row r="2" spans="2:3" ht="13.5" thickBot="1">
      <c r="B2" s="183" t="s">
        <v>137</v>
      </c>
      <c r="C2" s="157"/>
    </row>
    <row r="3" spans="2:3" ht="13.5" thickBot="1">
      <c r="B3" s="185" t="s">
        <v>141</v>
      </c>
      <c r="C3" s="186"/>
    </row>
    <row r="4" spans="2:3" ht="13.5" thickBot="1">
      <c r="B4" s="187" t="s">
        <v>425</v>
      </c>
      <c r="C4" s="188"/>
    </row>
    <row r="5" spans="2:3" ht="13.5" thickBot="1">
      <c r="B5" s="185" t="s">
        <v>426</v>
      </c>
      <c r="C5" s="186"/>
    </row>
    <row r="6" spans="2:3" ht="13.5" thickBot="1">
      <c r="B6" s="185" t="s">
        <v>431</v>
      </c>
      <c r="C6" s="191"/>
    </row>
    <row r="7" spans="2:3" ht="13.5" thickBot="1">
      <c r="B7" s="185" t="s">
        <v>432</v>
      </c>
      <c r="C7" s="191"/>
    </row>
    <row r="8" spans="2:3" ht="13.5" thickBot="1">
      <c r="B8" s="185" t="s">
        <v>433</v>
      </c>
      <c r="C8" s="186"/>
    </row>
    <row r="9" spans="2:3" ht="13.5" thickBot="1">
      <c r="B9" s="193" t="s">
        <v>436</v>
      </c>
      <c r="C9" s="194"/>
    </row>
    <row r="10" spans="2:3" ht="13.5" thickBot="1">
      <c r="B10" s="185" t="s">
        <v>439</v>
      </c>
      <c r="C10" s="186"/>
    </row>
    <row r="11" spans="2:3" ht="13.5" thickBot="1">
      <c r="B11" s="185" t="s">
        <v>440</v>
      </c>
      <c r="C11" s="186"/>
    </row>
    <row r="12" spans="2:3" ht="13.5" thickBot="1">
      <c r="B12" s="185" t="s">
        <v>443</v>
      </c>
      <c r="C12" s="186"/>
    </row>
    <row r="14" spans="2:15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5" ht="15.75">
      <c r="B15" s="34" t="s">
        <v>441</v>
      </c>
      <c r="C15" s="19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15.75">
      <c r="B16" s="34" t="s">
        <v>442</v>
      </c>
      <c r="C16" s="195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ht="12.75">
      <c r="B17" s="31"/>
      <c r="C17" s="5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5" ht="12.75">
      <c r="B18" s="31" t="s">
        <v>52</v>
      </c>
      <c r="C18" s="60">
        <f>'Input Value'!F49</f>
        <v>0.09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2"/>
      <c r="O18" s="30"/>
    </row>
    <row r="19" spans="2:15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2:15" ht="12.75">
      <c r="B20" s="57" t="s">
        <v>64</v>
      </c>
      <c r="C20" s="30"/>
      <c r="D20" s="57">
        <v>0</v>
      </c>
      <c r="E20" s="57">
        <v>1</v>
      </c>
      <c r="F20" s="57">
        <v>2</v>
      </c>
      <c r="G20" s="57">
        <v>3</v>
      </c>
      <c r="H20" s="57">
        <v>4</v>
      </c>
      <c r="I20" s="57">
        <v>5</v>
      </c>
      <c r="J20" s="57">
        <v>6</v>
      </c>
      <c r="K20" s="57">
        <v>7</v>
      </c>
      <c r="L20" s="57">
        <v>8</v>
      </c>
      <c r="M20" s="57">
        <v>9</v>
      </c>
      <c r="N20" s="57">
        <v>10</v>
      </c>
      <c r="O20" s="30"/>
    </row>
    <row r="21" spans="2:15" ht="12.75">
      <c r="B21" s="31" t="s">
        <v>55</v>
      </c>
      <c r="C21" s="30"/>
      <c r="D21" s="45"/>
      <c r="E21" s="196">
        <f>'Market Projection'!D86</f>
        <v>251625</v>
      </c>
      <c r="F21" s="45">
        <f>'Market Projection'!E86</f>
        <v>259173.75</v>
      </c>
      <c r="G21" s="45">
        <f>'Market Projection'!F86</f>
        <v>266948.9625</v>
      </c>
      <c r="H21" s="45">
        <f>'Market Projection'!G86</f>
        <v>274957.431375</v>
      </c>
      <c r="I21" s="45">
        <f>'Market Projection'!H86</f>
        <v>283206.15431625</v>
      </c>
      <c r="J21" s="45">
        <f>'Market Projection'!I86</f>
        <v>291702.33894573746</v>
      </c>
      <c r="K21" s="45">
        <f>'Market Projection'!J86</f>
        <v>300453.40911410964</v>
      </c>
      <c r="L21" s="45">
        <f>'Market Projection'!K86</f>
        <v>309467.01138753287</v>
      </c>
      <c r="M21" s="45">
        <f>'Market Projection'!L86</f>
        <v>318751.0217291589</v>
      </c>
      <c r="N21" s="45">
        <f>'Market Projection'!M86</f>
        <v>328313.5523810337</v>
      </c>
      <c r="O21" s="30"/>
    </row>
    <row r="22" spans="2:15" ht="12.75">
      <c r="B22" s="31" t="s">
        <v>56</v>
      </c>
      <c r="C22" s="30"/>
      <c r="D22" s="30">
        <v>1</v>
      </c>
      <c r="E22" s="30">
        <f aca="true" t="shared" si="0" ref="E22:N22">1/((1+$C$18)^E20)</f>
        <v>0.9174311926605504</v>
      </c>
      <c r="F22" s="30">
        <f t="shared" si="0"/>
        <v>0.84167999326656</v>
      </c>
      <c r="G22" s="30">
        <f t="shared" si="0"/>
        <v>0.7721834800610642</v>
      </c>
      <c r="H22" s="30">
        <f t="shared" si="0"/>
        <v>0.7084252110651964</v>
      </c>
      <c r="I22" s="30">
        <f t="shared" si="0"/>
        <v>0.6499313862983452</v>
      </c>
      <c r="J22" s="30">
        <f t="shared" si="0"/>
        <v>0.5962673268792158</v>
      </c>
      <c r="K22" s="30">
        <f t="shared" si="0"/>
        <v>0.5470342448433173</v>
      </c>
      <c r="L22" s="30">
        <f t="shared" si="0"/>
        <v>0.5018662796727681</v>
      </c>
      <c r="M22" s="30">
        <f t="shared" si="0"/>
        <v>0.460427779516301</v>
      </c>
      <c r="N22" s="30">
        <f t="shared" si="0"/>
        <v>0.42241080689568894</v>
      </c>
      <c r="O22" s="30"/>
    </row>
    <row r="23" spans="2:15" ht="12.75">
      <c r="B23" s="31" t="s">
        <v>57</v>
      </c>
      <c r="C23" s="45"/>
      <c r="D23" s="45">
        <f aca="true" t="shared" si="1" ref="D23:N23">D21*D22</f>
        <v>0</v>
      </c>
      <c r="E23" s="45">
        <f t="shared" si="1"/>
        <v>230848.623853211</v>
      </c>
      <c r="F23" s="45">
        <f t="shared" si="1"/>
        <v>218141.3601548691</v>
      </c>
      <c r="G23" s="45">
        <f t="shared" si="1"/>
        <v>206133.57886194054</v>
      </c>
      <c r="H23" s="45">
        <f t="shared" si="1"/>
        <v>194786.77635577862</v>
      </c>
      <c r="I23" s="45">
        <f t="shared" si="1"/>
        <v>184064.56848298345</v>
      </c>
      <c r="J23" s="45">
        <f t="shared" si="1"/>
        <v>173932.57388758982</v>
      </c>
      <c r="K23" s="45">
        <f t="shared" si="1"/>
        <v>164358.30376533724</v>
      </c>
      <c r="L23" s="45">
        <f t="shared" si="1"/>
        <v>155311.05768651128</v>
      </c>
      <c r="M23" s="45">
        <f t="shared" si="1"/>
        <v>146761.82515330883</v>
      </c>
      <c r="N23" s="45">
        <f t="shared" si="1"/>
        <v>138683.1925760625</v>
      </c>
      <c r="O23" s="30"/>
    </row>
    <row r="24" spans="2:15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2:15" ht="12.75">
      <c r="B25" s="31" t="s">
        <v>58</v>
      </c>
      <c r="C25" s="30"/>
      <c r="D25" s="45">
        <f>'Expense Projection'!C65</f>
        <v>3550</v>
      </c>
      <c r="E25" s="45">
        <f>'Expense Projection'!D65</f>
        <v>197976.37657246212</v>
      </c>
      <c r="F25" s="45">
        <f>'Expense Projection'!D65</f>
        <v>197976.37657246212</v>
      </c>
      <c r="G25" s="45">
        <f>'Expense Projection'!E65</f>
        <v>207837.15121561944</v>
      </c>
      <c r="H25" s="45">
        <f>'Expense Projection'!F65</f>
        <v>204981.89939055787</v>
      </c>
      <c r="I25" s="45">
        <f>'Expense Projection'!G65</f>
        <v>203620.75795586978</v>
      </c>
      <c r="J25" s="45">
        <f>'Expense Projection'!H65</f>
        <v>203336.64517010472</v>
      </c>
      <c r="K25" s="45">
        <f>'Expense Projection'!I65</f>
        <v>205688.59509506822</v>
      </c>
      <c r="L25" s="45">
        <f>'Expense Projection'!J65</f>
        <v>208060.41976311678</v>
      </c>
      <c r="M25" s="45">
        <f>'Expense Projection'!K65</f>
        <v>207117.55454329634</v>
      </c>
      <c r="N25" s="45">
        <f>'Expense Projection'!L65</f>
        <v>206179.71782789112</v>
      </c>
      <c r="O25" s="30"/>
    </row>
    <row r="26" spans="2:15" ht="12.75">
      <c r="B26" s="31" t="s">
        <v>142</v>
      </c>
      <c r="C26" s="30"/>
      <c r="D26" s="58"/>
      <c r="E26" s="45">
        <f>'Expense Projection'!D50+'Expense Projection'!D52-'Loan Amortization'!$C$38</f>
        <v>21831.00875128205</v>
      </c>
      <c r="F26" s="45">
        <f>'Expense Projection'!E50+'Expense Projection'!E52-'Loan Amortization'!$C$38</f>
        <v>28746.156441009756</v>
      </c>
      <c r="G26" s="45">
        <f>'Expense Projection'!F50+'Expense Projection'!F52-'Loan Amortization'!$C$38</f>
        <v>22878.532265915677</v>
      </c>
      <c r="H26" s="45">
        <f>'Expense Projection'!G50+'Expense Projection'!G52-'Loan Amortization'!$C$38</f>
        <v>18436.48695681407</v>
      </c>
      <c r="I26" s="45">
        <f>'Expense Projection'!H50+'Expense Projection'!H52-'Loan Amortization'!$C$38</f>
        <v>15001.10122298434</v>
      </c>
      <c r="J26" s="45">
        <f>'Expense Projection'!I50+'Expense Projection'!I52-'Loan Amortization'!$C$38</f>
        <v>14129.51863444822</v>
      </c>
      <c r="K26" s="45">
        <f>'Expense Projection'!J50+'Expense Projection'!J52-'Loan Amortization'!$C$38</f>
        <v>13203.606222829221</v>
      </c>
      <c r="L26" s="45">
        <f>'Expense Projection'!K50+'Expense Projection'!K52-'Loan Amortization'!$C$38</f>
        <v>8886.798234280697</v>
      </c>
      <c r="M26" s="45">
        <f>'Expense Projection'!L50+'Expense Projection'!L52-'Loan Amortization'!$C$38</f>
        <v>4496.754154648294</v>
      </c>
      <c r="N26" s="45">
        <f>'Expense Projection'!M50+'Expense Projection'!M52-'Loan Amortization'!$C$38</f>
        <v>3321.046412645298</v>
      </c>
      <c r="O26" s="30"/>
    </row>
    <row r="27" spans="2:15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2:15" ht="12.75">
      <c r="B28" s="31" t="s">
        <v>59</v>
      </c>
      <c r="C28" s="30"/>
      <c r="D28" s="45">
        <f>+D25-D26+'Equipment &amp; Depreciation'!D93</f>
        <v>233596</v>
      </c>
      <c r="E28" s="45">
        <f aca="true" t="shared" si="2" ref="E28:N28">+E25-E26</f>
        <v>176145.36782118006</v>
      </c>
      <c r="F28" s="45">
        <f t="shared" si="2"/>
        <v>169230.22013145237</v>
      </c>
      <c r="G28" s="45">
        <f t="shared" si="2"/>
        <v>184958.61894970376</v>
      </c>
      <c r="H28" s="45">
        <f t="shared" si="2"/>
        <v>186545.4124337438</v>
      </c>
      <c r="I28" s="45">
        <f t="shared" si="2"/>
        <v>188619.65673288543</v>
      </c>
      <c r="J28" s="45">
        <f t="shared" si="2"/>
        <v>189207.1265356565</v>
      </c>
      <c r="K28" s="45">
        <f t="shared" si="2"/>
        <v>192484.988872239</v>
      </c>
      <c r="L28" s="45">
        <f t="shared" si="2"/>
        <v>199173.62152883608</v>
      </c>
      <c r="M28" s="45">
        <f t="shared" si="2"/>
        <v>202620.80038864806</v>
      </c>
      <c r="N28" s="45">
        <f t="shared" si="2"/>
        <v>202858.67141524583</v>
      </c>
      <c r="O28" s="30"/>
    </row>
    <row r="29" spans="2:15" ht="12.75">
      <c r="B29" s="31" t="s">
        <v>56</v>
      </c>
      <c r="C29" s="30"/>
      <c r="D29" s="30">
        <v>1</v>
      </c>
      <c r="E29" s="30">
        <f aca="true" t="shared" si="3" ref="E29:N29">E22</f>
        <v>0.9174311926605504</v>
      </c>
      <c r="F29" s="30">
        <f t="shared" si="3"/>
        <v>0.84167999326656</v>
      </c>
      <c r="G29" s="30">
        <f t="shared" si="3"/>
        <v>0.7721834800610642</v>
      </c>
      <c r="H29" s="30">
        <f t="shared" si="3"/>
        <v>0.7084252110651964</v>
      </c>
      <c r="I29" s="30">
        <f t="shared" si="3"/>
        <v>0.6499313862983452</v>
      </c>
      <c r="J29" s="30">
        <f t="shared" si="3"/>
        <v>0.5962673268792158</v>
      </c>
      <c r="K29" s="30">
        <f t="shared" si="3"/>
        <v>0.5470342448433173</v>
      </c>
      <c r="L29" s="30">
        <f t="shared" si="3"/>
        <v>0.5018662796727681</v>
      </c>
      <c r="M29" s="30">
        <f t="shared" si="3"/>
        <v>0.460427779516301</v>
      </c>
      <c r="N29" s="30">
        <f t="shared" si="3"/>
        <v>0.42241080689568894</v>
      </c>
      <c r="O29" s="30"/>
    </row>
    <row r="30" spans="2:15" ht="12.75">
      <c r="B30" s="31" t="s">
        <v>60</v>
      </c>
      <c r="C30" s="45"/>
      <c r="D30" s="45">
        <f aca="true" t="shared" si="4" ref="D30:N30">D28*D29</f>
        <v>233596</v>
      </c>
      <c r="E30" s="45">
        <f t="shared" si="4"/>
        <v>161601.25488181657</v>
      </c>
      <c r="F30" s="45">
        <f t="shared" si="4"/>
        <v>142437.69054073928</v>
      </c>
      <c r="G30" s="45">
        <f t="shared" si="4"/>
        <v>142821.99004787055</v>
      </c>
      <c r="H30" s="45">
        <f t="shared" si="4"/>
        <v>132153.47317661907</v>
      </c>
      <c r="I30" s="45">
        <f t="shared" si="4"/>
        <v>122589.83498352223</v>
      </c>
      <c r="J30" s="45">
        <f t="shared" si="4"/>
        <v>112818.02756591345</v>
      </c>
      <c r="K30" s="45">
        <f t="shared" si="4"/>
        <v>105295.88053139958</v>
      </c>
      <c r="L30" s="45">
        <f t="shared" si="4"/>
        <v>99958.52444562891</v>
      </c>
      <c r="M30" s="45">
        <f t="shared" si="4"/>
        <v>93292.24520676088</v>
      </c>
      <c r="N30" s="48">
        <f t="shared" si="4"/>
        <v>85689.69507830142</v>
      </c>
      <c r="O30" s="30"/>
    </row>
    <row r="31" spans="2:15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2:15" ht="12.75">
      <c r="B32" s="31" t="s">
        <v>61</v>
      </c>
      <c r="C32" s="30"/>
      <c r="D32" s="45">
        <f aca="true" t="shared" si="5" ref="D32:N32">D21-D28</f>
        <v>-233596</v>
      </c>
      <c r="E32" s="45">
        <f t="shared" si="5"/>
        <v>75479.63217881994</v>
      </c>
      <c r="F32" s="45">
        <f t="shared" si="5"/>
        <v>89943.52986854763</v>
      </c>
      <c r="G32" s="45">
        <f t="shared" si="5"/>
        <v>81990.34355029627</v>
      </c>
      <c r="H32" s="45">
        <f t="shared" si="5"/>
        <v>88412.01894125619</v>
      </c>
      <c r="I32" s="45">
        <f t="shared" si="5"/>
        <v>94586.49758336457</v>
      </c>
      <c r="J32" s="45">
        <f t="shared" si="5"/>
        <v>102495.21241008095</v>
      </c>
      <c r="K32" s="45">
        <f t="shared" si="5"/>
        <v>107968.42024187066</v>
      </c>
      <c r="L32" s="45">
        <f t="shared" si="5"/>
        <v>110293.38985869678</v>
      </c>
      <c r="M32" s="45">
        <f t="shared" si="5"/>
        <v>116130.22134051082</v>
      </c>
      <c r="N32" s="45">
        <f t="shared" si="5"/>
        <v>125454.88096578789</v>
      </c>
      <c r="O32" s="30"/>
    </row>
    <row r="33" spans="2:15" ht="12.75">
      <c r="B33" s="31" t="s">
        <v>106</v>
      </c>
      <c r="C33" s="30"/>
      <c r="D33" s="45">
        <f aca="true" t="shared" si="6" ref="D33:N33">+D23-D30</f>
        <v>-233596</v>
      </c>
      <c r="E33" s="45">
        <f t="shared" si="6"/>
        <v>69247.36897139443</v>
      </c>
      <c r="F33" s="45">
        <f t="shared" si="6"/>
        <v>75703.66961412982</v>
      </c>
      <c r="G33" s="45">
        <f t="shared" si="6"/>
        <v>63311.58881406998</v>
      </c>
      <c r="H33" s="45">
        <f t="shared" si="6"/>
        <v>62633.30317915956</v>
      </c>
      <c r="I33" s="45">
        <f t="shared" si="6"/>
        <v>61474.73349946122</v>
      </c>
      <c r="J33" s="45">
        <f t="shared" si="6"/>
        <v>61114.546321676375</v>
      </c>
      <c r="K33" s="45">
        <f t="shared" si="6"/>
        <v>59062.42323393766</v>
      </c>
      <c r="L33" s="45">
        <f t="shared" si="6"/>
        <v>55352.533240882374</v>
      </c>
      <c r="M33" s="45">
        <f t="shared" si="6"/>
        <v>53469.57994654795</v>
      </c>
      <c r="N33" s="45">
        <f t="shared" si="6"/>
        <v>52993.49749776107</v>
      </c>
      <c r="O33" s="30"/>
    </row>
    <row r="34" spans="2:15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 ht="12.75">
      <c r="B35" s="31" t="s">
        <v>104</v>
      </c>
      <c r="C35" s="49">
        <f>SUM(D23:N23)</f>
        <v>1813021.8607775923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 ht="12.75">
      <c r="B36" s="31" t="s">
        <v>105</v>
      </c>
      <c r="C36" s="45">
        <f>SUM(D30:N30)</f>
        <v>1432254.616458572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0"/>
    </row>
    <row r="37" spans="2:15" ht="12.75">
      <c r="B37" s="31" t="s">
        <v>62</v>
      </c>
      <c r="C37" s="61">
        <f>C35-C36</f>
        <v>380767.2443190203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5" ht="12.75">
      <c r="B38" s="31" t="s">
        <v>63</v>
      </c>
      <c r="C38" s="62">
        <f>IRR(D32:N32)</f>
        <v>0.3609111823911505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5" ht="12.75">
      <c r="B39" s="31" t="s">
        <v>118</v>
      </c>
      <c r="C39" s="63">
        <f>C35/C36</f>
        <v>1.2658516439350112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5" ht="12.75">
      <c r="B40" s="31"/>
      <c r="C40" s="6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12.75">
      <c r="B41" s="70" t="s">
        <v>130</v>
      </c>
      <c r="C41" s="30"/>
      <c r="D41" s="65">
        <f>'Operations Summary'!C49/('Input Value'!$C$23)</f>
        <v>-0.015567034721065048</v>
      </c>
      <c r="E41" s="65">
        <f>'Operations Summary'!D49/('Input Value'!$C$23)</f>
        <v>0.22656738727834086</v>
      </c>
      <c r="F41" s="65">
        <f>'Operations Summary'!E49/('Input Value'!$C$23)</f>
        <v>0.22132719560556377</v>
      </c>
      <c r="G41" s="65">
        <f>'Operations Summary'!F49/('Input Value'!$C$23)</f>
        <v>0.2558704013734488</v>
      </c>
      <c r="H41" s="65">
        <f>'Operations Summary'!G49/('Input Value'!$C$23)</f>
        <v>0.2866007169151888</v>
      </c>
      <c r="I41" s="65">
        <f>'Operations Summary'!H49/('Input Value'!$C$23)</f>
        <v>0.3148215990170368</v>
      </c>
      <c r="J41" s="65">
        <f>'Operations Summary'!I49/('Input Value'!$C$23)</f>
        <v>0.33577140209264855</v>
      </c>
      <c r="K41" s="65">
        <f>'Operations Summary'!J49/('Input Value'!$C$23)</f>
        <v>0.3575052758909658</v>
      </c>
      <c r="L41" s="65">
        <f>'Operations Summary'!K49/('Input Value'!$C$23)</f>
        <v>0.3902842060773083</v>
      </c>
      <c r="M41" s="65">
        <f>'Operations Summary'!L49/('Input Value'!$C$23)</f>
        <v>0.42394424356082505</v>
      </c>
      <c r="N41" s="65">
        <f>'Operations Summary'!M49/('Input Value'!$C$23)</f>
        <v>0.44841439392653665</v>
      </c>
      <c r="O41" s="66"/>
    </row>
    <row r="42" spans="2:15" ht="12.75">
      <c r="B42" s="64" t="s">
        <v>132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5" ht="12.75">
      <c r="B43" s="64" t="s">
        <v>149</v>
      </c>
      <c r="C43" s="65">
        <f>AVERAGE(D41:N41)</f>
        <v>0.2950490715469817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5" ht="12.75">
      <c r="B44" s="6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5" ht="12.75">
      <c r="B45" s="70" t="s">
        <v>150</v>
      </c>
      <c r="C45" s="30"/>
      <c r="D45" s="65">
        <f>'Operations Summary'!C49/('Input Value'!$C$23-'Input Value'!$C$24)</f>
        <v>-0.031134069442130097</v>
      </c>
      <c r="E45" s="65">
        <f>'Operations Summary'!D49/('Input Value'!$C$23-'Input Value'!$C$24)</f>
        <v>0.4531347745566817</v>
      </c>
      <c r="F45" s="65">
        <f>'Operations Summary'!E49/('Input Value'!$C$23-'Input Value'!$C$24)</f>
        <v>0.44265439121112754</v>
      </c>
      <c r="G45" s="65">
        <f>'Operations Summary'!F49/('Input Value'!$C$23-'Input Value'!$C$24)</f>
        <v>0.5117408027468976</v>
      </c>
      <c r="H45" s="65">
        <f>'Operations Summary'!G49/('Input Value'!$C$23-'Input Value'!$C$24)</f>
        <v>0.5732014338303776</v>
      </c>
      <c r="I45" s="65">
        <f>'Operations Summary'!H49/('Input Value'!$C$23-'Input Value'!$C$24)</f>
        <v>0.6296431980340736</v>
      </c>
      <c r="J45" s="65">
        <f>'Operations Summary'!I49/('Input Value'!$C$23-'Input Value'!$C$24)</f>
        <v>0.6715428041852971</v>
      </c>
      <c r="K45" s="65">
        <f>'Operations Summary'!J49/('Input Value'!$C$23-'Input Value'!$C$24)</f>
        <v>0.7150105517819316</v>
      </c>
      <c r="L45" s="65">
        <f>'Operations Summary'!K49/('Input Value'!$C$23-'Input Value'!$C$24)</f>
        <v>0.7805684121546166</v>
      </c>
      <c r="M45" s="65">
        <f>'Operations Summary'!L49/('Input Value'!$C$23-'Input Value'!$C$24)</f>
        <v>0.8478884871216501</v>
      </c>
      <c r="N45" s="65">
        <f>'Operations Summary'!M49/('Input Value'!$C$23-'Input Value'!$C$24)</f>
        <v>0.8968287878530733</v>
      </c>
      <c r="O45" s="30"/>
    </row>
    <row r="46" spans="2:15" ht="12.75">
      <c r="B46" s="64" t="s">
        <v>145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2:15" ht="12.75">
      <c r="B47" s="64" t="s">
        <v>151</v>
      </c>
      <c r="C47" s="50">
        <f>AVERAGE(D45:N45)</f>
        <v>0.5900981430939634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5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2:15" ht="12.75">
      <c r="B49" s="39" t="s">
        <v>134</v>
      </c>
      <c r="C49" s="29">
        <f>IF(MIN(E69:N69)&gt;0,MIN(E69:N69),"")</f>
        <v>4</v>
      </c>
      <c r="D49" s="26">
        <f>IF(SUM('Operations Summary'!$D$58:G58)&gt;'Input Value'!$C$23,3,"")</f>
      </c>
      <c r="E49" s="26"/>
      <c r="F49" s="26"/>
      <c r="G49" s="26"/>
      <c r="H49" s="26"/>
      <c r="I49" s="26"/>
      <c r="J49" s="26"/>
      <c r="K49" s="26"/>
      <c r="M49" s="30"/>
      <c r="N49" s="30"/>
      <c r="O49" s="30"/>
    </row>
    <row r="50" spans="2:15" ht="12.75">
      <c r="B50" s="64" t="s">
        <v>135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7" spans="5:6" ht="12.75">
      <c r="E67" s="26">
        <f>IF(SUM('Operations Summary'!$D$58:E58)&gt;'Input Value'!$C$23,1,"")</f>
      </c>
      <c r="F67" s="26">
        <f>IF(SUM('Operations Summary'!$D$58:F58)&gt;'Input Value'!$C$23,2,"")</f>
      </c>
    </row>
    <row r="69" spans="5:14" ht="12.75">
      <c r="E69">
        <f>IF(SUM('Operations Summary'!$D$58:E58)&gt;'Input Value'!$C$23,1,"")</f>
      </c>
      <c r="F69">
        <f>IF(SUM('Operations Summary'!$D$58:F58)&gt;'Input Value'!$C$23,2,"")</f>
      </c>
      <c r="G69">
        <f>IF(SUM('Operations Summary'!$D$58:G58)&gt;'Input Value'!$C$23,3,"")</f>
      </c>
      <c r="H69">
        <f>IF(SUM('Operations Summary'!$D$58:H58)&gt;'Input Value'!$C$23,4,"")</f>
        <v>4</v>
      </c>
      <c r="I69">
        <f>IF(SUM('Operations Summary'!$D$58:I58)&gt;'Input Value'!$C$23,5,"")</f>
        <v>5</v>
      </c>
      <c r="J69">
        <f>IF(SUM('Operations Summary'!$D$58:J58)&gt;'Input Value'!$C$23,6,"")</f>
        <v>6</v>
      </c>
      <c r="K69">
        <f>IF(SUM('Operations Summary'!$D$58:K58)&gt;'Input Value'!$C$23,7,"")</f>
        <v>7</v>
      </c>
      <c r="L69">
        <f>IF(SUM('Operations Summary'!$D$58:L58)&gt;'Input Value'!$C$23,8,"")</f>
        <v>8</v>
      </c>
      <c r="M69">
        <f>IF(SUM('Operations Summary'!$D$58:M58)&gt;'Input Value'!$C$23,9,"")</f>
        <v>9</v>
      </c>
      <c r="N69">
        <f>IF(SUM('Operations Summary'!$D$58:N58)&gt;'Input Value'!$C$23,10,"")</f>
        <v>10</v>
      </c>
    </row>
  </sheetData>
  <sheetProtection sheet="1" objects="1" scenarios="1"/>
  <hyperlinks>
    <hyperlink ref="B3" location="Introduction!A1" display="BACK TO INTRODUCTION"/>
    <hyperlink ref="B4" location="'Grapes &amp; Wines'!A1" display="BACK TO GRAPES AND WINES"/>
    <hyperlink ref="B5" location="'Input Value'!A1" display="BACK TO INPUT VALUES"/>
    <hyperlink ref="B6:C6" location="'Wine Products'!A1" display="BACK TO WINE PRODUCTS"/>
    <hyperlink ref="B7:C7" location="'Equipment &amp; Depreciation'!A1" display="BACK TO EQUIPMENT AND DEPRECIATION"/>
    <hyperlink ref="B8" location="'Personnel Expenses'!A1" display="BACK TO PERSONNEL EXPENSES"/>
    <hyperlink ref="B9" location="'Market Projection'!A1" display="BACK TO MARKET PROJECTION"/>
    <hyperlink ref="B10" location="'Loan Amortization'!A1" display="BACK TO LOAN AMORTIZATION"/>
    <hyperlink ref="B11" location="'Expense Projection'!A1" display="BACK TO EXPENSE PROJECTION"/>
    <hyperlink ref="B12" location="'Operations Summary'!A1" display="BACK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99" customWidth="1"/>
    <col min="2" max="2" width="9.140625" style="199" hidden="1" customWidth="1"/>
    <col min="3" max="3" width="20.28125" style="199" customWidth="1"/>
    <col min="4" max="4" width="9.8515625" style="199" customWidth="1"/>
    <col min="5" max="5" width="8.00390625" style="199" customWidth="1"/>
    <col min="6" max="6" width="10.421875" style="199" customWidth="1"/>
    <col min="7" max="7" width="0.13671875" style="199" customWidth="1"/>
    <col min="8" max="8" width="0.71875" style="199" customWidth="1"/>
    <col min="9" max="9" width="9.8515625" style="199" customWidth="1"/>
    <col min="10" max="10" width="3.7109375" style="199" hidden="1" customWidth="1"/>
    <col min="11" max="11" width="9.28125" style="199" customWidth="1"/>
    <col min="12" max="12" width="15.00390625" style="199" customWidth="1"/>
    <col min="13" max="14" width="9.140625" style="199" customWidth="1"/>
    <col min="15" max="15" width="9.00390625" style="199" customWidth="1"/>
    <col min="16" max="16" width="9.140625" style="199" customWidth="1"/>
    <col min="17" max="17" width="21.57421875" style="199" customWidth="1"/>
    <col min="18" max="18" width="10.00390625" style="199" customWidth="1"/>
    <col min="19" max="19" width="10.7109375" style="199" customWidth="1"/>
    <col min="20" max="24" width="9.140625" style="199" customWidth="1"/>
    <col min="25" max="25" width="21.7109375" style="199" customWidth="1"/>
    <col min="26" max="26" width="7.57421875" style="199" customWidth="1"/>
    <col min="27" max="27" width="11.00390625" style="199" customWidth="1"/>
    <col min="28" max="28" width="10.28125" style="199" customWidth="1"/>
    <col min="29" max="33" width="9.140625" style="199" customWidth="1"/>
    <col min="34" max="34" width="21.7109375" style="199" customWidth="1"/>
    <col min="35" max="35" width="8.00390625" style="199" customWidth="1"/>
    <col min="36" max="36" width="12.8515625" style="199" customWidth="1"/>
    <col min="37" max="16384" width="9.140625" style="199" customWidth="1"/>
  </cols>
  <sheetData>
    <row r="1" ht="13.5" thickBot="1"/>
    <row r="2" spans="3:4" ht="13.5" thickBot="1">
      <c r="C2" s="287" t="s">
        <v>137</v>
      </c>
      <c r="D2" s="288"/>
    </row>
    <row r="3" spans="3:4" ht="13.5" thickBot="1">
      <c r="C3" s="289" t="s">
        <v>418</v>
      </c>
      <c r="D3" s="290"/>
    </row>
    <row r="4" spans="3:4" ht="13.5" thickBot="1">
      <c r="C4" s="30"/>
      <c r="D4" s="30"/>
    </row>
    <row r="5" spans="3:8" ht="12.75">
      <c r="C5" s="291" t="s">
        <v>232</v>
      </c>
      <c r="D5" s="292"/>
      <c r="F5" s="209"/>
      <c r="G5" s="209"/>
      <c r="H5" s="209"/>
    </row>
    <row r="6" spans="3:4" ht="12.75">
      <c r="C6" s="293" t="s">
        <v>233</v>
      </c>
      <c r="D6" s="294"/>
    </row>
    <row r="7" spans="3:4" ht="12.75">
      <c r="C7" s="293" t="s">
        <v>234</v>
      </c>
      <c r="D7" s="294"/>
    </row>
    <row r="8" spans="3:4" ht="12.75">
      <c r="C8" s="293" t="s">
        <v>235</v>
      </c>
      <c r="D8" s="294"/>
    </row>
    <row r="9" spans="3:4" ht="12.75">
      <c r="C9" s="293" t="s">
        <v>236</v>
      </c>
      <c r="D9" s="294"/>
    </row>
    <row r="10" spans="3:4" ht="12.75">
      <c r="C10" s="293" t="s">
        <v>237</v>
      </c>
      <c r="D10" s="294"/>
    </row>
    <row r="11" spans="3:4" ht="12.75">
      <c r="C11" s="293" t="s">
        <v>238</v>
      </c>
      <c r="D11" s="294"/>
    </row>
    <row r="12" spans="3:4" ht="13.5" thickBot="1">
      <c r="C12" s="295" t="s">
        <v>239</v>
      </c>
      <c r="D12" s="296"/>
    </row>
    <row r="15" ht="13.5" thickBot="1"/>
    <row r="16" spans="3:32" ht="13.5" thickBot="1">
      <c r="C16" s="125" t="s">
        <v>204</v>
      </c>
      <c r="D16" s="126" t="s">
        <v>228</v>
      </c>
      <c r="E16" s="126"/>
      <c r="F16" s="285" t="s">
        <v>231</v>
      </c>
      <c r="G16" s="285"/>
      <c r="H16" s="285"/>
      <c r="I16" s="126" t="s">
        <v>229</v>
      </c>
      <c r="J16" s="126"/>
      <c r="K16" s="286" t="s">
        <v>230</v>
      </c>
      <c r="L16" s="239"/>
      <c r="AF16" s="209" t="s">
        <v>253</v>
      </c>
    </row>
    <row r="17" spans="2:34" ht="12.75">
      <c r="B17" s="199">
        <v>1</v>
      </c>
      <c r="C17" s="240" t="s">
        <v>205</v>
      </c>
      <c r="D17" s="241"/>
      <c r="E17" s="241"/>
      <c r="F17" s="242"/>
      <c r="G17" s="242"/>
      <c r="H17" s="242"/>
      <c r="I17" s="243"/>
      <c r="J17" s="242"/>
      <c r="K17" s="244"/>
      <c r="L17" s="239"/>
      <c r="AF17" s="209" t="s">
        <v>245</v>
      </c>
      <c r="AG17" s="245"/>
      <c r="AH17" s="245"/>
    </row>
    <row r="18" spans="2:37" ht="12.75">
      <c r="B18" s="199">
        <v>2</v>
      </c>
      <c r="C18" s="246" t="s">
        <v>206</v>
      </c>
      <c r="D18" s="241"/>
      <c r="E18" s="247"/>
      <c r="F18" s="242"/>
      <c r="G18" s="242"/>
      <c r="H18" s="242"/>
      <c r="I18" s="243"/>
      <c r="J18" s="248"/>
      <c r="K18" s="244"/>
      <c r="AF18" s="209" t="s">
        <v>246</v>
      </c>
      <c r="AJ18" s="214" t="s">
        <v>242</v>
      </c>
      <c r="AK18" s="214" t="s">
        <v>230</v>
      </c>
    </row>
    <row r="19" spans="2:12" ht="12.75">
      <c r="B19" s="199">
        <v>3</v>
      </c>
      <c r="C19" s="249" t="s">
        <v>175</v>
      </c>
      <c r="D19" s="250"/>
      <c r="E19" s="251"/>
      <c r="F19" s="252">
        <v>160</v>
      </c>
      <c r="G19" s="253"/>
      <c r="H19" s="242"/>
      <c r="I19" s="155">
        <f>F19*5.0472</f>
        <v>807.552</v>
      </c>
      <c r="J19" s="200"/>
      <c r="K19" s="277">
        <f aca="true" t="shared" si="0" ref="K19:K48">D19/I19</f>
        <v>0</v>
      </c>
      <c r="L19" s="239"/>
    </row>
    <row r="20" spans="2:37" ht="12.75">
      <c r="B20" s="199">
        <v>4</v>
      </c>
      <c r="C20" s="249" t="s">
        <v>176</v>
      </c>
      <c r="D20" s="250">
        <v>1101.11</v>
      </c>
      <c r="E20" s="251"/>
      <c r="F20" s="252">
        <v>160</v>
      </c>
      <c r="G20" s="253"/>
      <c r="H20" s="242"/>
      <c r="I20" s="155">
        <f aca="true" t="shared" si="1" ref="I20:I65">F20*5.0472</f>
        <v>807.552</v>
      </c>
      <c r="J20" s="200"/>
      <c r="K20" s="277">
        <f t="shared" si="0"/>
        <v>1.3635159098113805</v>
      </c>
      <c r="AJ20" s="254"/>
      <c r="AK20" s="255"/>
    </row>
    <row r="21" spans="2:37" ht="12.75">
      <c r="B21" s="199">
        <v>5</v>
      </c>
      <c r="C21" s="249" t="s">
        <v>179</v>
      </c>
      <c r="D21" s="250"/>
      <c r="E21" s="251"/>
      <c r="F21" s="252">
        <v>160</v>
      </c>
      <c r="G21" s="253"/>
      <c r="H21" s="242"/>
      <c r="I21" s="155">
        <f t="shared" si="1"/>
        <v>807.552</v>
      </c>
      <c r="J21" s="200"/>
      <c r="K21" s="277">
        <f t="shared" si="0"/>
        <v>0</v>
      </c>
      <c r="AJ21" s="256"/>
      <c r="AK21" s="255"/>
    </row>
    <row r="22" spans="2:37" ht="12.75">
      <c r="B22" s="199">
        <v>6</v>
      </c>
      <c r="C22" s="249" t="s">
        <v>207</v>
      </c>
      <c r="D22" s="250"/>
      <c r="E22" s="251"/>
      <c r="F22" s="252">
        <v>160</v>
      </c>
      <c r="G22" s="253"/>
      <c r="H22" s="242"/>
      <c r="I22" s="155">
        <f t="shared" si="1"/>
        <v>807.552</v>
      </c>
      <c r="J22" s="200"/>
      <c r="K22" s="277">
        <f t="shared" si="0"/>
        <v>0</v>
      </c>
      <c r="AJ22" s="254"/>
      <c r="AK22" s="255"/>
    </row>
    <row r="23" spans="2:37" ht="12.75">
      <c r="B23" s="199">
        <v>7</v>
      </c>
      <c r="C23" s="249" t="s">
        <v>208</v>
      </c>
      <c r="D23" s="250"/>
      <c r="E23" s="251"/>
      <c r="F23" s="252">
        <v>160</v>
      </c>
      <c r="G23" s="253"/>
      <c r="H23" s="242"/>
      <c r="I23" s="155">
        <f t="shared" si="1"/>
        <v>807.552</v>
      </c>
      <c r="J23" s="200"/>
      <c r="K23" s="277">
        <f t="shared" si="0"/>
        <v>0</v>
      </c>
      <c r="AJ23" s="256"/>
      <c r="AK23" s="255"/>
    </row>
    <row r="24" spans="2:37" ht="12.75">
      <c r="B24" s="199">
        <v>8</v>
      </c>
      <c r="C24" s="249" t="s">
        <v>153</v>
      </c>
      <c r="D24" s="250">
        <v>1116.79</v>
      </c>
      <c r="E24" s="251"/>
      <c r="F24" s="252">
        <v>160</v>
      </c>
      <c r="G24" s="253"/>
      <c r="H24" s="242"/>
      <c r="I24" s="155">
        <f t="shared" si="1"/>
        <v>807.552</v>
      </c>
      <c r="J24" s="200"/>
      <c r="K24" s="277">
        <f t="shared" si="0"/>
        <v>1.3829326161039783</v>
      </c>
      <c r="AJ24" s="254"/>
      <c r="AK24" s="255"/>
    </row>
    <row r="25" spans="2:37" ht="12.75">
      <c r="B25" s="199">
        <v>9</v>
      </c>
      <c r="C25" s="249" t="s">
        <v>182</v>
      </c>
      <c r="D25" s="250"/>
      <c r="E25" s="251"/>
      <c r="F25" s="252">
        <v>160</v>
      </c>
      <c r="G25" s="253"/>
      <c r="H25" s="242"/>
      <c r="I25" s="155">
        <f t="shared" si="1"/>
        <v>807.552</v>
      </c>
      <c r="J25" s="200"/>
      <c r="K25" s="277">
        <f t="shared" si="0"/>
        <v>0</v>
      </c>
      <c r="AJ25" s="256"/>
      <c r="AK25" s="255"/>
    </row>
    <row r="26" spans="2:37" ht="12.75">
      <c r="B26" s="199">
        <v>10</v>
      </c>
      <c r="C26" s="249" t="s">
        <v>184</v>
      </c>
      <c r="D26" s="250"/>
      <c r="E26" s="251"/>
      <c r="F26" s="252">
        <v>160</v>
      </c>
      <c r="G26" s="253"/>
      <c r="H26" s="242"/>
      <c r="I26" s="155">
        <f t="shared" si="1"/>
        <v>807.552</v>
      </c>
      <c r="J26" s="200"/>
      <c r="K26" s="277">
        <f t="shared" si="0"/>
        <v>0</v>
      </c>
      <c r="AJ26" s="254"/>
      <c r="AK26" s="255"/>
    </row>
    <row r="27" spans="2:37" ht="12.75">
      <c r="B27" s="199">
        <v>11</v>
      </c>
      <c r="C27" s="249" t="s">
        <v>187</v>
      </c>
      <c r="D27" s="250"/>
      <c r="E27" s="251"/>
      <c r="F27" s="252">
        <v>160</v>
      </c>
      <c r="G27" s="253"/>
      <c r="H27" s="242"/>
      <c r="I27" s="155">
        <f t="shared" si="1"/>
        <v>807.552</v>
      </c>
      <c r="J27" s="200"/>
      <c r="K27" s="277">
        <f t="shared" si="0"/>
        <v>0</v>
      </c>
      <c r="AJ27" s="256"/>
      <c r="AK27" s="255"/>
    </row>
    <row r="28" spans="2:37" ht="12.75">
      <c r="B28" s="199">
        <v>12</v>
      </c>
      <c r="C28" s="249" t="s">
        <v>209</v>
      </c>
      <c r="D28" s="250"/>
      <c r="E28" s="251"/>
      <c r="F28" s="252">
        <v>160</v>
      </c>
      <c r="G28" s="253"/>
      <c r="H28" s="242"/>
      <c r="I28" s="155">
        <f t="shared" si="1"/>
        <v>807.552</v>
      </c>
      <c r="J28" s="200"/>
      <c r="K28" s="277">
        <f t="shared" si="0"/>
        <v>0</v>
      </c>
      <c r="AJ28" s="254"/>
      <c r="AK28" s="255"/>
    </row>
    <row r="29" spans="2:37" ht="12.75">
      <c r="B29" s="199">
        <v>13</v>
      </c>
      <c r="C29" s="249" t="s">
        <v>188</v>
      </c>
      <c r="D29" s="250"/>
      <c r="E29" s="251"/>
      <c r="F29" s="252">
        <v>160</v>
      </c>
      <c r="G29" s="253"/>
      <c r="H29" s="242"/>
      <c r="I29" s="155">
        <f t="shared" si="1"/>
        <v>807.552</v>
      </c>
      <c r="J29" s="200"/>
      <c r="K29" s="277">
        <f t="shared" si="0"/>
        <v>0</v>
      </c>
      <c r="AJ29" s="256"/>
      <c r="AK29" s="255"/>
    </row>
    <row r="30" spans="2:37" ht="12.75">
      <c r="B30" s="199">
        <v>14</v>
      </c>
      <c r="C30" s="249" t="s">
        <v>190</v>
      </c>
      <c r="D30" s="250"/>
      <c r="E30" s="251"/>
      <c r="F30" s="252">
        <v>160</v>
      </c>
      <c r="G30" s="253"/>
      <c r="H30" s="242"/>
      <c r="I30" s="155">
        <f t="shared" si="1"/>
        <v>807.552</v>
      </c>
      <c r="J30" s="200"/>
      <c r="K30" s="277">
        <f t="shared" si="0"/>
        <v>0</v>
      </c>
      <c r="AI30" s="209" t="s">
        <v>243</v>
      </c>
      <c r="AJ30" s="256">
        <f>SUM(AJ20:AJ28)</f>
        <v>0</v>
      </c>
      <c r="AK30" s="255"/>
    </row>
    <row r="31" spans="2:11" ht="12.75">
      <c r="B31" s="199">
        <v>15</v>
      </c>
      <c r="C31" s="246" t="s">
        <v>210</v>
      </c>
      <c r="D31" s="241"/>
      <c r="E31" s="247"/>
      <c r="F31" s="242"/>
      <c r="G31" s="242"/>
      <c r="H31" s="242"/>
      <c r="I31" s="197"/>
      <c r="J31" s="248"/>
      <c r="K31" s="284"/>
    </row>
    <row r="32" spans="2:32" ht="12.75">
      <c r="B32" s="199">
        <v>16</v>
      </c>
      <c r="C32" s="249" t="s">
        <v>177</v>
      </c>
      <c r="D32" s="250">
        <v>1136.18</v>
      </c>
      <c r="E32" s="251"/>
      <c r="F32" s="252">
        <v>160</v>
      </c>
      <c r="G32" s="253"/>
      <c r="H32" s="242"/>
      <c r="I32" s="155">
        <f t="shared" si="1"/>
        <v>807.552</v>
      </c>
      <c r="J32" s="200"/>
      <c r="K32" s="277">
        <f t="shared" si="0"/>
        <v>1.4069434537961643</v>
      </c>
      <c r="AF32" s="209" t="s">
        <v>254</v>
      </c>
    </row>
    <row r="33" spans="2:34" ht="12.75">
      <c r="B33" s="199">
        <v>17</v>
      </c>
      <c r="C33" s="249" t="s">
        <v>178</v>
      </c>
      <c r="D33" s="250"/>
      <c r="E33" s="251"/>
      <c r="F33" s="252">
        <v>160</v>
      </c>
      <c r="G33" s="253"/>
      <c r="H33" s="242"/>
      <c r="I33" s="155">
        <f t="shared" si="1"/>
        <v>807.552</v>
      </c>
      <c r="J33" s="200"/>
      <c r="K33" s="277">
        <f t="shared" si="0"/>
        <v>0</v>
      </c>
      <c r="AF33" s="209" t="s">
        <v>245</v>
      </c>
      <c r="AG33" s="245"/>
      <c r="AH33" s="245"/>
    </row>
    <row r="34" spans="2:37" ht="12.75">
      <c r="B34" s="199">
        <v>18</v>
      </c>
      <c r="C34" s="249" t="s">
        <v>211</v>
      </c>
      <c r="D34" s="250"/>
      <c r="E34" s="251"/>
      <c r="F34" s="252">
        <v>160</v>
      </c>
      <c r="G34" s="253"/>
      <c r="H34" s="242"/>
      <c r="I34" s="155">
        <f t="shared" si="1"/>
        <v>807.552</v>
      </c>
      <c r="J34" s="200"/>
      <c r="K34" s="277">
        <f t="shared" si="0"/>
        <v>0</v>
      </c>
      <c r="AF34" s="209" t="s">
        <v>246</v>
      </c>
      <c r="AJ34" s="214" t="s">
        <v>242</v>
      </c>
      <c r="AK34" s="214" t="s">
        <v>230</v>
      </c>
    </row>
    <row r="35" spans="2:11" ht="12.75">
      <c r="B35" s="199">
        <v>19</v>
      </c>
      <c r="C35" s="249" t="s">
        <v>212</v>
      </c>
      <c r="D35" s="250"/>
      <c r="E35" s="251"/>
      <c r="F35" s="252">
        <v>160</v>
      </c>
      <c r="G35" s="253"/>
      <c r="H35" s="242"/>
      <c r="I35" s="155">
        <f t="shared" si="1"/>
        <v>807.552</v>
      </c>
      <c r="J35" s="200"/>
      <c r="K35" s="277">
        <f t="shared" si="0"/>
        <v>0</v>
      </c>
    </row>
    <row r="36" spans="2:37" ht="12.75">
      <c r="B36" s="199">
        <v>20</v>
      </c>
      <c r="C36" s="249" t="s">
        <v>180</v>
      </c>
      <c r="D36" s="250"/>
      <c r="E36" s="251"/>
      <c r="F36" s="252">
        <v>160</v>
      </c>
      <c r="G36" s="253"/>
      <c r="H36" s="242"/>
      <c r="I36" s="155">
        <f t="shared" si="1"/>
        <v>807.552</v>
      </c>
      <c r="J36" s="200"/>
      <c r="K36" s="277">
        <f t="shared" si="0"/>
        <v>0</v>
      </c>
      <c r="AJ36" s="254"/>
      <c r="AK36" s="255"/>
    </row>
    <row r="37" spans="2:37" ht="12.75">
      <c r="B37" s="199">
        <v>21</v>
      </c>
      <c r="C37" s="249" t="s">
        <v>181</v>
      </c>
      <c r="D37" s="250"/>
      <c r="E37" s="251"/>
      <c r="F37" s="252">
        <v>160</v>
      </c>
      <c r="G37" s="253"/>
      <c r="H37" s="242"/>
      <c r="I37" s="155">
        <f t="shared" si="1"/>
        <v>807.552</v>
      </c>
      <c r="J37" s="200"/>
      <c r="K37" s="277">
        <f t="shared" si="0"/>
        <v>0</v>
      </c>
      <c r="AJ37" s="256"/>
      <c r="AK37" s="255"/>
    </row>
    <row r="38" spans="2:37" ht="12.75">
      <c r="B38" s="199">
        <v>22</v>
      </c>
      <c r="C38" s="249" t="s">
        <v>289</v>
      </c>
      <c r="D38" s="250"/>
      <c r="E38" s="251"/>
      <c r="F38" s="252">
        <v>160</v>
      </c>
      <c r="G38" s="253"/>
      <c r="H38" s="242"/>
      <c r="I38" s="155">
        <f t="shared" si="1"/>
        <v>807.552</v>
      </c>
      <c r="J38" s="200"/>
      <c r="K38" s="277">
        <f t="shared" si="0"/>
        <v>0</v>
      </c>
      <c r="AJ38" s="254"/>
      <c r="AK38" s="255"/>
    </row>
    <row r="39" spans="2:37" ht="12.75">
      <c r="B39" s="199">
        <v>23</v>
      </c>
      <c r="C39" s="249" t="s">
        <v>183</v>
      </c>
      <c r="D39" s="250"/>
      <c r="E39" s="251"/>
      <c r="F39" s="252">
        <v>160</v>
      </c>
      <c r="G39" s="253"/>
      <c r="H39" s="242"/>
      <c r="I39" s="155">
        <f t="shared" si="1"/>
        <v>807.552</v>
      </c>
      <c r="J39" s="200"/>
      <c r="K39" s="277">
        <f t="shared" si="0"/>
        <v>0</v>
      </c>
      <c r="AJ39" s="256"/>
      <c r="AK39" s="255"/>
    </row>
    <row r="40" spans="2:37" ht="12.75">
      <c r="B40" s="199">
        <v>24</v>
      </c>
      <c r="C40" s="249" t="s">
        <v>185</v>
      </c>
      <c r="D40" s="250"/>
      <c r="E40" s="251"/>
      <c r="F40" s="252">
        <v>160</v>
      </c>
      <c r="G40" s="253"/>
      <c r="H40" s="242"/>
      <c r="I40" s="155">
        <f t="shared" si="1"/>
        <v>807.552</v>
      </c>
      <c r="J40" s="200"/>
      <c r="K40" s="277">
        <f t="shared" si="0"/>
        <v>0</v>
      </c>
      <c r="AJ40" s="254"/>
      <c r="AK40" s="255"/>
    </row>
    <row r="41" spans="2:37" ht="12.75">
      <c r="B41" s="199">
        <v>25</v>
      </c>
      <c r="C41" s="249" t="s">
        <v>213</v>
      </c>
      <c r="D41" s="250"/>
      <c r="E41" s="251"/>
      <c r="F41" s="252">
        <v>160</v>
      </c>
      <c r="G41" s="253"/>
      <c r="H41" s="242"/>
      <c r="I41" s="155">
        <f t="shared" si="1"/>
        <v>807.552</v>
      </c>
      <c r="J41" s="200"/>
      <c r="K41" s="277">
        <f t="shared" si="0"/>
        <v>0</v>
      </c>
      <c r="AJ41" s="256"/>
      <c r="AK41" s="255"/>
    </row>
    <row r="42" spans="2:37" ht="12.75">
      <c r="B42" s="199">
        <v>26</v>
      </c>
      <c r="C42" s="249" t="s">
        <v>214</v>
      </c>
      <c r="D42" s="250"/>
      <c r="E42" s="251"/>
      <c r="F42" s="252">
        <v>160</v>
      </c>
      <c r="G42" s="253"/>
      <c r="H42" s="242"/>
      <c r="I42" s="155">
        <f t="shared" si="1"/>
        <v>807.552</v>
      </c>
      <c r="J42" s="200"/>
      <c r="K42" s="277">
        <f t="shared" si="0"/>
        <v>0</v>
      </c>
      <c r="AJ42" s="254"/>
      <c r="AK42" s="255"/>
    </row>
    <row r="43" spans="2:37" ht="12.75">
      <c r="B43" s="199">
        <v>27</v>
      </c>
      <c r="C43" s="249" t="s">
        <v>189</v>
      </c>
      <c r="D43" s="250"/>
      <c r="E43" s="251"/>
      <c r="F43" s="252">
        <v>160</v>
      </c>
      <c r="G43" s="253"/>
      <c r="H43" s="242"/>
      <c r="I43" s="155">
        <f t="shared" si="1"/>
        <v>807.552</v>
      </c>
      <c r="J43" s="200"/>
      <c r="K43" s="277">
        <f t="shared" si="0"/>
        <v>0</v>
      </c>
      <c r="AJ43" s="256"/>
      <c r="AK43" s="255"/>
    </row>
    <row r="44" spans="2:37" ht="12.75">
      <c r="B44" s="199">
        <v>28</v>
      </c>
      <c r="C44" s="246" t="s">
        <v>215</v>
      </c>
      <c r="D44" s="241"/>
      <c r="E44" s="247"/>
      <c r="F44" s="242"/>
      <c r="G44" s="242"/>
      <c r="H44" s="242"/>
      <c r="I44" s="197"/>
      <c r="J44" s="248"/>
      <c r="K44" s="284"/>
      <c r="AJ44" s="254"/>
      <c r="AK44" s="255"/>
    </row>
    <row r="45" spans="2:37" ht="12.75">
      <c r="B45" s="199">
        <v>29</v>
      </c>
      <c r="C45" s="249" t="s">
        <v>191</v>
      </c>
      <c r="D45" s="250"/>
      <c r="E45" s="251"/>
      <c r="F45" s="252">
        <v>160</v>
      </c>
      <c r="G45" s="253"/>
      <c r="H45" s="242"/>
      <c r="I45" s="155">
        <f t="shared" si="1"/>
        <v>807.552</v>
      </c>
      <c r="J45" s="200"/>
      <c r="K45" s="277">
        <f t="shared" si="0"/>
        <v>0</v>
      </c>
      <c r="AJ45" s="256"/>
      <c r="AK45" s="255"/>
    </row>
    <row r="46" spans="2:37" ht="12.75">
      <c r="B46" s="199">
        <v>30</v>
      </c>
      <c r="C46" s="249" t="s">
        <v>216</v>
      </c>
      <c r="D46" s="250"/>
      <c r="E46" s="251"/>
      <c r="F46" s="252">
        <v>160</v>
      </c>
      <c r="G46" s="253"/>
      <c r="H46" s="242"/>
      <c r="I46" s="155">
        <f t="shared" si="1"/>
        <v>807.552</v>
      </c>
      <c r="J46" s="200"/>
      <c r="K46" s="277">
        <f t="shared" si="0"/>
        <v>0</v>
      </c>
      <c r="AI46" s="209" t="s">
        <v>243</v>
      </c>
      <c r="AJ46" s="256">
        <f>SUM(AJ36:AJ44)</f>
        <v>0</v>
      </c>
      <c r="AK46" s="255"/>
    </row>
    <row r="47" spans="2:11" ht="12.75">
      <c r="B47" s="199">
        <v>31</v>
      </c>
      <c r="C47" s="249" t="s">
        <v>217</v>
      </c>
      <c r="D47" s="250"/>
      <c r="E47" s="251"/>
      <c r="F47" s="252">
        <v>160</v>
      </c>
      <c r="G47" s="253"/>
      <c r="H47" s="242"/>
      <c r="I47" s="155">
        <f t="shared" si="1"/>
        <v>807.552</v>
      </c>
      <c r="J47" s="200"/>
      <c r="K47" s="277">
        <f t="shared" si="0"/>
        <v>0</v>
      </c>
    </row>
    <row r="48" spans="2:11" ht="12.75">
      <c r="B48" s="199">
        <v>32</v>
      </c>
      <c r="C48" s="249" t="s">
        <v>218</v>
      </c>
      <c r="D48" s="250"/>
      <c r="E48" s="251"/>
      <c r="F48" s="252">
        <v>160</v>
      </c>
      <c r="G48" s="253"/>
      <c r="H48" s="242"/>
      <c r="I48" s="155">
        <f t="shared" si="1"/>
        <v>807.552</v>
      </c>
      <c r="J48" s="200"/>
      <c r="K48" s="277">
        <f t="shared" si="0"/>
        <v>0</v>
      </c>
    </row>
    <row r="49" spans="2:32" ht="12.75">
      <c r="B49" s="199">
        <v>33</v>
      </c>
      <c r="C49" s="249" t="s">
        <v>186</v>
      </c>
      <c r="D49" s="250"/>
      <c r="E49" s="251"/>
      <c r="F49" s="252">
        <v>160</v>
      </c>
      <c r="G49" s="253"/>
      <c r="H49" s="242"/>
      <c r="I49" s="155">
        <f t="shared" si="1"/>
        <v>807.552</v>
      </c>
      <c r="J49" s="200"/>
      <c r="K49" s="277">
        <f aca="true" t="shared" si="2" ref="K49:K65">D49/I49</f>
        <v>0</v>
      </c>
      <c r="AF49" s="209" t="s">
        <v>255</v>
      </c>
    </row>
    <row r="50" spans="2:34" ht="12.75">
      <c r="B50" s="199">
        <v>34</v>
      </c>
      <c r="C50" s="249" t="s">
        <v>192</v>
      </c>
      <c r="D50" s="250"/>
      <c r="E50" s="251"/>
      <c r="F50" s="252">
        <v>160</v>
      </c>
      <c r="G50" s="253"/>
      <c r="H50" s="242"/>
      <c r="I50" s="155">
        <f t="shared" si="1"/>
        <v>807.552</v>
      </c>
      <c r="J50" s="200"/>
      <c r="K50" s="277">
        <f t="shared" si="2"/>
        <v>0</v>
      </c>
      <c r="AF50" s="209" t="s">
        <v>245</v>
      </c>
      <c r="AG50" s="245"/>
      <c r="AH50" s="245"/>
    </row>
    <row r="51" spans="2:37" ht="12.75">
      <c r="B51" s="199">
        <v>35</v>
      </c>
      <c r="C51" s="249" t="s">
        <v>219</v>
      </c>
      <c r="D51" s="250"/>
      <c r="E51" s="251"/>
      <c r="F51" s="252">
        <v>160</v>
      </c>
      <c r="G51" s="253"/>
      <c r="H51" s="242"/>
      <c r="I51" s="155">
        <f t="shared" si="1"/>
        <v>807.552</v>
      </c>
      <c r="J51" s="200"/>
      <c r="K51" s="277">
        <f t="shared" si="2"/>
        <v>0</v>
      </c>
      <c r="AF51" s="209" t="s">
        <v>246</v>
      </c>
      <c r="AJ51" s="214" t="s">
        <v>242</v>
      </c>
      <c r="AK51" s="214" t="s">
        <v>230</v>
      </c>
    </row>
    <row r="52" spans="2:11" ht="12.75">
      <c r="B52" s="199">
        <v>36</v>
      </c>
      <c r="C52" s="249" t="s">
        <v>225</v>
      </c>
      <c r="D52" s="250"/>
      <c r="E52" s="251"/>
      <c r="F52" s="252">
        <v>160</v>
      </c>
      <c r="G52" s="253"/>
      <c r="H52" s="242"/>
      <c r="I52" s="155">
        <f t="shared" si="1"/>
        <v>807.552</v>
      </c>
      <c r="J52" s="200"/>
      <c r="K52" s="277">
        <f t="shared" si="2"/>
        <v>0</v>
      </c>
    </row>
    <row r="53" spans="2:37" ht="12.75">
      <c r="B53" s="199">
        <v>37</v>
      </c>
      <c r="C53" s="249" t="s">
        <v>226</v>
      </c>
      <c r="D53" s="250"/>
      <c r="E53" s="251"/>
      <c r="F53" s="252">
        <v>160</v>
      </c>
      <c r="G53" s="253"/>
      <c r="H53" s="242"/>
      <c r="I53" s="155">
        <f t="shared" si="1"/>
        <v>807.552</v>
      </c>
      <c r="J53" s="200"/>
      <c r="K53" s="277">
        <f t="shared" si="2"/>
        <v>0</v>
      </c>
      <c r="AJ53" s="254"/>
      <c r="AK53" s="255"/>
    </row>
    <row r="54" spans="2:37" ht="12.75">
      <c r="B54" s="199">
        <v>38</v>
      </c>
      <c r="C54" s="246" t="s">
        <v>220</v>
      </c>
      <c r="D54" s="241"/>
      <c r="E54" s="247"/>
      <c r="F54" s="242"/>
      <c r="G54" s="242"/>
      <c r="H54" s="242"/>
      <c r="I54" s="197"/>
      <c r="J54" s="248"/>
      <c r="K54" s="284"/>
      <c r="AJ54" s="256"/>
      <c r="AK54" s="255"/>
    </row>
    <row r="55" spans="2:37" ht="12.75">
      <c r="B55" s="199">
        <v>39</v>
      </c>
      <c r="C55" s="249" t="s">
        <v>193</v>
      </c>
      <c r="D55" s="250"/>
      <c r="E55" s="251"/>
      <c r="F55" s="252">
        <v>160</v>
      </c>
      <c r="G55" s="253"/>
      <c r="H55" s="242"/>
      <c r="I55" s="155">
        <f t="shared" si="1"/>
        <v>807.552</v>
      </c>
      <c r="J55" s="200"/>
      <c r="K55" s="277">
        <f t="shared" si="2"/>
        <v>0</v>
      </c>
      <c r="AJ55" s="254"/>
      <c r="AK55" s="255"/>
    </row>
    <row r="56" spans="2:37" ht="12.75">
      <c r="B56" s="199">
        <v>40</v>
      </c>
      <c r="C56" s="249" t="s">
        <v>194</v>
      </c>
      <c r="D56" s="250"/>
      <c r="E56" s="251"/>
      <c r="F56" s="252">
        <v>160</v>
      </c>
      <c r="G56" s="253"/>
      <c r="H56" s="242"/>
      <c r="I56" s="155">
        <f t="shared" si="1"/>
        <v>807.552</v>
      </c>
      <c r="J56" s="200"/>
      <c r="K56" s="277">
        <f t="shared" si="2"/>
        <v>0</v>
      </c>
      <c r="AJ56" s="256"/>
      <c r="AK56" s="255"/>
    </row>
    <row r="57" spans="2:37" ht="12.75">
      <c r="B57" s="199">
        <v>41</v>
      </c>
      <c r="C57" s="249" t="s">
        <v>195</v>
      </c>
      <c r="D57" s="250"/>
      <c r="E57" s="251"/>
      <c r="F57" s="252">
        <v>160</v>
      </c>
      <c r="G57" s="253"/>
      <c r="H57" s="242"/>
      <c r="I57" s="155">
        <f t="shared" si="1"/>
        <v>807.552</v>
      </c>
      <c r="J57" s="200"/>
      <c r="K57" s="277">
        <f t="shared" si="2"/>
        <v>0</v>
      </c>
      <c r="AJ57" s="254"/>
      <c r="AK57" s="255"/>
    </row>
    <row r="58" spans="2:37" ht="12.75">
      <c r="B58" s="199">
        <v>42</v>
      </c>
      <c r="C58" s="249" t="s">
        <v>196</v>
      </c>
      <c r="D58" s="250"/>
      <c r="E58" s="251"/>
      <c r="F58" s="252">
        <v>160</v>
      </c>
      <c r="G58" s="253"/>
      <c r="H58" s="242"/>
      <c r="I58" s="155">
        <f t="shared" si="1"/>
        <v>807.552</v>
      </c>
      <c r="J58" s="200"/>
      <c r="K58" s="277">
        <f t="shared" si="2"/>
        <v>0</v>
      </c>
      <c r="AJ58" s="256"/>
      <c r="AK58" s="255"/>
    </row>
    <row r="59" spans="2:37" ht="12.75">
      <c r="B59" s="199">
        <v>43</v>
      </c>
      <c r="C59" s="249" t="s">
        <v>197</v>
      </c>
      <c r="D59" s="250"/>
      <c r="E59" s="251"/>
      <c r="F59" s="252">
        <v>160</v>
      </c>
      <c r="G59" s="253"/>
      <c r="H59" s="242"/>
      <c r="I59" s="155">
        <f t="shared" si="1"/>
        <v>807.552</v>
      </c>
      <c r="J59" s="200"/>
      <c r="K59" s="277">
        <f t="shared" si="2"/>
        <v>0</v>
      </c>
      <c r="AJ59" s="254"/>
      <c r="AK59" s="255"/>
    </row>
    <row r="60" spans="2:37" ht="12.75">
      <c r="B60" s="199">
        <v>44</v>
      </c>
      <c r="C60" s="249" t="s">
        <v>221</v>
      </c>
      <c r="D60" s="250"/>
      <c r="E60" s="251"/>
      <c r="F60" s="252">
        <v>160</v>
      </c>
      <c r="G60" s="253"/>
      <c r="H60" s="242"/>
      <c r="I60" s="155">
        <f t="shared" si="1"/>
        <v>807.552</v>
      </c>
      <c r="J60" s="200"/>
      <c r="K60" s="277">
        <f t="shared" si="2"/>
        <v>0</v>
      </c>
      <c r="AJ60" s="256"/>
      <c r="AK60" s="255"/>
    </row>
    <row r="61" spans="2:37" ht="12.75">
      <c r="B61" s="199">
        <v>45</v>
      </c>
      <c r="C61" s="249" t="s">
        <v>198</v>
      </c>
      <c r="D61" s="250"/>
      <c r="E61" s="251"/>
      <c r="F61" s="252">
        <v>160</v>
      </c>
      <c r="G61" s="253"/>
      <c r="H61" s="242"/>
      <c r="I61" s="155">
        <f t="shared" si="1"/>
        <v>807.552</v>
      </c>
      <c r="J61" s="200"/>
      <c r="K61" s="277">
        <f t="shared" si="2"/>
        <v>0</v>
      </c>
      <c r="AJ61" s="254"/>
      <c r="AK61" s="255"/>
    </row>
    <row r="62" spans="2:37" ht="12.75">
      <c r="B62" s="199">
        <v>46</v>
      </c>
      <c r="C62" s="249" t="s">
        <v>222</v>
      </c>
      <c r="D62" s="250"/>
      <c r="E62" s="251"/>
      <c r="F62" s="252">
        <v>160</v>
      </c>
      <c r="G62" s="253"/>
      <c r="H62" s="242"/>
      <c r="I62" s="155">
        <f t="shared" si="1"/>
        <v>807.552</v>
      </c>
      <c r="J62" s="200"/>
      <c r="K62" s="277">
        <f t="shared" si="2"/>
        <v>0</v>
      </c>
      <c r="AJ62" s="256"/>
      <c r="AK62" s="255"/>
    </row>
    <row r="63" spans="2:37" ht="12.75">
      <c r="B63" s="199">
        <v>47</v>
      </c>
      <c r="C63" s="249" t="s">
        <v>199</v>
      </c>
      <c r="D63" s="250"/>
      <c r="E63" s="251"/>
      <c r="F63" s="252">
        <v>160</v>
      </c>
      <c r="G63" s="253"/>
      <c r="H63" s="242"/>
      <c r="I63" s="155">
        <f t="shared" si="1"/>
        <v>807.552</v>
      </c>
      <c r="J63" s="200"/>
      <c r="K63" s="277">
        <f t="shared" si="2"/>
        <v>0</v>
      </c>
      <c r="AI63" s="209" t="s">
        <v>243</v>
      </c>
      <c r="AJ63" s="256">
        <f>SUM(AJ53:AJ61)</f>
        <v>0</v>
      </c>
      <c r="AK63" s="255"/>
    </row>
    <row r="64" spans="2:11" ht="12.75">
      <c r="B64" s="199">
        <v>48</v>
      </c>
      <c r="C64" s="249" t="s">
        <v>223</v>
      </c>
      <c r="D64" s="250"/>
      <c r="E64" s="251"/>
      <c r="F64" s="252">
        <v>160</v>
      </c>
      <c r="G64" s="253"/>
      <c r="H64" s="242"/>
      <c r="I64" s="155">
        <f t="shared" si="1"/>
        <v>807.552</v>
      </c>
      <c r="J64" s="200"/>
      <c r="K64" s="277">
        <f t="shared" si="2"/>
        <v>0</v>
      </c>
    </row>
    <row r="65" spans="2:11" ht="13.5" thickBot="1">
      <c r="B65" s="199">
        <v>49</v>
      </c>
      <c r="C65" s="257" t="s">
        <v>224</v>
      </c>
      <c r="D65" s="258"/>
      <c r="E65" s="259"/>
      <c r="F65" s="260">
        <v>160</v>
      </c>
      <c r="G65" s="261"/>
      <c r="H65" s="262"/>
      <c r="I65" s="156">
        <f t="shared" si="1"/>
        <v>807.552</v>
      </c>
      <c r="J65" s="263"/>
      <c r="K65" s="278">
        <f t="shared" si="2"/>
        <v>0</v>
      </c>
    </row>
    <row r="67" ht="12.75">
      <c r="AF67" s="209" t="s">
        <v>256</v>
      </c>
    </row>
    <row r="68" spans="4:34" ht="13.5" thickBot="1">
      <c r="D68" s="230"/>
      <c r="E68" s="230"/>
      <c r="F68" s="230"/>
      <c r="AF68" s="209" t="s">
        <v>245</v>
      </c>
      <c r="AG68" s="245"/>
      <c r="AH68" s="245"/>
    </row>
    <row r="69" spans="3:37" ht="13.5" thickBot="1">
      <c r="C69" s="129" t="s">
        <v>169</v>
      </c>
      <c r="D69" s="126" t="s">
        <v>240</v>
      </c>
      <c r="E69" s="283"/>
      <c r="F69" s="276" t="s">
        <v>230</v>
      </c>
      <c r="AF69" s="209" t="s">
        <v>246</v>
      </c>
      <c r="AJ69" s="214" t="s">
        <v>242</v>
      </c>
      <c r="AK69" s="214" t="s">
        <v>230</v>
      </c>
    </row>
    <row r="70" spans="2:6" ht="12.75">
      <c r="B70" s="199">
        <v>1</v>
      </c>
      <c r="C70" s="249" t="s">
        <v>170</v>
      </c>
      <c r="D70" s="264">
        <v>4</v>
      </c>
      <c r="E70" s="265"/>
      <c r="F70" s="277">
        <f>D70/5.0472</f>
        <v>0.7925186241876684</v>
      </c>
    </row>
    <row r="71" spans="2:37" ht="12.75">
      <c r="B71" s="199">
        <v>2</v>
      </c>
      <c r="C71" s="249" t="s">
        <v>171</v>
      </c>
      <c r="D71" s="250">
        <v>4.5</v>
      </c>
      <c r="E71" s="265"/>
      <c r="F71" s="277">
        <f aca="true" t="shared" si="3" ref="F71:F77">D71/5.0472</f>
        <v>0.8915834522111269</v>
      </c>
      <c r="AJ71" s="254"/>
      <c r="AK71" s="255"/>
    </row>
    <row r="72" spans="2:37" ht="12.75">
      <c r="B72" s="199">
        <v>3</v>
      </c>
      <c r="C72" s="249" t="s">
        <v>172</v>
      </c>
      <c r="D72" s="250">
        <v>5</v>
      </c>
      <c r="E72" s="265"/>
      <c r="F72" s="277">
        <f t="shared" si="3"/>
        <v>0.9906482802345855</v>
      </c>
      <c r="AJ72" s="256"/>
      <c r="AK72" s="255"/>
    </row>
    <row r="73" spans="2:37" ht="12.75">
      <c r="B73" s="199">
        <v>4</v>
      </c>
      <c r="C73" s="249" t="s">
        <v>173</v>
      </c>
      <c r="D73" s="250">
        <v>5.5</v>
      </c>
      <c r="E73" s="265"/>
      <c r="F73" s="277">
        <f t="shared" si="3"/>
        <v>1.089713108258044</v>
      </c>
      <c r="AJ73" s="254"/>
      <c r="AK73" s="255"/>
    </row>
    <row r="74" spans="2:37" ht="12.75">
      <c r="B74" s="199">
        <v>5</v>
      </c>
      <c r="C74" s="249" t="s">
        <v>201</v>
      </c>
      <c r="D74" s="250">
        <v>6</v>
      </c>
      <c r="E74" s="265"/>
      <c r="F74" s="277">
        <f t="shared" si="3"/>
        <v>1.1887779362815025</v>
      </c>
      <c r="AJ74" s="256"/>
      <c r="AK74" s="255"/>
    </row>
    <row r="75" spans="2:37" ht="12.75">
      <c r="B75" s="199">
        <v>6</v>
      </c>
      <c r="C75" s="249" t="s">
        <v>202</v>
      </c>
      <c r="D75" s="250">
        <v>6.5</v>
      </c>
      <c r="E75" s="265"/>
      <c r="F75" s="277">
        <f t="shared" si="3"/>
        <v>1.287842764304961</v>
      </c>
      <c r="AJ75" s="254"/>
      <c r="AK75" s="255"/>
    </row>
    <row r="76" spans="2:37" ht="12.75">
      <c r="B76" s="199">
        <v>7</v>
      </c>
      <c r="C76" s="249" t="s">
        <v>227</v>
      </c>
      <c r="D76" s="250">
        <v>7</v>
      </c>
      <c r="E76" s="265"/>
      <c r="F76" s="277">
        <f t="shared" si="3"/>
        <v>1.3869075923284198</v>
      </c>
      <c r="AJ76" s="256"/>
      <c r="AK76" s="255"/>
    </row>
    <row r="77" spans="2:37" ht="13.5" thickBot="1">
      <c r="B77" s="199">
        <v>8</v>
      </c>
      <c r="C77" s="257" t="s">
        <v>203</v>
      </c>
      <c r="D77" s="258">
        <v>7.5</v>
      </c>
      <c r="E77" s="266"/>
      <c r="F77" s="278">
        <f t="shared" si="3"/>
        <v>1.4859724203518783</v>
      </c>
      <c r="AJ77" s="254"/>
      <c r="AK77" s="255"/>
    </row>
    <row r="78" spans="6:37" ht="12.75">
      <c r="F78" s="30"/>
      <c r="AJ78" s="256"/>
      <c r="AK78" s="255"/>
    </row>
    <row r="79" spans="6:37" ht="12.75">
      <c r="F79" s="30"/>
      <c r="AJ79" s="254"/>
      <c r="AK79" s="255"/>
    </row>
    <row r="80" spans="6:37" ht="12.75">
      <c r="F80" s="30"/>
      <c r="AJ80" s="256"/>
      <c r="AK80" s="255"/>
    </row>
    <row r="81" spans="1:37" ht="12.75">
      <c r="A81" s="31" t="s">
        <v>174</v>
      </c>
      <c r="F81" s="30"/>
      <c r="AI81" s="209" t="s">
        <v>243</v>
      </c>
      <c r="AJ81" s="256">
        <f>SUM(AJ71:AJ79)</f>
        <v>0</v>
      </c>
      <c r="AK81" s="255"/>
    </row>
    <row r="82" spans="1:12" ht="12.75">
      <c r="A82" s="31" t="s">
        <v>200</v>
      </c>
      <c r="B82" s="267"/>
      <c r="C82" s="226" t="s">
        <v>153</v>
      </c>
      <c r="D82" s="224"/>
      <c r="E82" s="224"/>
      <c r="F82" s="30"/>
      <c r="K82" s="268"/>
      <c r="L82" s="269"/>
    </row>
    <row r="83" spans="1:12" ht="12.75">
      <c r="A83" s="31" t="s">
        <v>241</v>
      </c>
      <c r="E83" s="57" t="s">
        <v>364</v>
      </c>
      <c r="F83" s="57" t="s">
        <v>230</v>
      </c>
      <c r="G83" s="30"/>
      <c r="H83" s="30"/>
      <c r="K83" s="268"/>
      <c r="L83" s="269"/>
    </row>
    <row r="84" spans="1:12" ht="12.75">
      <c r="A84" s="30"/>
      <c r="E84" s="270"/>
      <c r="F84" s="30"/>
      <c r="K84" s="268"/>
      <c r="L84" s="269"/>
    </row>
    <row r="85" spans="1:12" ht="12.75">
      <c r="A85" s="30"/>
      <c r="B85" s="199">
        <v>8</v>
      </c>
      <c r="E85" s="271">
        <v>1</v>
      </c>
      <c r="F85" s="279">
        <f>E85*VLOOKUP(B85,$B$17:$K$65,10)</f>
        <v>1.3829326161039783</v>
      </c>
      <c r="K85" s="268"/>
      <c r="L85" s="269"/>
    </row>
    <row r="86" spans="1:12" ht="12.75">
      <c r="A86" s="30"/>
      <c r="E86" s="272"/>
      <c r="F86" s="279"/>
      <c r="K86" s="268"/>
      <c r="L86" s="269"/>
    </row>
    <row r="87" spans="1:12" ht="12.75">
      <c r="A87" s="30"/>
      <c r="B87" s="199">
        <v>9</v>
      </c>
      <c r="E87" s="271">
        <v>0</v>
      </c>
      <c r="F87" s="279">
        <f>E87*VLOOKUP(B87,B19:K67,10)</f>
        <v>0</v>
      </c>
      <c r="K87" s="268"/>
      <c r="L87" s="269"/>
    </row>
    <row r="88" spans="1:12" ht="12.75">
      <c r="A88" s="30"/>
      <c r="E88" s="272"/>
      <c r="F88" s="279"/>
      <c r="K88" s="268"/>
      <c r="L88" s="269"/>
    </row>
    <row r="89" spans="1:6" ht="12.75">
      <c r="A89" s="30"/>
      <c r="B89" s="199">
        <v>1</v>
      </c>
      <c r="E89" s="271">
        <v>0</v>
      </c>
      <c r="F89" s="279">
        <f>E89*VLOOKUP(B89,B17:K65,10)</f>
        <v>0</v>
      </c>
    </row>
    <row r="90" spans="1:6" ht="12.75">
      <c r="A90" s="30"/>
      <c r="E90" s="272"/>
      <c r="F90" s="279"/>
    </row>
    <row r="91" spans="1:6" ht="12.75">
      <c r="A91" s="30"/>
      <c r="B91" s="199">
        <v>1</v>
      </c>
      <c r="E91" s="271">
        <v>0</v>
      </c>
      <c r="F91" s="279">
        <f>E91*VLOOKUP(B91,$B$69:$F$77,5)</f>
        <v>0</v>
      </c>
    </row>
    <row r="92" spans="1:6" ht="12.75">
      <c r="A92" s="30"/>
      <c r="E92" s="272"/>
      <c r="F92" s="279"/>
    </row>
    <row r="93" spans="1:6" ht="12.75">
      <c r="A93" s="30"/>
      <c r="B93" s="199">
        <v>3</v>
      </c>
      <c r="E93" s="271">
        <v>0</v>
      </c>
      <c r="F93" s="279">
        <f>E93*VLOOKUP(B93,B71:F79,5)</f>
        <v>0</v>
      </c>
    </row>
    <row r="94" spans="1:6" ht="12.75">
      <c r="A94" s="30"/>
      <c r="E94" s="230"/>
      <c r="F94" s="279"/>
    </row>
    <row r="95" spans="1:6" ht="12.75">
      <c r="A95" s="30"/>
      <c r="D95" s="31" t="s">
        <v>257</v>
      </c>
      <c r="E95" s="281">
        <f>SUM(E85:E93)</f>
        <v>1</v>
      </c>
      <c r="F95" s="280">
        <f>SUM(F85:F93)</f>
        <v>1.3829326161039783</v>
      </c>
    </row>
    <row r="96" spans="1:6" ht="12.75">
      <c r="A96" s="30"/>
      <c r="D96" s="30"/>
      <c r="E96" s="282">
        <f>IF(E95&gt;1,"Over 100%!","")</f>
      </c>
      <c r="F96" s="30"/>
    </row>
    <row r="97" spans="1:6" ht="12.75">
      <c r="A97" s="30"/>
      <c r="D97" s="30"/>
      <c r="E97" s="282">
        <f>IF(E95&lt;1,"Less than 100%!","")</f>
      </c>
      <c r="F97" s="30"/>
    </row>
    <row r="98" spans="1:6" ht="12.75">
      <c r="A98" s="31" t="s">
        <v>244</v>
      </c>
      <c r="D98" s="30"/>
      <c r="E98" s="30"/>
      <c r="F98" s="30"/>
    </row>
    <row r="99" spans="1:6" ht="12.75">
      <c r="A99" s="31" t="s">
        <v>245</v>
      </c>
      <c r="B99" s="274"/>
      <c r="C99" s="238" t="s">
        <v>176</v>
      </c>
      <c r="D99" s="30"/>
      <c r="E99" s="30"/>
      <c r="F99" s="30"/>
    </row>
    <row r="100" spans="1:18" ht="12.75">
      <c r="A100" s="31" t="s">
        <v>246</v>
      </c>
      <c r="D100" s="30"/>
      <c r="E100" s="57" t="s">
        <v>364</v>
      </c>
      <c r="F100" s="57" t="s">
        <v>230</v>
      </c>
      <c r="Q100" s="275"/>
      <c r="R100" s="275"/>
    </row>
    <row r="101" spans="1:18" ht="12.75">
      <c r="A101" s="30"/>
      <c r="F101" s="30"/>
      <c r="Q101" s="275"/>
      <c r="R101" s="275"/>
    </row>
    <row r="102" spans="1:6" ht="12.75">
      <c r="A102" s="30"/>
      <c r="B102" s="199">
        <v>4</v>
      </c>
      <c r="E102" s="271">
        <v>1</v>
      </c>
      <c r="F102" s="279">
        <f>E102*VLOOKUP(B102,$B$17:$K$65,10)</f>
        <v>1.3635159098113805</v>
      </c>
    </row>
    <row r="103" spans="1:6" ht="12.75">
      <c r="A103" s="30"/>
      <c r="E103" s="256"/>
      <c r="F103" s="279"/>
    </row>
    <row r="104" spans="1:6" ht="12.75">
      <c r="A104" s="30"/>
      <c r="B104" s="199">
        <v>3</v>
      </c>
      <c r="E104" s="271">
        <v>0</v>
      </c>
      <c r="F104" s="279">
        <f>E104*VLOOKUP(B104,$B$17:$K$65,10)</f>
        <v>0</v>
      </c>
    </row>
    <row r="105" spans="1:6" ht="12.75">
      <c r="A105" s="30"/>
      <c r="E105" s="256"/>
      <c r="F105" s="279"/>
    </row>
    <row r="106" spans="1:6" ht="12.75">
      <c r="A106" s="30"/>
      <c r="B106" s="199">
        <v>1</v>
      </c>
      <c r="E106" s="271"/>
      <c r="F106" s="279">
        <f>E106*VLOOKUP(B106,$B$17:$K$65,10)</f>
        <v>0</v>
      </c>
    </row>
    <row r="107" spans="1:6" ht="12.75">
      <c r="A107" s="30"/>
      <c r="E107" s="256"/>
      <c r="F107" s="279"/>
    </row>
    <row r="108" spans="1:6" ht="12.75">
      <c r="A108" s="30"/>
      <c r="B108" s="199">
        <v>1</v>
      </c>
      <c r="E108" s="271"/>
      <c r="F108" s="279">
        <f>E108*VLOOKUP(B108,$B$69:$F$77,5)</f>
        <v>0</v>
      </c>
    </row>
    <row r="109" spans="1:6" ht="12.75">
      <c r="A109" s="30"/>
      <c r="E109" s="256"/>
      <c r="F109" s="279"/>
    </row>
    <row r="110" spans="1:6" ht="12.75">
      <c r="A110" s="30"/>
      <c r="B110" s="199">
        <v>2</v>
      </c>
      <c r="E110" s="271"/>
      <c r="F110" s="279">
        <f>E110*VLOOKUP(B110,$B$69:$F$77,5)</f>
        <v>0</v>
      </c>
    </row>
    <row r="111" spans="1:6" ht="12.75">
      <c r="A111" s="30"/>
      <c r="E111" s="256"/>
      <c r="F111" s="279"/>
    </row>
    <row r="112" spans="1:6" ht="12.75">
      <c r="A112" s="30"/>
      <c r="D112" s="31" t="s">
        <v>243</v>
      </c>
      <c r="E112" s="281">
        <f>SUM(E102:E110)</f>
        <v>1</v>
      </c>
      <c r="F112" s="280">
        <f>SUM(F102:F110)</f>
        <v>1.3635159098113805</v>
      </c>
    </row>
    <row r="113" spans="1:6" ht="12.75">
      <c r="A113" s="30"/>
      <c r="D113" s="30"/>
      <c r="E113" s="282">
        <f>IF(E112&gt;1,"Over 100%!","")</f>
      </c>
      <c r="F113" s="30"/>
    </row>
    <row r="114" spans="1:6" ht="12.75">
      <c r="A114" s="30"/>
      <c r="D114" s="30"/>
      <c r="E114" s="282">
        <f>IF(E112&lt;1,"Less than 100%!","")</f>
      </c>
      <c r="F114" s="30"/>
    </row>
    <row r="115" spans="1:6" ht="12.75">
      <c r="A115" s="31" t="s">
        <v>248</v>
      </c>
      <c r="D115" s="30"/>
      <c r="E115" s="30"/>
      <c r="F115" s="30"/>
    </row>
    <row r="116" spans="1:6" ht="12.75">
      <c r="A116" s="31" t="s">
        <v>245</v>
      </c>
      <c r="B116" s="245"/>
      <c r="C116" s="215" t="s">
        <v>177</v>
      </c>
      <c r="D116" s="30"/>
      <c r="E116" s="30"/>
      <c r="F116" s="30"/>
    </row>
    <row r="117" spans="1:6" ht="12.75">
      <c r="A117" s="31" t="s">
        <v>246</v>
      </c>
      <c r="D117" s="30"/>
      <c r="E117" s="57" t="s">
        <v>364</v>
      </c>
      <c r="F117" s="57" t="s">
        <v>230</v>
      </c>
    </row>
    <row r="118" spans="1:6" ht="12.75">
      <c r="A118" s="30"/>
      <c r="F118" s="30"/>
    </row>
    <row r="119" spans="1:18" ht="12.75">
      <c r="A119" s="30"/>
      <c r="B119" s="199">
        <v>16</v>
      </c>
      <c r="E119" s="271">
        <v>1</v>
      </c>
      <c r="F119" s="279">
        <f>E119*VLOOKUP(B119,$B$17:$K$65,10)</f>
        <v>1.4069434537961643</v>
      </c>
      <c r="Q119" s="268"/>
      <c r="R119" s="269"/>
    </row>
    <row r="120" spans="1:18" ht="12.75">
      <c r="A120" s="30"/>
      <c r="E120" s="256"/>
      <c r="F120" s="279"/>
      <c r="Q120" s="268"/>
      <c r="R120" s="269"/>
    </row>
    <row r="121" spans="1:18" ht="12.75">
      <c r="A121" s="30"/>
      <c r="B121" s="199">
        <v>1</v>
      </c>
      <c r="E121" s="271"/>
      <c r="F121" s="279">
        <f>E121*VLOOKUP(B121,$B$17:$K$65,10)</f>
        <v>0</v>
      </c>
      <c r="Q121" s="268"/>
      <c r="R121" s="269"/>
    </row>
    <row r="122" spans="1:18" ht="12.75">
      <c r="A122" s="30"/>
      <c r="E122" s="256"/>
      <c r="F122" s="279"/>
      <c r="Q122" s="268"/>
      <c r="R122" s="269"/>
    </row>
    <row r="123" spans="1:18" ht="12.75">
      <c r="A123" s="30"/>
      <c r="B123" s="199">
        <v>1</v>
      </c>
      <c r="E123" s="271"/>
      <c r="F123" s="279">
        <f>E123*VLOOKUP(B123,$B$17:$K$65,10)</f>
        <v>0</v>
      </c>
      <c r="Q123" s="268"/>
      <c r="R123" s="269"/>
    </row>
    <row r="124" spans="1:18" ht="12.75">
      <c r="A124" s="30"/>
      <c r="E124" s="256"/>
      <c r="F124" s="279"/>
      <c r="Q124" s="268"/>
      <c r="R124" s="269"/>
    </row>
    <row r="125" spans="1:18" ht="12.75">
      <c r="A125" s="30"/>
      <c r="B125" s="199">
        <v>4</v>
      </c>
      <c r="E125" s="271"/>
      <c r="F125" s="279">
        <f>E125*VLOOKUP(B125,$B$69:$F$77,5)</f>
        <v>0</v>
      </c>
      <c r="Q125" s="268"/>
      <c r="R125" s="269"/>
    </row>
    <row r="126" spans="1:18" ht="12.75">
      <c r="A126" s="30"/>
      <c r="E126" s="256"/>
      <c r="F126" s="279"/>
      <c r="Q126" s="268"/>
      <c r="R126" s="269"/>
    </row>
    <row r="127" spans="1:18" ht="12.75">
      <c r="A127" s="30"/>
      <c r="B127" s="199">
        <v>5</v>
      </c>
      <c r="E127" s="271"/>
      <c r="F127" s="279">
        <f>E127*VLOOKUP(B127,$B$69:$F$77,5)</f>
        <v>0</v>
      </c>
      <c r="Q127" s="268"/>
      <c r="R127" s="269"/>
    </row>
    <row r="128" spans="1:18" ht="12.75">
      <c r="A128" s="30"/>
      <c r="E128" s="256"/>
      <c r="F128" s="279"/>
      <c r="Q128" s="268"/>
      <c r="R128" s="269"/>
    </row>
    <row r="129" spans="1:18" ht="12.75">
      <c r="A129" s="30"/>
      <c r="D129" s="31" t="s">
        <v>243</v>
      </c>
      <c r="E129" s="281">
        <f>SUM(E119:E127)</f>
        <v>1</v>
      </c>
      <c r="F129" s="280">
        <f>SUM(F119:F127)</f>
        <v>1.4069434537961643</v>
      </c>
      <c r="Q129" s="268"/>
      <c r="R129" s="269"/>
    </row>
    <row r="130" spans="1:18" ht="12.75">
      <c r="A130" s="30"/>
      <c r="D130" s="30"/>
      <c r="E130" s="282">
        <f>IF(E129&gt;1,"Over 100%!","")</f>
      </c>
      <c r="F130" s="30"/>
      <c r="Q130" s="268"/>
      <c r="R130" s="269"/>
    </row>
    <row r="131" spans="1:18" ht="12.75">
      <c r="A131" s="30"/>
      <c r="D131" s="30"/>
      <c r="E131" s="282">
        <f>IF(E129&lt;1,"Less than 100%!","")</f>
      </c>
      <c r="F131" s="30"/>
      <c r="Q131" s="268"/>
      <c r="R131" s="269"/>
    </row>
    <row r="132" spans="1:18" ht="12.75">
      <c r="A132" s="30"/>
      <c r="D132" s="30"/>
      <c r="E132" s="30"/>
      <c r="F132" s="30"/>
      <c r="Q132" s="268"/>
      <c r="R132" s="269"/>
    </row>
    <row r="133" spans="1:18" ht="12.75">
      <c r="A133" s="31" t="s">
        <v>249</v>
      </c>
      <c r="D133" s="30"/>
      <c r="E133" s="30"/>
      <c r="F133" s="30"/>
      <c r="Q133" s="268"/>
      <c r="R133" s="269"/>
    </row>
    <row r="134" spans="1:18" ht="12.75">
      <c r="A134" s="31" t="s">
        <v>245</v>
      </c>
      <c r="B134" s="245" t="s">
        <v>177</v>
      </c>
      <c r="C134" s="215" t="s">
        <v>249</v>
      </c>
      <c r="F134" s="30"/>
      <c r="Q134" s="268"/>
      <c r="R134" s="269"/>
    </row>
    <row r="135" spans="1:18" ht="12.75">
      <c r="A135" s="31" t="s">
        <v>246</v>
      </c>
      <c r="E135" s="214" t="s">
        <v>364</v>
      </c>
      <c r="F135" s="57" t="s">
        <v>230</v>
      </c>
      <c r="Q135" s="268"/>
      <c r="R135" s="269"/>
    </row>
    <row r="136" spans="1:18" ht="12.75">
      <c r="A136" s="30"/>
      <c r="F136" s="30"/>
      <c r="Q136" s="268"/>
      <c r="R136" s="269"/>
    </row>
    <row r="137" spans="1:18" ht="12.75">
      <c r="A137" s="30"/>
      <c r="B137" s="199">
        <v>16</v>
      </c>
      <c r="E137" s="271">
        <v>0</v>
      </c>
      <c r="F137" s="279">
        <f>E137*VLOOKUP(B137,$B$17:$K$65,10)</f>
        <v>0</v>
      </c>
      <c r="Q137" s="268"/>
      <c r="R137" s="269"/>
    </row>
    <row r="138" spans="1:18" ht="12.75">
      <c r="A138" s="30"/>
      <c r="E138" s="272"/>
      <c r="F138" s="279"/>
      <c r="Q138" s="268"/>
      <c r="R138" s="269"/>
    </row>
    <row r="139" spans="1:18" ht="12.75">
      <c r="A139" s="30"/>
      <c r="B139" s="199">
        <v>17</v>
      </c>
      <c r="E139" s="271">
        <v>0</v>
      </c>
      <c r="F139" s="279">
        <f>E139*VLOOKUP(B139,$B$17:$K$65,10)</f>
        <v>0</v>
      </c>
      <c r="Q139" s="268"/>
      <c r="R139" s="269"/>
    </row>
    <row r="140" spans="1:18" ht="12.75">
      <c r="A140" s="30"/>
      <c r="E140" s="272"/>
      <c r="F140" s="279"/>
      <c r="Q140" s="268"/>
      <c r="R140" s="269"/>
    </row>
    <row r="141" spans="1:6" ht="12.75">
      <c r="A141" s="30"/>
      <c r="B141" s="199">
        <v>1</v>
      </c>
      <c r="E141" s="271"/>
      <c r="F141" s="279">
        <f>E141*VLOOKUP(B141,$B$17:$K$65,10)</f>
        <v>0</v>
      </c>
    </row>
    <row r="142" spans="1:6" ht="12.75">
      <c r="A142" s="30"/>
      <c r="E142" s="272"/>
      <c r="F142" s="279"/>
    </row>
    <row r="143" spans="1:6" ht="12.75">
      <c r="A143" s="30"/>
      <c r="B143" s="199">
        <v>2</v>
      </c>
      <c r="E143" s="271"/>
      <c r="F143" s="279">
        <f>E143*VLOOKUP(B143,$B$69:$F$77,5)</f>
        <v>0</v>
      </c>
    </row>
    <row r="144" spans="1:6" ht="12.75">
      <c r="A144" s="30"/>
      <c r="E144" s="272"/>
      <c r="F144" s="279"/>
    </row>
    <row r="145" spans="1:6" ht="12.75">
      <c r="A145" s="30"/>
      <c r="B145" s="199">
        <v>6</v>
      </c>
      <c r="E145" s="271"/>
      <c r="F145" s="279">
        <f>E145*VLOOKUP(B145,$B$69:$F$77,5)</f>
        <v>0</v>
      </c>
    </row>
    <row r="146" spans="1:6" ht="12.75">
      <c r="A146" s="30"/>
      <c r="E146" s="256"/>
      <c r="F146" s="279"/>
    </row>
    <row r="147" spans="1:6" ht="12.75">
      <c r="A147" s="30"/>
      <c r="D147" s="31" t="s">
        <v>243</v>
      </c>
      <c r="E147" s="281">
        <f>SUM(E137:E145)</f>
        <v>0</v>
      </c>
      <c r="F147" s="280">
        <f>SUM(F137:F145)</f>
        <v>0</v>
      </c>
    </row>
    <row r="148" spans="1:6" ht="12.75">
      <c r="A148" s="30"/>
      <c r="D148" s="30"/>
      <c r="E148" s="282">
        <f>IF(E147&gt;1,"Over 100%!","")</f>
      </c>
      <c r="F148" s="30"/>
    </row>
    <row r="149" spans="1:6" ht="12.75">
      <c r="A149" s="30"/>
      <c r="D149" s="30"/>
      <c r="E149" s="282" t="str">
        <f>IF(E147&lt;1,"Less than 100%!","")</f>
        <v>Less than 100%!</v>
      </c>
      <c r="F149" s="30"/>
    </row>
    <row r="150" spans="1:6" ht="12.75">
      <c r="A150" s="31" t="s">
        <v>247</v>
      </c>
      <c r="D150" s="30"/>
      <c r="E150" s="30"/>
      <c r="F150" s="30"/>
    </row>
    <row r="151" spans="1:6" ht="12.75">
      <c r="A151" s="31" t="s">
        <v>245</v>
      </c>
      <c r="B151" s="245"/>
      <c r="C151" s="215" t="s">
        <v>247</v>
      </c>
      <c r="D151" s="30"/>
      <c r="E151" s="30"/>
      <c r="F151" s="30"/>
    </row>
    <row r="152" spans="1:6" ht="12.75">
      <c r="A152" s="31" t="s">
        <v>246</v>
      </c>
      <c r="D152" s="30"/>
      <c r="E152" s="57" t="s">
        <v>364</v>
      </c>
      <c r="F152" s="57" t="s">
        <v>230</v>
      </c>
    </row>
    <row r="153" spans="1:6" ht="12.75">
      <c r="A153" s="30"/>
      <c r="D153" s="30"/>
      <c r="E153" s="30"/>
      <c r="F153" s="30"/>
    </row>
    <row r="154" spans="1:6" ht="12.75">
      <c r="A154" s="30"/>
      <c r="B154" s="199">
        <v>24</v>
      </c>
      <c r="E154" s="271"/>
      <c r="F154" s="279">
        <f>E154*VLOOKUP(B154,$B$17:$K$65,10)</f>
        <v>0</v>
      </c>
    </row>
    <row r="155" spans="1:6" ht="12.75">
      <c r="A155" s="30"/>
      <c r="E155" s="272"/>
      <c r="F155" s="279"/>
    </row>
    <row r="156" spans="1:6" ht="12.75">
      <c r="A156" s="30"/>
      <c r="B156" s="199">
        <v>1</v>
      </c>
      <c r="E156" s="271"/>
      <c r="F156" s="279">
        <f>E156*VLOOKUP(B156,$B$17:$K$65,10)</f>
        <v>0</v>
      </c>
    </row>
    <row r="157" spans="1:6" ht="12.75">
      <c r="A157" s="30"/>
      <c r="E157" s="272"/>
      <c r="F157" s="279"/>
    </row>
    <row r="158" spans="1:6" ht="12.75">
      <c r="A158" s="30"/>
      <c r="B158" s="199">
        <v>7</v>
      </c>
      <c r="E158" s="271"/>
      <c r="F158" s="279">
        <f>E158*VLOOKUP(B158,$B$17:$K$65,10)</f>
        <v>0</v>
      </c>
    </row>
    <row r="159" spans="1:6" ht="12.75">
      <c r="A159" s="30"/>
      <c r="E159" s="272"/>
      <c r="F159" s="279"/>
    </row>
    <row r="160" spans="1:6" ht="12.75">
      <c r="A160" s="30"/>
      <c r="B160" s="199">
        <v>1</v>
      </c>
      <c r="E160" s="271"/>
      <c r="F160" s="279">
        <f>E160*VLOOKUP(B160,$B$69:$F$77,5)</f>
        <v>0</v>
      </c>
    </row>
    <row r="161" spans="1:6" ht="12.75">
      <c r="A161" s="30"/>
      <c r="E161" s="272"/>
      <c r="F161" s="279"/>
    </row>
    <row r="162" spans="1:6" ht="12.75">
      <c r="A162" s="30"/>
      <c r="B162" s="199">
        <v>1</v>
      </c>
      <c r="E162" s="271"/>
      <c r="F162" s="279">
        <f>E162*VLOOKUP(B162,$B$69:$F$77,5)</f>
        <v>0</v>
      </c>
    </row>
    <row r="163" spans="1:6" ht="12.75">
      <c r="A163" s="30"/>
      <c r="E163" s="256"/>
      <c r="F163" s="279"/>
    </row>
    <row r="164" spans="1:6" ht="12.75">
      <c r="A164" s="30"/>
      <c r="D164" s="209" t="s">
        <v>243</v>
      </c>
      <c r="E164" s="281">
        <f>SUM(E154:E162)</f>
        <v>0</v>
      </c>
      <c r="F164" s="280">
        <f>SUM(F154:F162)</f>
        <v>0</v>
      </c>
    </row>
    <row r="165" spans="1:6" ht="12.75">
      <c r="A165" s="30"/>
      <c r="E165" s="282">
        <f>IF(E164&gt;1,"Over 100%!","")</f>
      </c>
      <c r="F165" s="30"/>
    </row>
    <row r="166" spans="1:6" ht="12.75">
      <c r="A166" s="30"/>
      <c r="E166" s="282" t="str">
        <f>IF(E164&lt;1,"Less than 100%!","")</f>
        <v>Less than 100%!</v>
      </c>
      <c r="F166" s="30"/>
    </row>
    <row r="167" spans="1:6" ht="12.75">
      <c r="A167" s="31" t="s">
        <v>250</v>
      </c>
      <c r="E167" s="30"/>
      <c r="F167" s="30"/>
    </row>
    <row r="168" spans="1:6" ht="12.75">
      <c r="A168" s="31" t="s">
        <v>245</v>
      </c>
      <c r="B168" s="245"/>
      <c r="C168" s="215" t="s">
        <v>250</v>
      </c>
      <c r="E168" s="30"/>
      <c r="F168" s="30"/>
    </row>
    <row r="169" spans="1:6" ht="12.75">
      <c r="A169" s="31" t="s">
        <v>246</v>
      </c>
      <c r="E169" s="57" t="s">
        <v>364</v>
      </c>
      <c r="F169" s="57" t="s">
        <v>230</v>
      </c>
    </row>
    <row r="170" spans="1:6" ht="12.75">
      <c r="A170" s="30"/>
      <c r="F170" s="30"/>
    </row>
    <row r="171" spans="1:6" ht="12.75">
      <c r="A171" s="30"/>
      <c r="B171" s="199">
        <v>1</v>
      </c>
      <c r="E171" s="271">
        <v>0.5</v>
      </c>
      <c r="F171" s="279">
        <f>E171*VLOOKUP(B171,$B$17:$K$65,10)</f>
        <v>0</v>
      </c>
    </row>
    <row r="172" spans="1:6" ht="12.75">
      <c r="A172" s="30"/>
      <c r="E172" s="272"/>
      <c r="F172" s="279"/>
    </row>
    <row r="173" spans="1:6" ht="12.75">
      <c r="A173" s="30"/>
      <c r="B173" s="199">
        <v>1</v>
      </c>
      <c r="E173" s="271"/>
      <c r="F173" s="279">
        <f>E173*VLOOKUP(B173,$B$17:$K$65,10)</f>
        <v>0</v>
      </c>
    </row>
    <row r="174" spans="1:6" ht="12.75">
      <c r="A174" s="30"/>
      <c r="E174" s="272"/>
      <c r="F174" s="279"/>
    </row>
    <row r="175" spans="1:6" ht="12.75">
      <c r="A175" s="30"/>
      <c r="B175" s="199">
        <v>1</v>
      </c>
      <c r="E175" s="271"/>
      <c r="F175" s="279">
        <f>E175*VLOOKUP(B175,$B$17:$K$65,10)</f>
        <v>0</v>
      </c>
    </row>
    <row r="176" spans="1:6" ht="12.75">
      <c r="A176" s="30"/>
      <c r="E176" s="272"/>
      <c r="F176" s="279"/>
    </row>
    <row r="177" spans="1:6" ht="12.75">
      <c r="A177" s="30"/>
      <c r="B177" s="199">
        <v>1</v>
      </c>
      <c r="E177" s="271"/>
      <c r="F177" s="279">
        <f>E177*VLOOKUP(B177,$B$69:$F$77,5)</f>
        <v>0</v>
      </c>
    </row>
    <row r="178" spans="1:6" ht="12.75">
      <c r="A178" s="30"/>
      <c r="E178" s="272"/>
      <c r="F178" s="279"/>
    </row>
    <row r="179" spans="1:6" ht="12.75">
      <c r="A179" s="30"/>
      <c r="B179" s="199">
        <v>1</v>
      </c>
      <c r="E179" s="271"/>
      <c r="F179" s="279">
        <f>E179*VLOOKUP(B179,$B$69:$F$77,5)</f>
        <v>0</v>
      </c>
    </row>
    <row r="180" spans="1:6" ht="12.75">
      <c r="A180" s="30"/>
      <c r="E180" s="256"/>
      <c r="F180" s="279"/>
    </row>
    <row r="181" spans="1:6" ht="12.75">
      <c r="A181" s="30"/>
      <c r="D181" s="209" t="s">
        <v>243</v>
      </c>
      <c r="E181" s="281">
        <f>SUM(E171:E179)</f>
        <v>0.5</v>
      </c>
      <c r="F181" s="280">
        <f>SUM(F171:F179)</f>
        <v>0</v>
      </c>
    </row>
    <row r="182" spans="1:6" ht="12.75">
      <c r="A182" s="30"/>
      <c r="E182" s="273">
        <f>IF(E181&gt;1,"Over 100%!","")</f>
      </c>
      <c r="F182" s="30"/>
    </row>
    <row r="183" spans="1:6" ht="12.75">
      <c r="A183" s="30"/>
      <c r="E183" s="273" t="str">
        <f>IF(E181&lt;1,"Less than 100%!","")</f>
        <v>Less than 100%!</v>
      </c>
      <c r="F183" s="30"/>
    </row>
    <row r="184" spans="1:6" ht="12.75">
      <c r="A184" s="31" t="s">
        <v>251</v>
      </c>
      <c r="F184" s="30"/>
    </row>
    <row r="185" spans="1:6" ht="12.75">
      <c r="A185" s="31" t="s">
        <v>245</v>
      </c>
      <c r="B185" s="245"/>
      <c r="C185" s="215" t="s">
        <v>370</v>
      </c>
      <c r="F185" s="30"/>
    </row>
    <row r="186" spans="1:6" ht="12.75">
      <c r="A186" s="31" t="s">
        <v>246</v>
      </c>
      <c r="E186" s="214" t="s">
        <v>364</v>
      </c>
      <c r="F186" s="57" t="s">
        <v>230</v>
      </c>
    </row>
    <row r="187" spans="1:6" ht="12.75">
      <c r="A187" s="30"/>
      <c r="F187" s="30"/>
    </row>
    <row r="188" spans="1:6" ht="12.75">
      <c r="A188" s="30"/>
      <c r="B188" s="199">
        <v>36</v>
      </c>
      <c r="E188" s="271">
        <v>0</v>
      </c>
      <c r="F188" s="279">
        <f>E188*VLOOKUP(B188,$B$17:$K$65,10)</f>
        <v>0</v>
      </c>
    </row>
    <row r="189" spans="1:6" ht="12.75">
      <c r="A189" s="30"/>
      <c r="E189" s="272"/>
      <c r="F189" s="279"/>
    </row>
    <row r="190" spans="1:6" ht="12.75">
      <c r="A190" s="30"/>
      <c r="B190" s="199">
        <v>1</v>
      </c>
      <c r="E190" s="271"/>
      <c r="F190" s="279">
        <f>E190*VLOOKUP(B190,$B$17:$K$65,10)</f>
        <v>0</v>
      </c>
    </row>
    <row r="191" spans="1:6" ht="12.75">
      <c r="A191" s="30"/>
      <c r="E191" s="272"/>
      <c r="F191" s="279"/>
    </row>
    <row r="192" spans="1:6" ht="12.75">
      <c r="A192" s="30"/>
      <c r="B192" s="199">
        <v>1</v>
      </c>
      <c r="E192" s="271"/>
      <c r="F192" s="279">
        <f>E192*VLOOKUP(B192,$B$17:$K$65,10)</f>
        <v>0</v>
      </c>
    </row>
    <row r="193" spans="1:6" ht="12.75">
      <c r="A193" s="30"/>
      <c r="E193" s="272"/>
      <c r="F193" s="279"/>
    </row>
    <row r="194" spans="1:6" ht="12.75">
      <c r="A194" s="30"/>
      <c r="B194" s="199">
        <v>1</v>
      </c>
      <c r="E194" s="271"/>
      <c r="F194" s="279">
        <f>E194*VLOOKUP(B194,$B$69:$F$77,5)</f>
        <v>0</v>
      </c>
    </row>
    <row r="195" spans="1:6" ht="12.75">
      <c r="A195" s="30"/>
      <c r="E195" s="272"/>
      <c r="F195" s="279"/>
    </row>
    <row r="196" spans="1:6" ht="12.75">
      <c r="A196" s="30"/>
      <c r="B196" s="199">
        <v>1</v>
      </c>
      <c r="E196" s="271"/>
      <c r="F196" s="279">
        <f>E196*VLOOKUP(B196,$B$69:$F$77,5)</f>
        <v>0</v>
      </c>
    </row>
    <row r="197" spans="1:6" ht="12.75">
      <c r="A197" s="30"/>
      <c r="E197" s="256"/>
      <c r="F197" s="279"/>
    </row>
    <row r="198" spans="1:6" ht="12.75">
      <c r="A198" s="30"/>
      <c r="D198" s="209" t="s">
        <v>243</v>
      </c>
      <c r="E198" s="281">
        <f>SUM(E188:E197)</f>
        <v>0</v>
      </c>
      <c r="F198" s="280">
        <f>SUM(F188:F196)</f>
        <v>0</v>
      </c>
    </row>
    <row r="199" spans="1:6" ht="12.75">
      <c r="A199" s="30"/>
      <c r="E199" s="273">
        <f>IF(E198&gt;1,"Over 100%!","")</f>
      </c>
      <c r="F199" s="30"/>
    </row>
    <row r="200" spans="1:6" ht="12.75">
      <c r="A200" s="30"/>
      <c r="E200" s="273" t="str">
        <f>IF(E198&lt;1,"Less than 100%!","")</f>
        <v>Less than 100%!</v>
      </c>
      <c r="F200" s="30"/>
    </row>
    <row r="201" spans="1:6" ht="12.75">
      <c r="A201" s="30"/>
      <c r="F201" s="30"/>
    </row>
    <row r="202" spans="1:6" ht="12.75">
      <c r="A202" s="31" t="s">
        <v>252</v>
      </c>
      <c r="F202" s="30"/>
    </row>
    <row r="203" spans="1:6" ht="12.75">
      <c r="A203" s="31" t="s">
        <v>245</v>
      </c>
      <c r="B203" s="245"/>
      <c r="C203" s="215" t="s">
        <v>371</v>
      </c>
      <c r="F203" s="30"/>
    </row>
    <row r="204" spans="1:6" ht="12.75">
      <c r="A204" s="31" t="s">
        <v>246</v>
      </c>
      <c r="E204" s="214" t="s">
        <v>364</v>
      </c>
      <c r="F204" s="57" t="s">
        <v>230</v>
      </c>
    </row>
    <row r="205" spans="1:6" ht="12.75">
      <c r="A205" s="30"/>
      <c r="F205" s="30"/>
    </row>
    <row r="206" spans="2:6" ht="12.75">
      <c r="B206" s="199">
        <v>2</v>
      </c>
      <c r="E206" s="271">
        <v>0</v>
      </c>
      <c r="F206" s="279">
        <f>E206*VLOOKUP(B206,$B$69:$F$77,5)</f>
        <v>0</v>
      </c>
    </row>
    <row r="207" spans="5:6" ht="12.75">
      <c r="E207" s="272"/>
      <c r="F207" s="279"/>
    </row>
    <row r="208" spans="2:6" ht="12.75">
      <c r="B208" s="199">
        <v>1</v>
      </c>
      <c r="E208" s="271"/>
      <c r="F208" s="279">
        <f>E208*VLOOKUP(B208,$B$69:$F$77,5)</f>
        <v>0</v>
      </c>
    </row>
    <row r="209" spans="5:6" ht="12.75">
      <c r="E209" s="272"/>
      <c r="F209" s="279"/>
    </row>
    <row r="210" spans="2:6" ht="12.75">
      <c r="B210" s="199">
        <v>1</v>
      </c>
      <c r="E210" s="271">
        <v>0</v>
      </c>
      <c r="F210" s="279">
        <f>E210*VLOOKUP(B210,$B$69:$F$77,5)</f>
        <v>0</v>
      </c>
    </row>
    <row r="211" spans="5:6" ht="12.75">
      <c r="E211" s="272"/>
      <c r="F211" s="279"/>
    </row>
    <row r="212" spans="2:6" ht="12.75">
      <c r="B212" s="199">
        <v>1</v>
      </c>
      <c r="E212" s="271"/>
      <c r="F212" s="279">
        <f>E212*VLOOKUP(B212,$B$69:$F$77,5)</f>
        <v>0</v>
      </c>
    </row>
    <row r="213" spans="5:6" ht="12.75">
      <c r="E213" s="272"/>
      <c r="F213" s="279"/>
    </row>
    <row r="214" spans="2:6" ht="12.75">
      <c r="B214" s="199">
        <v>1</v>
      </c>
      <c r="E214" s="271"/>
      <c r="F214" s="279">
        <f>E214*VLOOKUP(B214,$B$69:$F$77,5)</f>
        <v>0</v>
      </c>
    </row>
    <row r="215" spans="5:6" ht="12.75">
      <c r="E215" s="256"/>
      <c r="F215" s="279"/>
    </row>
    <row r="216" spans="4:6" ht="12.75">
      <c r="D216" s="209" t="s">
        <v>243</v>
      </c>
      <c r="E216" s="281">
        <f>SUM(E206:E214)</f>
        <v>0</v>
      </c>
      <c r="F216" s="280">
        <f>SUM(F206:F214)</f>
        <v>0</v>
      </c>
    </row>
    <row r="217" ht="12.75">
      <c r="E217" s="273">
        <f>IF(E216&gt;1,"Over 100%!","")</f>
      </c>
    </row>
    <row r="218" ht="12.75">
      <c r="E218" s="273" t="str">
        <f>IF(E216&lt;1,"Less than 100%!","")</f>
        <v>Less than 100%!</v>
      </c>
    </row>
  </sheetData>
  <sheetProtection sheet="1" objects="1" scenarios="1"/>
  <hyperlinks>
    <hyperlink ref="C3" location="'Input Value'!A1" display="FORWARD TO INPUT VALUES "/>
  </hyperlinks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3527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0" customWidth="1"/>
    <col min="2" max="2" width="34.00390625" style="30" customWidth="1"/>
    <col min="3" max="3" width="11.8515625" style="30" customWidth="1"/>
    <col min="4" max="4" width="13.57421875" style="30" bestFit="1" customWidth="1"/>
    <col min="5" max="5" width="30.28125" style="30" customWidth="1"/>
    <col min="6" max="6" width="12.7109375" style="30" customWidth="1"/>
    <col min="7" max="7" width="9.140625" style="311" customWidth="1"/>
    <col min="8" max="8" width="23.140625" style="30" customWidth="1"/>
    <col min="9" max="9" width="12.7109375" style="30" customWidth="1"/>
    <col min="10" max="10" width="9.140625" style="30" customWidth="1"/>
    <col min="11" max="11" width="9.140625" style="311" customWidth="1"/>
    <col min="12" max="12" width="23.28125" style="30" bestFit="1" customWidth="1"/>
    <col min="13" max="13" width="11.7109375" style="30" bestFit="1" customWidth="1"/>
    <col min="14" max="14" width="9.140625" style="30" customWidth="1"/>
    <col min="15" max="15" width="9.140625" style="311" customWidth="1"/>
    <col min="16" max="16" width="19.57421875" style="30" bestFit="1" customWidth="1"/>
    <col min="17" max="17" width="15.28125" style="30" customWidth="1"/>
    <col min="18" max="18" width="12.00390625" style="30" customWidth="1"/>
    <col min="19" max="19" width="12.140625" style="30" customWidth="1"/>
    <col min="20" max="20" width="9.140625" style="30" customWidth="1"/>
    <col min="21" max="21" width="9.140625" style="311" customWidth="1"/>
    <col min="22" max="22" width="40.140625" style="30" bestFit="1" customWidth="1"/>
    <col min="23" max="23" width="11.7109375" style="30" bestFit="1" customWidth="1"/>
    <col min="24" max="24" width="9.140625" style="312" customWidth="1"/>
    <col min="25" max="25" width="9.140625" style="30" customWidth="1"/>
    <col min="26" max="26" width="15.8515625" style="30" customWidth="1"/>
    <col min="27" max="27" width="16.140625" style="30" customWidth="1"/>
    <col min="28" max="28" width="9.140625" style="30" customWidth="1"/>
    <col min="29" max="29" width="9.140625" style="312" customWidth="1"/>
    <col min="30" max="30" width="9.140625" style="30" customWidth="1"/>
    <col min="31" max="31" width="20.8515625" style="30" bestFit="1" customWidth="1"/>
    <col min="32" max="16384" width="9.140625" style="30" customWidth="1"/>
  </cols>
  <sheetData>
    <row r="1" spans="7:15" ht="13.5" thickBot="1">
      <c r="G1" s="29"/>
      <c r="K1" s="29"/>
      <c r="O1" s="29"/>
    </row>
    <row r="2" spans="2:15" ht="13.5" thickBot="1">
      <c r="B2" s="287" t="s">
        <v>137</v>
      </c>
      <c r="C2" s="288"/>
      <c r="F2" s="31"/>
      <c r="G2" s="29"/>
      <c r="K2" s="29"/>
      <c r="O2" s="29"/>
    </row>
    <row r="3" spans="2:15" ht="13.5" thickBot="1">
      <c r="B3" s="193" t="s">
        <v>420</v>
      </c>
      <c r="C3" s="194"/>
      <c r="G3" s="29"/>
      <c r="K3" s="29"/>
      <c r="O3" s="29"/>
    </row>
    <row r="4" spans="2:15" ht="13.5" thickBot="1">
      <c r="B4" s="193" t="s">
        <v>421</v>
      </c>
      <c r="C4" s="194"/>
      <c r="G4" s="29"/>
      <c r="K4" s="29"/>
      <c r="O4" s="29"/>
    </row>
    <row r="5" spans="2:15" ht="13.5" thickBot="1">
      <c r="B5" s="193" t="s">
        <v>422</v>
      </c>
      <c r="C5" s="194"/>
      <c r="G5" s="29"/>
      <c r="K5" s="29"/>
      <c r="O5" s="29"/>
    </row>
    <row r="6" spans="2:15" ht="13.5" thickBot="1">
      <c r="B6" s="193" t="s">
        <v>423</v>
      </c>
      <c r="C6" s="194"/>
      <c r="G6" s="29"/>
      <c r="K6" s="29"/>
      <c r="O6" s="29"/>
    </row>
    <row r="7" spans="2:15" ht="13.5" thickBot="1">
      <c r="B7" s="193" t="s">
        <v>424</v>
      </c>
      <c r="C7" s="194"/>
      <c r="G7" s="29"/>
      <c r="K7" s="29"/>
      <c r="O7" s="29"/>
    </row>
    <row r="8" spans="2:15" ht="13.5" thickBot="1">
      <c r="B8" s="193" t="s">
        <v>138</v>
      </c>
      <c r="C8" s="194"/>
      <c r="G8" s="29"/>
      <c r="K8" s="29"/>
      <c r="O8" s="29"/>
    </row>
    <row r="9" spans="2:15" ht="13.5" thickBot="1">
      <c r="B9" s="193" t="s">
        <v>139</v>
      </c>
      <c r="C9" s="194"/>
      <c r="G9" s="29"/>
      <c r="K9" s="29"/>
      <c r="O9" s="29"/>
    </row>
    <row r="10" spans="2:15" ht="13.5" thickBot="1">
      <c r="B10" s="193" t="s">
        <v>140</v>
      </c>
      <c r="C10" s="194"/>
      <c r="G10" s="29"/>
      <c r="K10" s="29"/>
      <c r="O10" s="29"/>
    </row>
    <row r="11" spans="2:15" ht="13.5" thickBot="1">
      <c r="B11" s="193" t="s">
        <v>141</v>
      </c>
      <c r="C11" s="194"/>
      <c r="G11" s="29"/>
      <c r="K11" s="29"/>
      <c r="O11" s="29"/>
    </row>
    <row r="12" spans="2:15" ht="13.5" thickBot="1">
      <c r="B12" s="193" t="s">
        <v>425</v>
      </c>
      <c r="C12" s="194"/>
      <c r="G12" s="29"/>
      <c r="K12" s="29"/>
      <c r="O12" s="29"/>
    </row>
    <row r="13" spans="7:15" ht="12.75">
      <c r="G13" s="29"/>
      <c r="K13" s="29"/>
      <c r="O13" s="29"/>
    </row>
    <row r="14" spans="2:15" ht="15.75">
      <c r="B14" s="34" t="s">
        <v>419</v>
      </c>
      <c r="C14" s="31"/>
      <c r="D14" s="31"/>
      <c r="E14" s="31"/>
      <c r="G14" s="29"/>
      <c r="K14" s="29"/>
      <c r="O14" s="29"/>
    </row>
    <row r="15" spans="2:15" ht="15.75">
      <c r="B15" s="34" t="s">
        <v>444</v>
      </c>
      <c r="G15" s="29"/>
      <c r="K15" s="29"/>
      <c r="O15" s="29"/>
    </row>
    <row r="16" spans="7:15" ht="12.75">
      <c r="G16" s="29"/>
      <c r="K16" s="29"/>
      <c r="O16" s="29"/>
    </row>
    <row r="17" spans="7:15" ht="13.5" thickBot="1">
      <c r="G17" s="29"/>
      <c r="K17" s="29"/>
      <c r="O17" s="29"/>
    </row>
    <row r="18" spans="2:15" ht="13.5" thickBot="1">
      <c r="B18" s="35" t="s">
        <v>374</v>
      </c>
      <c r="C18" s="77"/>
      <c r="E18" s="129" t="s">
        <v>446</v>
      </c>
      <c r="F18" s="154"/>
      <c r="G18" s="29"/>
      <c r="K18" s="29"/>
      <c r="O18" s="29"/>
    </row>
    <row r="19" spans="2:15" ht="13.5" thickBot="1">
      <c r="B19" s="107" t="s">
        <v>357</v>
      </c>
      <c r="C19" s="151"/>
      <c r="E19" s="79" t="s">
        <v>161</v>
      </c>
      <c r="F19" s="297">
        <v>750</v>
      </c>
      <c r="G19" s="29"/>
      <c r="K19" s="29"/>
      <c r="O19" s="29"/>
    </row>
    <row r="20" spans="2:15" ht="12.75">
      <c r="B20" s="79" t="s">
        <v>16</v>
      </c>
      <c r="C20" s="298">
        <v>0.5</v>
      </c>
      <c r="D20" s="33"/>
      <c r="E20" s="79" t="s">
        <v>162</v>
      </c>
      <c r="F20" s="297">
        <v>400</v>
      </c>
      <c r="G20" s="29"/>
      <c r="K20" s="29"/>
      <c r="O20" s="29"/>
    </row>
    <row r="21" spans="2:15" ht="12.75">
      <c r="B21" s="79" t="s">
        <v>15</v>
      </c>
      <c r="C21" s="298">
        <v>0.08</v>
      </c>
      <c r="D21" s="33"/>
      <c r="E21" s="79" t="s">
        <v>163</v>
      </c>
      <c r="F21" s="297">
        <v>75</v>
      </c>
      <c r="G21" s="29"/>
      <c r="K21" s="29"/>
      <c r="O21" s="29"/>
    </row>
    <row r="22" spans="2:15" ht="12.75">
      <c r="B22" s="79" t="s">
        <v>14</v>
      </c>
      <c r="C22" s="299">
        <v>10</v>
      </c>
      <c r="D22" s="33"/>
      <c r="E22" s="79" t="s">
        <v>164</v>
      </c>
      <c r="F22" s="297">
        <v>100</v>
      </c>
      <c r="G22" s="29"/>
      <c r="K22" s="29"/>
      <c r="O22" s="29"/>
    </row>
    <row r="23" spans="2:15" ht="13.5" thickBot="1">
      <c r="B23" s="79" t="s">
        <v>89</v>
      </c>
      <c r="C23" s="149">
        <f>'Equipment &amp; Depreciation'!D91</f>
        <v>228046</v>
      </c>
      <c r="D23" s="33"/>
      <c r="E23" s="107" t="s">
        <v>101</v>
      </c>
      <c r="F23" s="344">
        <f>SUM(F19:F22)</f>
        <v>1325</v>
      </c>
      <c r="G23" s="29"/>
      <c r="K23" s="29"/>
      <c r="O23" s="29"/>
    </row>
    <row r="24" spans="2:15" ht="12.75">
      <c r="B24" s="79" t="s">
        <v>13</v>
      </c>
      <c r="C24" s="149">
        <f>C23*C20</f>
        <v>114023</v>
      </c>
      <c r="D24" s="33"/>
      <c r="G24" s="29"/>
      <c r="K24" s="29"/>
      <c r="O24" s="29"/>
    </row>
    <row r="25" spans="2:15" ht="13.5" thickBot="1">
      <c r="B25" s="79" t="s">
        <v>17</v>
      </c>
      <c r="C25" s="394">
        <f>F42</f>
        <v>76746.04511432082</v>
      </c>
      <c r="D25" s="33"/>
      <c r="G25" s="29"/>
      <c r="K25" s="29"/>
      <c r="O25" s="29"/>
    </row>
    <row r="26" spans="2:15" ht="13.5" thickBot="1">
      <c r="B26" s="159" t="s">
        <v>24</v>
      </c>
      <c r="C26" s="300">
        <v>0.06</v>
      </c>
      <c r="D26" s="33"/>
      <c r="E26" s="313" t="s">
        <v>353</v>
      </c>
      <c r="F26" s="314"/>
      <c r="G26" s="29"/>
      <c r="K26" s="29"/>
      <c r="O26" s="29"/>
    </row>
    <row r="27" spans="2:15" ht="12.75">
      <c r="B27" s="29"/>
      <c r="C27" s="132"/>
      <c r="D27" s="33"/>
      <c r="E27" s="315" t="s">
        <v>156</v>
      </c>
      <c r="F27" s="301">
        <v>0.6</v>
      </c>
      <c r="G27" s="29"/>
      <c r="K27" s="29"/>
      <c r="O27" s="29"/>
    </row>
    <row r="28" spans="2:15" ht="13.5" thickBot="1">
      <c r="B28" s="29"/>
      <c r="C28" s="158"/>
      <c r="D28" s="33"/>
      <c r="E28" s="79" t="s">
        <v>158</v>
      </c>
      <c r="F28" s="302">
        <v>0.17</v>
      </c>
      <c r="G28" s="29"/>
      <c r="J28" s="29"/>
      <c r="K28" s="29"/>
      <c r="L28" s="29"/>
      <c r="O28" s="29"/>
    </row>
    <row r="29" spans="2:15" ht="13.5" thickBot="1">
      <c r="B29" s="129" t="s">
        <v>90</v>
      </c>
      <c r="C29" s="160"/>
      <c r="D29" s="33"/>
      <c r="E29" s="79" t="s">
        <v>157</v>
      </c>
      <c r="F29" s="302">
        <v>0.1</v>
      </c>
      <c r="G29" s="29"/>
      <c r="J29" s="29"/>
      <c r="K29" s="29"/>
      <c r="L29" s="29"/>
      <c r="O29" s="29"/>
    </row>
    <row r="30" spans="2:15" ht="12.75">
      <c r="B30" s="79" t="s">
        <v>87</v>
      </c>
      <c r="C30" s="298">
        <v>0.06</v>
      </c>
      <c r="D30" s="29"/>
      <c r="E30" s="316" t="s">
        <v>159</v>
      </c>
      <c r="F30" s="302">
        <v>0.04</v>
      </c>
      <c r="G30" s="29"/>
      <c r="J30" s="29"/>
      <c r="K30" s="29"/>
      <c r="L30" s="29"/>
      <c r="O30" s="29"/>
    </row>
    <row r="31" spans="2:15" ht="13.5" thickBot="1">
      <c r="B31" s="159" t="s">
        <v>92</v>
      </c>
      <c r="C31" s="300">
        <v>0.3</v>
      </c>
      <c r="D31" s="29"/>
      <c r="E31" s="79" t="s">
        <v>160</v>
      </c>
      <c r="F31" s="317">
        <v>0.03368</v>
      </c>
      <c r="G31" s="29"/>
      <c r="J31" s="29"/>
      <c r="K31" s="29"/>
      <c r="L31" s="29"/>
      <c r="O31" s="29"/>
    </row>
    <row r="32" spans="2:15" ht="12.75">
      <c r="B32" s="29"/>
      <c r="C32" s="29"/>
      <c r="D32" s="29"/>
      <c r="E32" s="79" t="s">
        <v>352</v>
      </c>
      <c r="F32" s="303">
        <v>0.1425</v>
      </c>
      <c r="G32" s="29"/>
      <c r="J32" s="29"/>
      <c r="K32" s="29"/>
      <c r="L32" s="29"/>
      <c r="O32" s="29"/>
    </row>
    <row r="33" spans="2:15" ht="13.5" thickBot="1">
      <c r="B33" s="29"/>
      <c r="C33" s="29"/>
      <c r="E33" s="81" t="s">
        <v>355</v>
      </c>
      <c r="F33" s="318"/>
      <c r="G33" s="29"/>
      <c r="J33" s="29"/>
      <c r="K33" s="29"/>
      <c r="L33" s="29"/>
      <c r="M33" s="43"/>
      <c r="O33" s="29"/>
    </row>
    <row r="34" spans="2:15" ht="13.5" thickBot="1">
      <c r="B34" s="129" t="s">
        <v>453</v>
      </c>
      <c r="C34" s="288"/>
      <c r="E34" s="153" t="s">
        <v>356</v>
      </c>
      <c r="F34" s="319">
        <f>SUM(F27:F32)</f>
        <v>1.0861800000000001</v>
      </c>
      <c r="G34" s="29"/>
      <c r="J34" s="29"/>
      <c r="K34" s="29"/>
      <c r="L34" s="29"/>
      <c r="M34" s="144"/>
      <c r="O34" s="29"/>
    </row>
    <row r="35" spans="2:15" ht="12.75">
      <c r="B35" s="249" t="s">
        <v>283</v>
      </c>
      <c r="C35" s="302">
        <v>150</v>
      </c>
      <c r="F35" s="29"/>
      <c r="G35" s="29"/>
      <c r="J35" s="29"/>
      <c r="K35" s="29"/>
      <c r="L35" s="29"/>
      <c r="M35" s="145"/>
      <c r="O35" s="29"/>
    </row>
    <row r="36" spans="2:15" ht="13.5" thickBot="1">
      <c r="B36" s="249" t="s">
        <v>281</v>
      </c>
      <c r="C36" s="302">
        <v>100</v>
      </c>
      <c r="F36" s="29"/>
      <c r="G36" s="29"/>
      <c r="J36" s="29"/>
      <c r="K36" s="29"/>
      <c r="L36" s="29"/>
      <c r="M36" s="146"/>
      <c r="O36" s="29"/>
    </row>
    <row r="37" spans="2:15" ht="13.5" thickBot="1">
      <c r="B37" s="107" t="s">
        <v>50</v>
      </c>
      <c r="C37" s="319">
        <f>SUM(C35:C36)</f>
        <v>250</v>
      </c>
      <c r="E37" s="129" t="s">
        <v>17</v>
      </c>
      <c r="F37" s="320"/>
      <c r="G37" s="29"/>
      <c r="J37" s="29"/>
      <c r="K37" s="29"/>
      <c r="L37" s="29"/>
      <c r="M37" s="147"/>
      <c r="O37" s="29"/>
    </row>
    <row r="38" spans="5:15" ht="12.75">
      <c r="E38" s="79" t="s">
        <v>455</v>
      </c>
      <c r="F38" s="321">
        <f>'Market Projection'!D101</f>
        <v>49567.29511432082</v>
      </c>
      <c r="G38" s="29"/>
      <c r="K38" s="29"/>
      <c r="L38" s="31"/>
      <c r="M38" s="148"/>
      <c r="O38" s="29"/>
    </row>
    <row r="39" spans="5:15" ht="13.5" thickBot="1">
      <c r="E39" s="79" t="s">
        <v>358</v>
      </c>
      <c r="F39" s="304">
        <v>0.1</v>
      </c>
      <c r="G39" s="29"/>
      <c r="K39" s="29"/>
      <c r="L39" s="31"/>
      <c r="M39" s="43"/>
      <c r="O39" s="29"/>
    </row>
    <row r="40" spans="2:15" ht="13.5" thickBot="1">
      <c r="B40" s="129" t="s">
        <v>454</v>
      </c>
      <c r="C40" s="322"/>
      <c r="E40" s="79" t="s">
        <v>359</v>
      </c>
      <c r="F40" s="321">
        <f>F39*'Operations Summary'!D32</f>
        <v>27178.75</v>
      </c>
      <c r="G40" s="29"/>
      <c r="K40" s="29"/>
      <c r="L40" s="31"/>
      <c r="M40" s="43"/>
      <c r="O40" s="29"/>
    </row>
    <row r="41" spans="2:15" ht="12.75">
      <c r="B41" s="249" t="s">
        <v>258</v>
      </c>
      <c r="C41" s="302">
        <v>75</v>
      </c>
      <c r="E41" s="79" t="s">
        <v>360</v>
      </c>
      <c r="F41" s="302">
        <v>0</v>
      </c>
      <c r="G41" s="29"/>
      <c r="K41" s="29"/>
      <c r="L41" s="31"/>
      <c r="M41" s="144"/>
      <c r="O41" s="29"/>
    </row>
    <row r="42" spans="2:15" ht="13.5" thickBot="1">
      <c r="B42" s="249" t="s">
        <v>259</v>
      </c>
      <c r="C42" s="302">
        <v>100</v>
      </c>
      <c r="E42" s="107" t="s">
        <v>361</v>
      </c>
      <c r="F42" s="323">
        <f>SUM(F38,F40,F41)</f>
        <v>76746.04511432082</v>
      </c>
      <c r="G42" s="29"/>
      <c r="K42" s="29"/>
      <c r="L42" s="31"/>
      <c r="M42" s="145"/>
      <c r="O42" s="29"/>
    </row>
    <row r="43" spans="2:15" ht="12.75">
      <c r="B43" s="249" t="s">
        <v>261</v>
      </c>
      <c r="C43" s="302">
        <v>600</v>
      </c>
      <c r="G43" s="29"/>
      <c r="K43" s="29"/>
      <c r="L43" s="31"/>
      <c r="M43" s="146"/>
      <c r="O43" s="29"/>
    </row>
    <row r="44" spans="2:15" ht="13.5" thickBot="1">
      <c r="B44" s="249" t="s">
        <v>282</v>
      </c>
      <c r="C44" s="302">
        <v>500</v>
      </c>
      <c r="G44" s="29"/>
      <c r="K44" s="29"/>
      <c r="L44" s="31"/>
      <c r="M44" s="147"/>
      <c r="O44" s="29"/>
    </row>
    <row r="45" spans="2:15" ht="13.5" thickBot="1">
      <c r="B45" s="249" t="s">
        <v>260</v>
      </c>
      <c r="C45" s="302">
        <v>5000</v>
      </c>
      <c r="D45" s="29"/>
      <c r="E45" s="129" t="s">
        <v>46</v>
      </c>
      <c r="F45" s="154"/>
      <c r="G45" s="29"/>
      <c r="K45" s="29"/>
      <c r="O45" s="29"/>
    </row>
    <row r="46" spans="2:15" ht="12.75">
      <c r="B46" s="249" t="s">
        <v>262</v>
      </c>
      <c r="C46" s="302">
        <v>1260</v>
      </c>
      <c r="E46" s="79" t="s">
        <v>88</v>
      </c>
      <c r="F46" s="298">
        <v>0.01</v>
      </c>
      <c r="G46" s="75"/>
      <c r="K46" s="29"/>
      <c r="O46" s="29"/>
    </row>
    <row r="47" spans="2:15" ht="13.5" thickBot="1">
      <c r="B47" s="107" t="s">
        <v>50</v>
      </c>
      <c r="C47" s="319">
        <f>SUM(C41:C46)</f>
        <v>7535</v>
      </c>
      <c r="E47" s="136" t="s">
        <v>121</v>
      </c>
      <c r="F47" s="305">
        <v>0.03</v>
      </c>
      <c r="G47" s="75"/>
      <c r="K47" s="29"/>
      <c r="O47" s="29"/>
    </row>
    <row r="48" spans="5:15" ht="12.75">
      <c r="E48" s="136" t="s">
        <v>102</v>
      </c>
      <c r="F48" s="298">
        <v>0.02</v>
      </c>
      <c r="G48" s="30"/>
      <c r="K48" s="29"/>
      <c r="O48" s="29"/>
    </row>
    <row r="49" spans="5:15" ht="13.5" thickBot="1">
      <c r="E49" s="150" t="s">
        <v>103</v>
      </c>
      <c r="F49" s="306">
        <v>0.09</v>
      </c>
      <c r="G49" s="30"/>
      <c r="K49" s="29"/>
      <c r="O49" s="29"/>
    </row>
    <row r="50" spans="2:15" ht="16.5" thickBot="1">
      <c r="B50" s="129" t="s">
        <v>365</v>
      </c>
      <c r="C50" s="320"/>
      <c r="E50" s="34"/>
      <c r="G50" s="30"/>
      <c r="H50" s="29"/>
      <c r="K50" s="30"/>
      <c r="O50" s="29"/>
    </row>
    <row r="51" spans="2:15" ht="12.75">
      <c r="B51" s="79" t="s">
        <v>367</v>
      </c>
      <c r="C51" s="304">
        <v>0.1</v>
      </c>
      <c r="G51" s="30"/>
      <c r="H51" s="29"/>
      <c r="K51" s="30"/>
      <c r="O51" s="29"/>
    </row>
    <row r="52" spans="2:15" ht="13.5" thickBot="1">
      <c r="B52" s="324" t="s">
        <v>366</v>
      </c>
      <c r="C52" s="307">
        <v>1</v>
      </c>
      <c r="F52" s="64"/>
      <c r="G52" s="343"/>
      <c r="H52" s="343"/>
      <c r="K52" s="30"/>
      <c r="O52" s="29"/>
    </row>
    <row r="53" spans="6:15" ht="12.75">
      <c r="F53" s="396"/>
      <c r="G53" s="396"/>
      <c r="H53" s="396"/>
      <c r="K53" s="30"/>
      <c r="O53" s="29"/>
    </row>
    <row r="54" spans="6:15" ht="13.5" thickBot="1">
      <c r="F54" s="396"/>
      <c r="G54" s="396"/>
      <c r="H54" s="396"/>
      <c r="K54" s="30"/>
      <c r="O54" s="29"/>
    </row>
    <row r="55" spans="2:15" ht="13.5" thickBot="1">
      <c r="B55" s="129" t="s">
        <v>377</v>
      </c>
      <c r="C55" s="325"/>
      <c r="F55" s="396"/>
      <c r="G55" s="396"/>
      <c r="H55" s="396"/>
      <c r="K55" s="30"/>
      <c r="O55" s="29"/>
    </row>
    <row r="56" spans="2:31" ht="12.75">
      <c r="B56" s="79" t="s">
        <v>376</v>
      </c>
      <c r="C56" s="308">
        <v>5300</v>
      </c>
      <c r="F56" s="396"/>
      <c r="G56" s="396"/>
      <c r="H56" s="396"/>
      <c r="I56" s="36"/>
      <c r="K56" s="30"/>
      <c r="L56" s="36"/>
      <c r="O56" s="29"/>
      <c r="P56" s="36"/>
      <c r="V56" s="326"/>
      <c r="Z56" s="327" t="s">
        <v>45</v>
      </c>
      <c r="AE56" s="327" t="s">
        <v>53</v>
      </c>
    </row>
    <row r="57" spans="2:15" ht="13.5" thickBot="1">
      <c r="B57" s="159" t="s">
        <v>375</v>
      </c>
      <c r="C57" s="328">
        <f>C56*5.045</f>
        <v>26738.5</v>
      </c>
      <c r="E57" s="33"/>
      <c r="F57" s="397"/>
      <c r="G57" s="396"/>
      <c r="H57" s="396"/>
      <c r="I57" s="37"/>
      <c r="K57" s="30"/>
      <c r="O57" s="29"/>
    </row>
    <row r="58" spans="5:32" ht="13.5" thickBot="1">
      <c r="E58" s="38"/>
      <c r="F58" s="396"/>
      <c r="G58" s="396"/>
      <c r="H58" s="396"/>
      <c r="I58" s="38"/>
      <c r="J58" s="39"/>
      <c r="K58" s="30"/>
      <c r="L58" s="31"/>
      <c r="M58" s="45"/>
      <c r="O58" s="29"/>
      <c r="P58" s="38"/>
      <c r="Q58" s="329"/>
      <c r="R58" s="329"/>
      <c r="S58" s="329"/>
      <c r="V58" s="330"/>
      <c r="AE58" s="31" t="s">
        <v>54</v>
      </c>
      <c r="AF58" s="41">
        <v>0</v>
      </c>
    </row>
    <row r="59" spans="2:32" ht="13.5" thickBot="1">
      <c r="B59" s="129" t="s">
        <v>389</v>
      </c>
      <c r="C59" s="320"/>
      <c r="G59" s="30"/>
      <c r="H59" s="29"/>
      <c r="I59" s="31"/>
      <c r="J59" s="40"/>
      <c r="K59" s="30"/>
      <c r="L59" s="31"/>
      <c r="M59" s="50"/>
      <c r="O59" s="29"/>
      <c r="P59" s="31"/>
      <c r="Q59" s="45"/>
      <c r="R59" s="45"/>
      <c r="S59" s="45"/>
      <c r="V59" s="31"/>
      <c r="W59" s="50"/>
      <c r="AE59" s="31" t="s">
        <v>52</v>
      </c>
      <c r="AF59" s="50">
        <v>0</v>
      </c>
    </row>
    <row r="60" spans="2:32" ht="12.75">
      <c r="B60" s="331" t="s">
        <v>388</v>
      </c>
      <c r="C60" s="309">
        <v>5000</v>
      </c>
      <c r="G60" s="30"/>
      <c r="H60" s="29"/>
      <c r="I60" s="31"/>
      <c r="J60" s="40"/>
      <c r="K60" s="30"/>
      <c r="L60" s="31"/>
      <c r="M60" s="50"/>
      <c r="O60" s="29"/>
      <c r="P60" s="31"/>
      <c r="Q60" s="45"/>
      <c r="R60" s="45"/>
      <c r="S60" s="45"/>
      <c r="V60" s="31"/>
      <c r="W60" s="50"/>
      <c r="AE60" s="31"/>
      <c r="AF60" s="50"/>
    </row>
    <row r="61" spans="2:23" ht="13.5" thickBot="1">
      <c r="B61" s="324" t="s">
        <v>415</v>
      </c>
      <c r="C61" s="310">
        <v>0.03</v>
      </c>
      <c r="E61" s="41"/>
      <c r="F61" s="29"/>
      <c r="G61" s="29"/>
      <c r="K61" s="29"/>
      <c r="L61" s="31"/>
      <c r="M61" s="50"/>
      <c r="O61" s="29"/>
      <c r="P61" s="332"/>
      <c r="Q61" s="333"/>
      <c r="R61" s="333"/>
      <c r="S61" s="333"/>
      <c r="V61" s="31"/>
      <c r="W61" s="50"/>
    </row>
    <row r="62" spans="4:23" ht="12.75">
      <c r="D62" s="42"/>
      <c r="E62" s="41"/>
      <c r="G62" s="29"/>
      <c r="H62" s="31"/>
      <c r="I62" s="40"/>
      <c r="K62" s="29"/>
      <c r="L62" s="31"/>
      <c r="M62" s="50"/>
      <c r="O62" s="29"/>
      <c r="P62" s="31"/>
      <c r="Q62" s="45"/>
      <c r="R62" s="45"/>
      <c r="S62" s="45"/>
      <c r="V62" s="31"/>
      <c r="W62" s="50"/>
    </row>
    <row r="63" spans="4:23" ht="12.75">
      <c r="D63" s="42"/>
      <c r="G63" s="29"/>
      <c r="K63" s="29"/>
      <c r="L63" s="31"/>
      <c r="M63" s="45"/>
      <c r="O63" s="29"/>
      <c r="P63" s="332"/>
      <c r="Q63" s="333"/>
      <c r="R63" s="333"/>
      <c r="S63" s="333"/>
      <c r="V63" s="31"/>
      <c r="W63" s="50"/>
    </row>
    <row r="64" spans="7:23" ht="12.75">
      <c r="G64" s="29"/>
      <c r="H64" s="31"/>
      <c r="I64" s="40"/>
      <c r="K64" s="29"/>
      <c r="L64" s="31"/>
      <c r="M64" s="333"/>
      <c r="O64" s="29"/>
      <c r="P64" s="31"/>
      <c r="Q64" s="45"/>
      <c r="R64" s="45"/>
      <c r="S64" s="45"/>
      <c r="V64" s="31"/>
      <c r="W64" s="50"/>
    </row>
    <row r="65" spans="7:27" ht="12.75">
      <c r="G65" s="29"/>
      <c r="K65" s="29"/>
      <c r="M65" s="48"/>
      <c r="O65" s="29"/>
      <c r="P65" s="332"/>
      <c r="Q65" s="333"/>
      <c r="R65" s="333"/>
      <c r="S65" s="333"/>
      <c r="V65" s="31"/>
      <c r="W65" s="50"/>
      <c r="AA65" s="45"/>
    </row>
    <row r="66" spans="5:27" ht="12.75">
      <c r="E66" s="41"/>
      <c r="G66" s="29"/>
      <c r="H66" s="31"/>
      <c r="I66" s="40"/>
      <c r="K66" s="29"/>
      <c r="L66" s="31"/>
      <c r="M66" s="45"/>
      <c r="O66" s="29"/>
      <c r="P66" s="31"/>
      <c r="Q66" s="45"/>
      <c r="R66" s="45"/>
      <c r="S66" s="45"/>
      <c r="V66" s="31"/>
      <c r="W66" s="50"/>
      <c r="AA66" s="45"/>
    </row>
    <row r="67" spans="4:27" ht="12.75">
      <c r="D67" s="42"/>
      <c r="G67" s="29"/>
      <c r="H67" s="31"/>
      <c r="I67" s="43"/>
      <c r="J67" s="43"/>
      <c r="K67" s="64"/>
      <c r="L67" s="43"/>
      <c r="M67" s="50"/>
      <c r="O67" s="29"/>
      <c r="P67" s="332"/>
      <c r="Q67" s="333"/>
      <c r="R67" s="333"/>
      <c r="S67" s="333"/>
      <c r="T67" s="333"/>
      <c r="V67" s="31"/>
      <c r="W67" s="50"/>
      <c r="AA67" s="41"/>
    </row>
    <row r="68" spans="4:27" ht="12.75">
      <c r="D68" s="42"/>
      <c r="G68" s="29"/>
      <c r="I68" s="334"/>
      <c r="J68" s="53"/>
      <c r="K68" s="334"/>
      <c r="L68" s="33"/>
      <c r="O68" s="29"/>
      <c r="P68" s="332"/>
      <c r="Q68" s="333"/>
      <c r="R68" s="333"/>
      <c r="S68" s="333"/>
      <c r="T68" s="333"/>
      <c r="V68" s="31"/>
      <c r="W68" s="50"/>
      <c r="AA68" s="45"/>
    </row>
    <row r="69" spans="7:27" ht="12.75">
      <c r="G69" s="29"/>
      <c r="I69" s="334"/>
      <c r="J69" s="53"/>
      <c r="K69" s="334"/>
      <c r="L69" s="33"/>
      <c r="O69" s="29"/>
      <c r="P69" s="332"/>
      <c r="Q69" s="333"/>
      <c r="R69" s="333"/>
      <c r="S69" s="333"/>
      <c r="T69" s="333"/>
      <c r="V69" s="38"/>
      <c r="AA69" s="41"/>
    </row>
    <row r="70" spans="7:27" ht="12.75">
      <c r="G70" s="29"/>
      <c r="I70" s="334"/>
      <c r="J70" s="53"/>
      <c r="K70" s="334"/>
      <c r="L70" s="33"/>
      <c r="O70" s="29"/>
      <c r="P70" s="333"/>
      <c r="Q70" s="333"/>
      <c r="R70" s="333"/>
      <c r="S70" s="333"/>
      <c r="T70" s="333"/>
      <c r="V70" s="31"/>
      <c r="W70" s="50"/>
      <c r="AA70" s="45"/>
    </row>
    <row r="71" spans="7:27" ht="12.75">
      <c r="G71" s="29"/>
      <c r="I71" s="334"/>
      <c r="J71" s="53"/>
      <c r="K71" s="334"/>
      <c r="L71" s="33"/>
      <c r="O71" s="29"/>
      <c r="P71" s="335"/>
      <c r="Q71" s="335"/>
      <c r="R71" s="335"/>
      <c r="S71" s="335"/>
      <c r="T71" s="333"/>
      <c r="V71" s="31"/>
      <c r="W71" s="50"/>
      <c r="AA71" s="25"/>
    </row>
    <row r="72" spans="4:27" ht="12.75">
      <c r="D72" s="42"/>
      <c r="G72" s="29"/>
      <c r="I72" s="33"/>
      <c r="J72" s="33"/>
      <c r="K72" s="53"/>
      <c r="L72" s="33"/>
      <c r="O72" s="29"/>
      <c r="P72" s="333"/>
      <c r="Q72" s="333"/>
      <c r="R72" s="333"/>
      <c r="S72" s="333"/>
      <c r="T72" s="333"/>
      <c r="V72" s="31"/>
      <c r="W72" s="50"/>
      <c r="AA72" s="41"/>
    </row>
    <row r="73" spans="4:27" ht="12.75">
      <c r="D73" s="42"/>
      <c r="G73" s="29"/>
      <c r="K73" s="29"/>
      <c r="O73" s="29"/>
      <c r="P73" s="332"/>
      <c r="Q73" s="333"/>
      <c r="R73" s="333"/>
      <c r="S73" s="333"/>
      <c r="T73" s="333"/>
      <c r="V73" s="31"/>
      <c r="W73" s="50"/>
      <c r="AA73" s="18"/>
    </row>
    <row r="74" spans="7:27" ht="12.75">
      <c r="G74" s="29"/>
      <c r="K74" s="29"/>
      <c r="O74" s="29"/>
      <c r="P74" s="333"/>
      <c r="Q74" s="333"/>
      <c r="R74" s="333"/>
      <c r="S74" s="333"/>
      <c r="T74" s="333"/>
      <c r="V74" s="31"/>
      <c r="W74" s="50"/>
      <c r="AA74" s="336"/>
    </row>
    <row r="75" spans="7:27" ht="12.75">
      <c r="G75" s="29"/>
      <c r="K75" s="29"/>
      <c r="O75" s="29"/>
      <c r="P75" s="332"/>
      <c r="Q75" s="333"/>
      <c r="R75" s="333"/>
      <c r="S75" s="333"/>
      <c r="T75" s="333"/>
      <c r="AA75" s="18"/>
    </row>
    <row r="76" spans="5:27" ht="12.75">
      <c r="E76" s="41"/>
      <c r="G76" s="29"/>
      <c r="K76" s="29"/>
      <c r="O76" s="29"/>
      <c r="P76" s="333"/>
      <c r="Q76" s="333"/>
      <c r="R76" s="333"/>
      <c r="S76" s="333"/>
      <c r="T76" s="333"/>
      <c r="V76" s="38"/>
      <c r="AA76" s="18"/>
    </row>
    <row r="77" spans="4:27" ht="12.75">
      <c r="D77" s="42"/>
      <c r="E77" s="41"/>
      <c r="G77" s="29"/>
      <c r="K77" s="29"/>
      <c r="O77" s="29"/>
      <c r="P77" s="332"/>
      <c r="Q77" s="333"/>
      <c r="R77" s="333"/>
      <c r="S77" s="333"/>
      <c r="T77" s="333"/>
      <c r="W77" s="48"/>
      <c r="AA77" s="18"/>
    </row>
    <row r="78" spans="4:27" ht="12.75">
      <c r="D78" s="42"/>
      <c r="E78" s="31"/>
      <c r="F78" s="53"/>
      <c r="G78" s="53"/>
      <c r="H78" s="337"/>
      <c r="I78" s="53"/>
      <c r="J78" s="53"/>
      <c r="K78" s="28"/>
      <c r="O78" s="29"/>
      <c r="P78" s="333"/>
      <c r="Q78" s="333"/>
      <c r="R78" s="333"/>
      <c r="S78" s="333"/>
      <c r="T78" s="333"/>
      <c r="W78" s="48"/>
      <c r="AA78" s="18"/>
    </row>
    <row r="79" spans="6:27" ht="12.75">
      <c r="F79" s="334"/>
      <c r="G79" s="53"/>
      <c r="H79" s="53"/>
      <c r="I79" s="53"/>
      <c r="J79" s="53"/>
      <c r="K79" s="338"/>
      <c r="O79" s="29"/>
      <c r="P79" s="332"/>
      <c r="Q79" s="333"/>
      <c r="R79" s="333"/>
      <c r="S79" s="333"/>
      <c r="T79" s="333"/>
      <c r="W79" s="48"/>
      <c r="AA79" s="41"/>
    </row>
    <row r="80" spans="6:23" ht="12.75">
      <c r="F80" s="334"/>
      <c r="G80" s="53"/>
      <c r="H80" s="53"/>
      <c r="I80" s="53"/>
      <c r="J80" s="53"/>
      <c r="K80" s="338"/>
      <c r="O80" s="29"/>
      <c r="P80" s="333"/>
      <c r="Q80" s="333"/>
      <c r="R80" s="333"/>
      <c r="S80" s="333"/>
      <c r="T80" s="333"/>
      <c r="V80" s="31"/>
      <c r="W80" s="48"/>
    </row>
    <row r="81" spans="6:20" ht="12.75">
      <c r="F81" s="334"/>
      <c r="G81" s="53"/>
      <c r="H81" s="53"/>
      <c r="I81" s="53"/>
      <c r="J81" s="53"/>
      <c r="K81" s="338"/>
      <c r="O81" s="29"/>
      <c r="P81" s="332"/>
      <c r="Q81" s="333"/>
      <c r="R81" s="333"/>
      <c r="S81" s="333"/>
      <c r="T81" s="333"/>
    </row>
    <row r="82" spans="6:27" ht="12.75">
      <c r="F82" s="334"/>
      <c r="G82" s="53"/>
      <c r="H82" s="53"/>
      <c r="I82" s="53"/>
      <c r="J82" s="53"/>
      <c r="K82" s="338"/>
      <c r="O82" s="29"/>
      <c r="V82" s="38"/>
      <c r="AA82" s="45"/>
    </row>
    <row r="83" spans="6:27" ht="12.75">
      <c r="F83" s="334"/>
      <c r="G83" s="53"/>
      <c r="H83" s="53"/>
      <c r="I83" s="53"/>
      <c r="J83" s="53"/>
      <c r="K83" s="338"/>
      <c r="O83" s="29"/>
      <c r="V83" s="31"/>
      <c r="W83" s="48"/>
      <c r="AA83" s="45"/>
    </row>
    <row r="84" spans="6:27" ht="12.75">
      <c r="F84" s="334"/>
      <c r="G84" s="53"/>
      <c r="H84" s="53"/>
      <c r="I84" s="53"/>
      <c r="J84" s="53"/>
      <c r="K84" s="338"/>
      <c r="O84" s="29"/>
      <c r="V84" s="31"/>
      <c r="W84" s="50"/>
      <c r="AA84" s="45"/>
    </row>
    <row r="85" spans="6:27" ht="12.75">
      <c r="F85" s="53"/>
      <c r="G85" s="53"/>
      <c r="H85" s="53"/>
      <c r="I85" s="53"/>
      <c r="J85" s="53"/>
      <c r="K85" s="29"/>
      <c r="O85" s="29"/>
      <c r="V85" s="31"/>
      <c r="W85" s="48"/>
      <c r="AA85" s="45"/>
    </row>
    <row r="86" spans="6:27" ht="12.75">
      <c r="F86" s="53"/>
      <c r="G86" s="53"/>
      <c r="H86" s="53"/>
      <c r="I86" s="53"/>
      <c r="J86" s="53"/>
      <c r="K86" s="29"/>
      <c r="O86" s="29"/>
      <c r="V86" s="31"/>
      <c r="Z86" s="31"/>
      <c r="AA86" s="339"/>
    </row>
    <row r="87" spans="7:23" ht="12.75">
      <c r="G87" s="29"/>
      <c r="K87" s="29"/>
      <c r="O87" s="29"/>
      <c r="V87" s="31"/>
      <c r="W87" s="48"/>
    </row>
    <row r="88" spans="7:26" ht="12.75">
      <c r="G88" s="29"/>
      <c r="K88" s="29"/>
      <c r="O88" s="29"/>
      <c r="V88" s="31"/>
      <c r="W88" s="50"/>
      <c r="Z88" s="50"/>
    </row>
    <row r="89" spans="7:26" ht="12.75">
      <c r="G89" s="29"/>
      <c r="K89" s="29"/>
      <c r="O89" s="29"/>
      <c r="V89" s="31"/>
      <c r="W89" s="48"/>
      <c r="Z89" s="50"/>
    </row>
    <row r="90" spans="7:23" ht="12.75">
      <c r="G90" s="29"/>
      <c r="K90" s="29"/>
      <c r="O90" s="29"/>
      <c r="V90" s="31"/>
      <c r="W90" s="48"/>
    </row>
    <row r="91" spans="4:15" ht="12.75">
      <c r="D91" s="33"/>
      <c r="E91" s="33"/>
      <c r="F91" s="33"/>
      <c r="G91" s="53"/>
      <c r="H91" s="33"/>
      <c r="I91" s="33"/>
      <c r="J91" s="33"/>
      <c r="K91" s="53"/>
      <c r="L91" s="33"/>
      <c r="M91" s="33"/>
      <c r="N91" s="33"/>
      <c r="O91" s="29"/>
    </row>
    <row r="92" spans="4:23" ht="12.75">
      <c r="D92" s="33"/>
      <c r="E92" s="43"/>
      <c r="F92" s="43"/>
      <c r="G92" s="64"/>
      <c r="H92" s="33"/>
      <c r="I92" s="33"/>
      <c r="J92" s="33"/>
      <c r="K92" s="64"/>
      <c r="L92" s="43"/>
      <c r="M92" s="33"/>
      <c r="N92" s="33"/>
      <c r="O92" s="29"/>
      <c r="V92" s="31"/>
      <c r="W92" s="48"/>
    </row>
    <row r="93" spans="4:23" ht="12.75">
      <c r="D93" s="33"/>
      <c r="E93" s="33"/>
      <c r="F93" s="340"/>
      <c r="G93" s="53"/>
      <c r="H93" s="33"/>
      <c r="I93" s="33"/>
      <c r="J93" s="33"/>
      <c r="K93" s="64"/>
      <c r="L93" s="43"/>
      <c r="M93" s="33"/>
      <c r="N93" s="33"/>
      <c r="O93" s="29"/>
      <c r="V93" s="31"/>
      <c r="W93" s="48"/>
    </row>
    <row r="94" spans="4:23" ht="12.75">
      <c r="D94" s="33"/>
      <c r="E94" s="33"/>
      <c r="F94" s="340"/>
      <c r="G94" s="53"/>
      <c r="H94" s="33"/>
      <c r="I94" s="33"/>
      <c r="J94" s="33"/>
      <c r="K94" s="64"/>
      <c r="L94" s="43"/>
      <c r="M94" s="33"/>
      <c r="N94" s="33"/>
      <c r="O94" s="29"/>
      <c r="V94" s="31"/>
      <c r="W94" s="48"/>
    </row>
    <row r="95" spans="4:23" ht="12.75">
      <c r="D95" s="33"/>
      <c r="E95" s="33"/>
      <c r="F95" s="340"/>
      <c r="G95" s="53"/>
      <c r="H95" s="33"/>
      <c r="I95" s="33"/>
      <c r="J95" s="33"/>
      <c r="K95" s="53"/>
      <c r="L95" s="33"/>
      <c r="M95" s="340"/>
      <c r="N95" s="341"/>
      <c r="O95" s="29"/>
      <c r="V95" s="31"/>
      <c r="W95" s="48"/>
    </row>
    <row r="96" spans="4:23" ht="12.75">
      <c r="D96" s="33"/>
      <c r="E96" s="33"/>
      <c r="F96" s="340"/>
      <c r="G96" s="53"/>
      <c r="H96" s="33"/>
      <c r="I96" s="33"/>
      <c r="J96" s="33"/>
      <c r="K96" s="53"/>
      <c r="L96" s="33"/>
      <c r="M96" s="340"/>
      <c r="N96" s="341"/>
      <c r="O96" s="29"/>
      <c r="V96" s="31"/>
      <c r="W96" s="48"/>
    </row>
    <row r="97" spans="4:15" ht="12.75">
      <c r="D97" s="33"/>
      <c r="E97" s="33"/>
      <c r="F97" s="33"/>
      <c r="G97" s="53"/>
      <c r="H97" s="33"/>
      <c r="I97" s="33"/>
      <c r="J97" s="33"/>
      <c r="K97" s="53"/>
      <c r="L97" s="33"/>
      <c r="M97" s="340"/>
      <c r="N97" s="341"/>
      <c r="O97" s="29"/>
    </row>
    <row r="98" spans="4:23" ht="12.75">
      <c r="D98" s="33"/>
      <c r="E98" s="43"/>
      <c r="F98" s="33"/>
      <c r="G98" s="53"/>
      <c r="H98" s="53"/>
      <c r="I98" s="53"/>
      <c r="J98" s="33"/>
      <c r="K98" s="53"/>
      <c r="L98" s="33"/>
      <c r="M98" s="340"/>
      <c r="N98" s="341"/>
      <c r="O98" s="29"/>
      <c r="V98" s="31"/>
      <c r="W98" s="48"/>
    </row>
    <row r="99" spans="4:23" ht="12.75">
      <c r="D99" s="33"/>
      <c r="E99" s="43"/>
      <c r="F99" s="341"/>
      <c r="G99" s="53"/>
      <c r="H99" s="33"/>
      <c r="I99" s="341"/>
      <c r="J99" s="33"/>
      <c r="K99" s="53"/>
      <c r="L99" s="33"/>
      <c r="M99" s="340"/>
      <c r="N99" s="341"/>
      <c r="O99" s="29"/>
      <c r="V99" s="31"/>
      <c r="W99" s="48"/>
    </row>
    <row r="100" spans="4:15" ht="12.75">
      <c r="D100" s="33"/>
      <c r="E100" s="33"/>
      <c r="F100" s="341"/>
      <c r="G100" s="53"/>
      <c r="H100" s="33"/>
      <c r="I100" s="341"/>
      <c r="J100" s="33"/>
      <c r="K100" s="53"/>
      <c r="L100" s="33"/>
      <c r="M100" s="340"/>
      <c r="N100" s="341"/>
      <c r="O100" s="29"/>
    </row>
    <row r="101" spans="4:22" ht="12.75">
      <c r="D101" s="33"/>
      <c r="E101" s="33"/>
      <c r="F101" s="341"/>
      <c r="G101" s="53"/>
      <c r="H101" s="33"/>
      <c r="I101" s="341"/>
      <c r="J101" s="33"/>
      <c r="K101" s="53"/>
      <c r="L101" s="33"/>
      <c r="M101" s="340"/>
      <c r="N101" s="341"/>
      <c r="O101" s="29"/>
      <c r="V101" s="38"/>
    </row>
    <row r="102" spans="4:22" ht="12.75">
      <c r="D102" s="33"/>
      <c r="E102" s="33"/>
      <c r="F102" s="341"/>
      <c r="G102" s="53"/>
      <c r="H102" s="33"/>
      <c r="I102" s="341"/>
      <c r="J102" s="33"/>
      <c r="K102" s="53"/>
      <c r="L102" s="33"/>
      <c r="M102" s="340"/>
      <c r="N102" s="341"/>
      <c r="O102" s="29"/>
      <c r="V102" s="31"/>
    </row>
    <row r="103" spans="4:22" ht="12.75">
      <c r="D103" s="33"/>
      <c r="E103" s="33"/>
      <c r="F103" s="341"/>
      <c r="G103" s="53"/>
      <c r="H103" s="33"/>
      <c r="I103" s="341"/>
      <c r="J103" s="33"/>
      <c r="K103" s="53"/>
      <c r="L103" s="33"/>
      <c r="M103" s="340"/>
      <c r="N103" s="341"/>
      <c r="O103" s="29"/>
      <c r="V103" s="31"/>
    </row>
    <row r="104" spans="4:22" ht="12.75">
      <c r="D104" s="33"/>
      <c r="E104" s="33"/>
      <c r="F104" s="341"/>
      <c r="G104" s="53"/>
      <c r="H104" s="33"/>
      <c r="I104" s="341"/>
      <c r="J104" s="33"/>
      <c r="K104" s="53"/>
      <c r="L104" s="33"/>
      <c r="M104" s="33"/>
      <c r="N104" s="341"/>
      <c r="O104" s="29"/>
      <c r="V104" s="31"/>
    </row>
    <row r="105" spans="4:15" ht="12.75">
      <c r="D105" s="33"/>
      <c r="E105" s="33"/>
      <c r="F105" s="341"/>
      <c r="G105" s="53"/>
      <c r="H105" s="33"/>
      <c r="I105" s="341"/>
      <c r="J105" s="33"/>
      <c r="K105" s="53"/>
      <c r="L105" s="33"/>
      <c r="M105" s="33"/>
      <c r="N105" s="342"/>
      <c r="O105" s="29"/>
    </row>
    <row r="106" spans="4:15" ht="12.75">
      <c r="D106" s="33"/>
      <c r="E106" s="33"/>
      <c r="F106" s="341"/>
      <c r="G106" s="53"/>
      <c r="H106" s="33"/>
      <c r="I106" s="341"/>
      <c r="J106" s="33"/>
      <c r="K106" s="53"/>
      <c r="L106" s="33"/>
      <c r="M106" s="33"/>
      <c r="N106" s="33"/>
      <c r="O106" s="29"/>
    </row>
    <row r="107" spans="4:15" ht="12.75">
      <c r="D107" s="33"/>
      <c r="E107" s="33"/>
      <c r="F107" s="341"/>
      <c r="G107" s="53"/>
      <c r="H107" s="33"/>
      <c r="I107" s="341"/>
      <c r="J107" s="33"/>
      <c r="K107" s="53"/>
      <c r="L107" s="33"/>
      <c r="M107" s="33"/>
      <c r="N107" s="33"/>
      <c r="O107" s="29"/>
    </row>
    <row r="108" spans="4:15" ht="12.75">
      <c r="D108" s="33"/>
      <c r="E108" s="33"/>
      <c r="F108" s="341"/>
      <c r="G108" s="53"/>
      <c r="H108" s="33"/>
      <c r="I108" s="341"/>
      <c r="J108" s="33"/>
      <c r="K108" s="53"/>
      <c r="L108" s="33"/>
      <c r="M108" s="33"/>
      <c r="N108" s="33"/>
      <c r="O108" s="29"/>
    </row>
    <row r="109" spans="4:15" ht="12.75">
      <c r="D109" s="33"/>
      <c r="E109" s="33"/>
      <c r="F109" s="341"/>
      <c r="G109" s="53"/>
      <c r="H109" s="33"/>
      <c r="I109" s="341"/>
      <c r="J109" s="33"/>
      <c r="K109" s="53"/>
      <c r="L109" s="33"/>
      <c r="M109" s="33"/>
      <c r="N109" s="33"/>
      <c r="O109" s="29"/>
    </row>
    <row r="110" spans="4:15" ht="12.75">
      <c r="D110" s="33"/>
      <c r="E110" s="33"/>
      <c r="F110" s="341"/>
      <c r="G110" s="53"/>
      <c r="H110" s="33"/>
      <c r="I110" s="341"/>
      <c r="J110" s="33"/>
      <c r="K110" s="53"/>
      <c r="L110" s="33"/>
      <c r="M110" s="33"/>
      <c r="N110" s="33"/>
      <c r="O110" s="29"/>
    </row>
    <row r="111" spans="4:15" ht="12.75">
      <c r="D111" s="33"/>
      <c r="E111" s="33"/>
      <c r="F111" s="341"/>
      <c r="G111" s="53"/>
      <c r="H111" s="33"/>
      <c r="I111" s="341"/>
      <c r="J111" s="33"/>
      <c r="K111" s="53"/>
      <c r="L111" s="33"/>
      <c r="M111" s="33"/>
      <c r="N111" s="33"/>
      <c r="O111" s="29"/>
    </row>
    <row r="112" spans="4:15" ht="12.75">
      <c r="D112" s="33"/>
      <c r="E112" s="33"/>
      <c r="F112" s="341"/>
      <c r="G112" s="53"/>
      <c r="H112" s="33"/>
      <c r="I112" s="341"/>
      <c r="J112" s="33"/>
      <c r="K112" s="53"/>
      <c r="L112" s="33"/>
      <c r="M112" s="33"/>
      <c r="N112" s="33"/>
      <c r="O112" s="29"/>
    </row>
    <row r="113" spans="4:15" ht="12.75">
      <c r="D113" s="33"/>
      <c r="E113" s="33"/>
      <c r="F113" s="341"/>
      <c r="G113" s="53"/>
      <c r="H113" s="33"/>
      <c r="I113" s="341"/>
      <c r="J113" s="33"/>
      <c r="K113" s="53"/>
      <c r="L113" s="33"/>
      <c r="M113" s="33"/>
      <c r="N113" s="33"/>
      <c r="O113" s="29"/>
    </row>
    <row r="114" spans="4:15" ht="12.75">
      <c r="D114" s="33"/>
      <c r="E114" s="33"/>
      <c r="F114" s="341"/>
      <c r="G114" s="53"/>
      <c r="H114" s="33"/>
      <c r="I114" s="341"/>
      <c r="J114" s="33"/>
      <c r="K114" s="53"/>
      <c r="L114" s="33"/>
      <c r="M114" s="33"/>
      <c r="N114" s="33"/>
      <c r="O114" s="29"/>
    </row>
    <row r="115" spans="4:15" ht="12.75">
      <c r="D115" s="33"/>
      <c r="E115" s="33"/>
      <c r="F115" s="341"/>
      <c r="G115" s="53"/>
      <c r="H115" s="33"/>
      <c r="I115" s="341"/>
      <c r="J115" s="33"/>
      <c r="K115" s="53"/>
      <c r="L115" s="33"/>
      <c r="M115" s="33"/>
      <c r="N115" s="33"/>
      <c r="O115" s="29"/>
    </row>
    <row r="116" spans="4:15" ht="12.75">
      <c r="D116" s="33"/>
      <c r="E116" s="33"/>
      <c r="F116" s="341"/>
      <c r="G116" s="53"/>
      <c r="H116" s="33"/>
      <c r="I116" s="341"/>
      <c r="J116" s="33"/>
      <c r="K116" s="53"/>
      <c r="L116" s="33"/>
      <c r="M116" s="33"/>
      <c r="N116" s="33"/>
      <c r="O116" s="29"/>
    </row>
    <row r="117" spans="4:15" ht="12.75">
      <c r="D117" s="33"/>
      <c r="E117" s="33"/>
      <c r="F117" s="341"/>
      <c r="G117" s="53"/>
      <c r="H117" s="33"/>
      <c r="I117" s="341"/>
      <c r="J117" s="33"/>
      <c r="K117" s="53"/>
      <c r="L117" s="33"/>
      <c r="M117" s="33"/>
      <c r="N117" s="33"/>
      <c r="O117" s="29"/>
    </row>
    <row r="118" spans="4:15" ht="12.75">
      <c r="D118" s="33"/>
      <c r="E118" s="33"/>
      <c r="F118" s="341"/>
      <c r="G118" s="53"/>
      <c r="H118" s="33"/>
      <c r="I118" s="341"/>
      <c r="J118" s="33"/>
      <c r="K118" s="53"/>
      <c r="L118" s="33"/>
      <c r="M118" s="33"/>
      <c r="N118" s="33"/>
      <c r="O118" s="29"/>
    </row>
    <row r="119" spans="4:15" ht="12.75">
      <c r="D119" s="33"/>
      <c r="E119" s="33"/>
      <c r="F119" s="341"/>
      <c r="G119" s="53"/>
      <c r="H119" s="33"/>
      <c r="I119" s="341"/>
      <c r="J119" s="33"/>
      <c r="K119" s="53"/>
      <c r="L119" s="33"/>
      <c r="M119" s="33"/>
      <c r="N119" s="33"/>
      <c r="O119" s="29"/>
    </row>
    <row r="120" spans="4:15" ht="12.75">
      <c r="D120" s="33"/>
      <c r="E120" s="33"/>
      <c r="F120" s="341"/>
      <c r="G120" s="53"/>
      <c r="H120" s="33"/>
      <c r="I120" s="341"/>
      <c r="J120" s="33"/>
      <c r="K120" s="53"/>
      <c r="L120" s="33"/>
      <c r="M120" s="33"/>
      <c r="N120" s="33"/>
      <c r="O120" s="29"/>
    </row>
    <row r="121" spans="4:15" ht="12.75">
      <c r="D121" s="33"/>
      <c r="E121" s="43"/>
      <c r="F121" s="341"/>
      <c r="G121" s="53"/>
      <c r="H121" s="33"/>
      <c r="I121" s="341"/>
      <c r="J121" s="33"/>
      <c r="K121" s="53"/>
      <c r="L121" s="33"/>
      <c r="M121" s="33"/>
      <c r="N121" s="33"/>
      <c r="O121" s="29"/>
    </row>
    <row r="122" spans="4:15" ht="12.75">
      <c r="D122" s="33"/>
      <c r="E122" s="33"/>
      <c r="F122" s="341"/>
      <c r="G122" s="53"/>
      <c r="H122" s="33"/>
      <c r="I122" s="341"/>
      <c r="J122" s="33"/>
      <c r="K122" s="53"/>
      <c r="L122" s="33"/>
      <c r="M122" s="33"/>
      <c r="N122" s="33"/>
      <c r="O122" s="29"/>
    </row>
    <row r="123" spans="4:15" ht="12.75">
      <c r="D123" s="33"/>
      <c r="E123" s="33"/>
      <c r="F123" s="341"/>
      <c r="G123" s="53"/>
      <c r="H123" s="33"/>
      <c r="I123" s="341"/>
      <c r="J123" s="33"/>
      <c r="K123" s="53"/>
      <c r="L123" s="33"/>
      <c r="M123" s="33"/>
      <c r="N123" s="33"/>
      <c r="O123" s="29"/>
    </row>
    <row r="124" spans="4:15" ht="12.75">
      <c r="D124" s="33"/>
      <c r="E124" s="33"/>
      <c r="F124" s="341"/>
      <c r="G124" s="53"/>
      <c r="H124" s="33"/>
      <c r="I124" s="341"/>
      <c r="J124" s="33"/>
      <c r="K124" s="53"/>
      <c r="L124" s="33"/>
      <c r="M124" s="33"/>
      <c r="N124" s="33"/>
      <c r="O124" s="29"/>
    </row>
    <row r="125" spans="4:15" ht="12.75">
      <c r="D125" s="33"/>
      <c r="E125" s="33"/>
      <c r="F125" s="341"/>
      <c r="G125" s="53"/>
      <c r="H125" s="33"/>
      <c r="I125" s="341"/>
      <c r="J125" s="33"/>
      <c r="K125" s="53"/>
      <c r="L125" s="33"/>
      <c r="M125" s="33"/>
      <c r="N125" s="33"/>
      <c r="O125" s="29"/>
    </row>
    <row r="126" spans="4:15" ht="12.75">
      <c r="D126" s="33"/>
      <c r="E126" s="43"/>
      <c r="F126" s="341"/>
      <c r="G126" s="53"/>
      <c r="H126" s="33"/>
      <c r="I126" s="341"/>
      <c r="J126" s="33"/>
      <c r="K126" s="53"/>
      <c r="L126" s="33"/>
      <c r="M126" s="33"/>
      <c r="N126" s="33"/>
      <c r="O126" s="29"/>
    </row>
    <row r="127" spans="4:15" ht="12.75">
      <c r="D127" s="33"/>
      <c r="E127" s="33"/>
      <c r="F127" s="341"/>
      <c r="G127" s="53"/>
      <c r="H127" s="33"/>
      <c r="I127" s="341"/>
      <c r="J127" s="33"/>
      <c r="K127" s="53"/>
      <c r="L127" s="33"/>
      <c r="M127" s="33"/>
      <c r="N127" s="33"/>
      <c r="O127" s="29"/>
    </row>
    <row r="128" spans="4:15" ht="12.75">
      <c r="D128" s="33"/>
      <c r="E128" s="33"/>
      <c r="F128" s="341"/>
      <c r="G128" s="53"/>
      <c r="H128" s="33"/>
      <c r="I128" s="341"/>
      <c r="J128" s="33"/>
      <c r="K128" s="53"/>
      <c r="L128" s="33"/>
      <c r="M128" s="33"/>
      <c r="N128" s="33"/>
      <c r="O128" s="29"/>
    </row>
    <row r="129" spans="4:15" ht="12.75">
      <c r="D129" s="33"/>
      <c r="E129" s="33"/>
      <c r="F129" s="341"/>
      <c r="G129" s="53"/>
      <c r="H129" s="33"/>
      <c r="I129" s="341"/>
      <c r="J129" s="33"/>
      <c r="K129" s="53"/>
      <c r="L129" s="33"/>
      <c r="M129" s="33"/>
      <c r="N129" s="33"/>
      <c r="O129" s="29"/>
    </row>
    <row r="130" spans="4:15" ht="12.75">
      <c r="D130" s="33"/>
      <c r="E130" s="33"/>
      <c r="F130" s="341"/>
      <c r="G130" s="53"/>
      <c r="H130" s="33"/>
      <c r="I130" s="341"/>
      <c r="J130" s="33"/>
      <c r="K130" s="53"/>
      <c r="L130" s="33"/>
      <c r="M130" s="33"/>
      <c r="N130" s="33"/>
      <c r="O130" s="29"/>
    </row>
    <row r="131" spans="4:15" ht="12.75">
      <c r="D131" s="33"/>
      <c r="E131" s="33"/>
      <c r="F131" s="341"/>
      <c r="G131" s="53"/>
      <c r="H131" s="33"/>
      <c r="I131" s="341"/>
      <c r="J131" s="33"/>
      <c r="K131" s="53"/>
      <c r="L131" s="33"/>
      <c r="M131" s="33"/>
      <c r="N131" s="33"/>
      <c r="O131" s="29"/>
    </row>
    <row r="132" spans="4:15" ht="12.75">
      <c r="D132" s="33"/>
      <c r="E132" s="33"/>
      <c r="F132" s="341"/>
      <c r="G132" s="53"/>
      <c r="H132" s="33"/>
      <c r="I132" s="341"/>
      <c r="J132" s="33"/>
      <c r="K132" s="53"/>
      <c r="L132" s="33"/>
      <c r="M132" s="33"/>
      <c r="N132" s="33"/>
      <c r="O132" s="29"/>
    </row>
    <row r="133" spans="4:15" ht="12.75">
      <c r="D133" s="33"/>
      <c r="E133" s="33"/>
      <c r="F133" s="341"/>
      <c r="G133" s="53"/>
      <c r="H133" s="33"/>
      <c r="I133" s="341"/>
      <c r="J133" s="33"/>
      <c r="K133" s="53"/>
      <c r="L133" s="33"/>
      <c r="M133" s="33"/>
      <c r="N133" s="33"/>
      <c r="O133" s="29"/>
    </row>
    <row r="134" spans="4:15" ht="12.75">
      <c r="D134" s="33"/>
      <c r="E134" s="33"/>
      <c r="F134" s="33"/>
      <c r="G134" s="53"/>
      <c r="H134" s="33"/>
      <c r="I134" s="33"/>
      <c r="J134" s="33"/>
      <c r="K134" s="53"/>
      <c r="L134" s="33"/>
      <c r="M134" s="33"/>
      <c r="N134" s="33"/>
      <c r="O134" s="29"/>
    </row>
    <row r="135" spans="4:15" ht="12.75">
      <c r="D135" s="33"/>
      <c r="E135" s="43"/>
      <c r="F135" s="33"/>
      <c r="G135" s="53"/>
      <c r="H135" s="33"/>
      <c r="I135" s="33"/>
      <c r="J135" s="33"/>
      <c r="K135" s="53"/>
      <c r="L135" s="33"/>
      <c r="M135" s="33"/>
      <c r="N135" s="33"/>
      <c r="O135" s="29"/>
    </row>
    <row r="136" spans="4:15" ht="12.75">
      <c r="D136" s="33"/>
      <c r="E136" s="43"/>
      <c r="F136" s="43"/>
      <c r="G136" s="64"/>
      <c r="H136" s="33"/>
      <c r="I136" s="33"/>
      <c r="J136" s="33"/>
      <c r="K136" s="53"/>
      <c r="L136" s="33"/>
      <c r="M136" s="33"/>
      <c r="N136" s="33"/>
      <c r="O136" s="29"/>
    </row>
    <row r="137" spans="4:15" ht="12.75">
      <c r="D137" s="33"/>
      <c r="E137" s="33"/>
      <c r="F137" s="341"/>
      <c r="G137" s="334"/>
      <c r="H137" s="33"/>
      <c r="I137" s="33"/>
      <c r="J137" s="33"/>
      <c r="K137" s="53"/>
      <c r="L137" s="33"/>
      <c r="M137" s="33"/>
      <c r="N137" s="33"/>
      <c r="O137" s="29"/>
    </row>
    <row r="138" spans="4:15" ht="12.75">
      <c r="D138" s="33"/>
      <c r="E138" s="33"/>
      <c r="F138" s="341"/>
      <c r="G138" s="334"/>
      <c r="H138" s="33"/>
      <c r="I138" s="33"/>
      <c r="J138" s="33"/>
      <c r="K138" s="53"/>
      <c r="L138" s="33"/>
      <c r="M138" s="33"/>
      <c r="N138" s="33"/>
      <c r="O138" s="29"/>
    </row>
    <row r="139" spans="4:15" ht="12.75">
      <c r="D139" s="33"/>
      <c r="E139" s="33"/>
      <c r="F139" s="341"/>
      <c r="G139" s="334"/>
      <c r="H139" s="33"/>
      <c r="I139" s="33"/>
      <c r="J139" s="33"/>
      <c r="K139" s="53"/>
      <c r="L139" s="33"/>
      <c r="M139" s="33"/>
      <c r="N139" s="33"/>
      <c r="O139" s="29"/>
    </row>
    <row r="140" spans="4:15" ht="12.75">
      <c r="D140" s="33"/>
      <c r="E140" s="33"/>
      <c r="F140" s="341"/>
      <c r="G140" s="334"/>
      <c r="H140" s="33"/>
      <c r="I140" s="33"/>
      <c r="J140" s="33"/>
      <c r="K140" s="53"/>
      <c r="L140" s="33"/>
      <c r="M140" s="33"/>
      <c r="N140" s="33"/>
      <c r="O140" s="29"/>
    </row>
    <row r="141" spans="4:15" ht="12.75">
      <c r="D141" s="33"/>
      <c r="E141" s="33"/>
      <c r="F141" s="341"/>
      <c r="G141" s="334"/>
      <c r="H141" s="33"/>
      <c r="I141" s="33"/>
      <c r="J141" s="33"/>
      <c r="K141" s="53"/>
      <c r="L141" s="33"/>
      <c r="M141" s="33"/>
      <c r="N141" s="33"/>
      <c r="O141" s="29"/>
    </row>
    <row r="142" spans="4:15" ht="12.75">
      <c r="D142" s="33"/>
      <c r="E142" s="33"/>
      <c r="F142" s="341"/>
      <c r="G142" s="334"/>
      <c r="H142" s="33"/>
      <c r="I142" s="33"/>
      <c r="J142" s="33"/>
      <c r="K142" s="53"/>
      <c r="L142" s="33"/>
      <c r="M142" s="33"/>
      <c r="N142" s="33"/>
      <c r="O142" s="29"/>
    </row>
    <row r="143" spans="4:15" ht="12.75">
      <c r="D143" s="33"/>
      <c r="E143" s="33"/>
      <c r="F143" s="341"/>
      <c r="G143" s="334"/>
      <c r="H143" s="33"/>
      <c r="I143" s="33"/>
      <c r="J143" s="33"/>
      <c r="K143" s="53"/>
      <c r="L143" s="33"/>
      <c r="M143" s="33"/>
      <c r="N143" s="33"/>
      <c r="O143" s="29"/>
    </row>
    <row r="144" spans="4:15" ht="12.75">
      <c r="D144" s="33"/>
      <c r="E144" s="33"/>
      <c r="F144" s="341"/>
      <c r="G144" s="334"/>
      <c r="H144" s="33"/>
      <c r="I144" s="33"/>
      <c r="J144" s="33"/>
      <c r="K144" s="53"/>
      <c r="L144" s="33"/>
      <c r="M144" s="33"/>
      <c r="N144" s="33"/>
      <c r="O144" s="29"/>
    </row>
    <row r="145" spans="7:15" ht="12.75">
      <c r="G145" s="29"/>
      <c r="K145" s="29"/>
      <c r="O145" s="29"/>
    </row>
    <row r="146" spans="7:15" ht="12.75">
      <c r="G146" s="29"/>
      <c r="K146" s="29"/>
      <c r="O146" s="29"/>
    </row>
    <row r="147" spans="7:15" ht="12.75">
      <c r="G147" s="29"/>
      <c r="K147" s="29"/>
      <c r="O147" s="29"/>
    </row>
    <row r="148" spans="7:15" ht="12.75">
      <c r="G148" s="29"/>
      <c r="K148" s="29"/>
      <c r="O148" s="29"/>
    </row>
    <row r="149" spans="7:15" ht="12.75">
      <c r="G149" s="29"/>
      <c r="K149" s="29"/>
      <c r="O149" s="29"/>
    </row>
    <row r="150" spans="7:15" ht="12.75">
      <c r="G150" s="29"/>
      <c r="K150" s="29"/>
      <c r="O150" s="29"/>
    </row>
    <row r="151" spans="7:15" ht="12.75">
      <c r="G151" s="29"/>
      <c r="K151" s="29"/>
      <c r="O151" s="29"/>
    </row>
    <row r="152" spans="7:15" ht="12.75">
      <c r="G152" s="29"/>
      <c r="K152" s="29"/>
      <c r="O152" s="29"/>
    </row>
    <row r="153" spans="7:15" ht="12.75">
      <c r="G153" s="29"/>
      <c r="K153" s="29"/>
      <c r="O153" s="29"/>
    </row>
    <row r="154" spans="7:15" ht="12.75">
      <c r="G154" s="29"/>
      <c r="K154" s="29"/>
      <c r="O154" s="29"/>
    </row>
    <row r="155" spans="7:15" ht="12.75">
      <c r="G155" s="29"/>
      <c r="K155" s="29"/>
      <c r="O155" s="29"/>
    </row>
    <row r="156" spans="7:15" ht="12.75">
      <c r="G156" s="29"/>
      <c r="K156" s="29"/>
      <c r="O156" s="29"/>
    </row>
    <row r="157" spans="7:15" ht="12.75">
      <c r="G157" s="29"/>
      <c r="K157" s="29"/>
      <c r="O157" s="29"/>
    </row>
    <row r="158" spans="7:15" ht="12.75">
      <c r="G158" s="29"/>
      <c r="K158" s="29"/>
      <c r="O158" s="29"/>
    </row>
    <row r="159" spans="7:15" ht="12.75">
      <c r="G159" s="29"/>
      <c r="K159" s="29"/>
      <c r="O159" s="29"/>
    </row>
    <row r="160" spans="7:15" ht="12.75">
      <c r="G160" s="29"/>
      <c r="K160" s="29"/>
      <c r="O160" s="29"/>
    </row>
    <row r="161" spans="7:15" ht="12.75">
      <c r="G161" s="29"/>
      <c r="K161" s="29"/>
      <c r="O161" s="29"/>
    </row>
    <row r="162" spans="7:15" ht="12.75">
      <c r="G162" s="29"/>
      <c r="K162" s="29"/>
      <c r="O162" s="29"/>
    </row>
    <row r="163" spans="7:15" ht="12.75">
      <c r="G163" s="29"/>
      <c r="K163" s="29"/>
      <c r="O163" s="29"/>
    </row>
    <row r="164" spans="7:15" ht="12.75">
      <c r="G164" s="29"/>
      <c r="K164" s="29"/>
      <c r="O164" s="29"/>
    </row>
    <row r="165" spans="7:15" ht="12.75">
      <c r="G165" s="29"/>
      <c r="K165" s="29"/>
      <c r="O165" s="29"/>
    </row>
    <row r="166" spans="7:15" ht="12.75">
      <c r="G166" s="29"/>
      <c r="K166" s="29"/>
      <c r="O166" s="29"/>
    </row>
    <row r="167" spans="7:15" ht="12.75">
      <c r="G167" s="29"/>
      <c r="K167" s="29"/>
      <c r="O167" s="29"/>
    </row>
    <row r="168" spans="7:15" ht="12.75">
      <c r="G168" s="29"/>
      <c r="K168" s="29"/>
      <c r="O168" s="29"/>
    </row>
    <row r="169" spans="7:15" ht="12.75">
      <c r="G169" s="29"/>
      <c r="K169" s="29"/>
      <c r="O169" s="29"/>
    </row>
    <row r="170" spans="7:15" ht="12.75">
      <c r="G170" s="29"/>
      <c r="K170" s="29"/>
      <c r="O170" s="29"/>
    </row>
    <row r="171" spans="7:15" ht="12.75">
      <c r="G171" s="29"/>
      <c r="K171" s="29"/>
      <c r="O171" s="29"/>
    </row>
    <row r="172" spans="7:15" ht="12.75">
      <c r="G172" s="29"/>
      <c r="K172" s="29"/>
      <c r="O172" s="29"/>
    </row>
    <row r="173" spans="7:15" ht="12.75">
      <c r="G173" s="29"/>
      <c r="K173" s="29"/>
      <c r="O173" s="29"/>
    </row>
    <row r="174" spans="7:15" ht="12.75">
      <c r="G174" s="29"/>
      <c r="K174" s="29"/>
      <c r="O174" s="29"/>
    </row>
    <row r="175" spans="7:15" ht="12.75">
      <c r="G175" s="29"/>
      <c r="K175" s="29"/>
      <c r="O175" s="29"/>
    </row>
    <row r="176" spans="7:15" ht="12.75">
      <c r="G176" s="29"/>
      <c r="K176" s="29"/>
      <c r="O176" s="29"/>
    </row>
    <row r="177" spans="7:15" ht="12.75">
      <c r="G177" s="29"/>
      <c r="K177" s="29"/>
      <c r="O177" s="29"/>
    </row>
    <row r="178" spans="7:15" ht="12.75">
      <c r="G178" s="29"/>
      <c r="K178" s="29"/>
      <c r="O178" s="29"/>
    </row>
    <row r="179" spans="11:15" ht="12.75">
      <c r="K179" s="29"/>
      <c r="O179" s="29"/>
    </row>
    <row r="180" spans="11:15" ht="12.75">
      <c r="K180" s="29"/>
      <c r="O180" s="29"/>
    </row>
    <row r="181" spans="11:15" ht="12.75">
      <c r="K181" s="29"/>
      <c r="O181" s="29"/>
    </row>
    <row r="182" spans="11:15" ht="12.75">
      <c r="K182" s="29"/>
      <c r="O182" s="29"/>
    </row>
    <row r="183" spans="11:15" ht="12.75">
      <c r="K183" s="29"/>
      <c r="O183" s="29"/>
    </row>
    <row r="184" spans="11:15" ht="12.75">
      <c r="K184" s="29"/>
      <c r="O184" s="29"/>
    </row>
    <row r="185" spans="11:15" ht="12.75">
      <c r="K185" s="29"/>
      <c r="O185" s="29"/>
    </row>
    <row r="186" spans="11:15" ht="12.75">
      <c r="K186" s="29"/>
      <c r="O186" s="29"/>
    </row>
    <row r="187" spans="11:15" ht="12.75">
      <c r="K187" s="29"/>
      <c r="O187" s="29"/>
    </row>
    <row r="188" spans="11:15" ht="12.75">
      <c r="K188" s="29"/>
      <c r="O188" s="29"/>
    </row>
    <row r="189" spans="11:15" ht="12.75">
      <c r="K189" s="29"/>
      <c r="O189" s="29"/>
    </row>
    <row r="190" spans="11:15" ht="12.75">
      <c r="K190" s="29"/>
      <c r="O190" s="29"/>
    </row>
    <row r="191" spans="11:15" ht="12.75">
      <c r="K191" s="29"/>
      <c r="O191" s="29"/>
    </row>
    <row r="192" spans="11:15" ht="12.75">
      <c r="K192" s="29"/>
      <c r="O192" s="29"/>
    </row>
    <row r="193" spans="11:15" ht="12.75">
      <c r="K193" s="29"/>
      <c r="O193" s="29"/>
    </row>
    <row r="194" spans="11:15" ht="12.75">
      <c r="K194" s="29"/>
      <c r="O194" s="29"/>
    </row>
    <row r="195" spans="11:15" ht="12.75">
      <c r="K195" s="29"/>
      <c r="O195" s="29"/>
    </row>
    <row r="196" spans="11:15" ht="12.75">
      <c r="K196" s="29"/>
      <c r="O196" s="29"/>
    </row>
    <row r="197" spans="11:15" ht="12.75">
      <c r="K197" s="29"/>
      <c r="O197" s="29"/>
    </row>
    <row r="198" spans="11:15" ht="12.75">
      <c r="K198" s="29"/>
      <c r="O198" s="29"/>
    </row>
    <row r="199" spans="11:15" ht="12.75">
      <c r="K199" s="29"/>
      <c r="O199" s="29"/>
    </row>
    <row r="200" spans="11:15" ht="12.75">
      <c r="K200" s="29"/>
      <c r="O200" s="29"/>
    </row>
    <row r="201" spans="11:15" ht="12.75">
      <c r="K201" s="29"/>
      <c r="O201" s="29"/>
    </row>
    <row r="202" spans="11:15" ht="12.75">
      <c r="K202" s="29"/>
      <c r="O202" s="29"/>
    </row>
    <row r="203" spans="11:15" ht="12.75">
      <c r="K203" s="29"/>
      <c r="O203" s="29"/>
    </row>
    <row r="204" spans="11:15" ht="12.75">
      <c r="K204" s="29"/>
      <c r="O204" s="29"/>
    </row>
    <row r="205" spans="11:15" ht="12.75">
      <c r="K205" s="29"/>
      <c r="O205" s="29"/>
    </row>
    <row r="206" spans="11:15" ht="12.75">
      <c r="K206" s="29"/>
      <c r="O206" s="29"/>
    </row>
    <row r="207" spans="11:15" ht="12.75">
      <c r="K207" s="29"/>
      <c r="O207" s="29"/>
    </row>
    <row r="208" spans="11:15" ht="12.75">
      <c r="K208" s="29"/>
      <c r="O208" s="29"/>
    </row>
    <row r="209" spans="11:15" ht="12.75">
      <c r="K209" s="29"/>
      <c r="O209" s="29"/>
    </row>
    <row r="210" spans="11:15" ht="12.75">
      <c r="K210" s="29"/>
      <c r="O210" s="29"/>
    </row>
    <row r="211" spans="11:15" ht="12.75">
      <c r="K211" s="29"/>
      <c r="O211" s="29"/>
    </row>
    <row r="212" spans="11:15" ht="12.75">
      <c r="K212" s="29"/>
      <c r="O212" s="29"/>
    </row>
    <row r="213" spans="11:15" ht="12.75">
      <c r="K213" s="29"/>
      <c r="O213" s="29"/>
    </row>
    <row r="214" spans="11:15" ht="12.75">
      <c r="K214" s="29"/>
      <c r="O214" s="29"/>
    </row>
    <row r="215" spans="11:15" ht="12.75">
      <c r="K215" s="29"/>
      <c r="O215" s="29"/>
    </row>
    <row r="216" spans="11:15" ht="12.75">
      <c r="K216" s="29"/>
      <c r="O216" s="29"/>
    </row>
    <row r="217" spans="11:15" ht="12.75">
      <c r="K217" s="29"/>
      <c r="O217" s="29"/>
    </row>
    <row r="218" spans="11:15" ht="12.75">
      <c r="K218" s="29"/>
      <c r="O218" s="29"/>
    </row>
    <row r="219" spans="11:15" ht="12.75">
      <c r="K219" s="29"/>
      <c r="O219" s="29"/>
    </row>
    <row r="220" spans="11:15" ht="12.75">
      <c r="K220" s="29"/>
      <c r="O220" s="29"/>
    </row>
    <row r="221" spans="11:15" ht="12.75">
      <c r="K221" s="29"/>
      <c r="O221" s="29"/>
    </row>
    <row r="222" spans="11:15" ht="12.75">
      <c r="K222" s="29"/>
      <c r="O222" s="29"/>
    </row>
    <row r="223" spans="11:15" ht="12.75">
      <c r="K223" s="29"/>
      <c r="O223" s="29"/>
    </row>
    <row r="224" spans="11:15" ht="12.75">
      <c r="K224" s="29"/>
      <c r="O224" s="29"/>
    </row>
    <row r="225" spans="11:15" ht="12.75">
      <c r="K225" s="29"/>
      <c r="O225" s="29"/>
    </row>
    <row r="226" spans="11:15" ht="12.75">
      <c r="K226" s="29"/>
      <c r="O226" s="29"/>
    </row>
    <row r="227" spans="11:15" ht="12.75">
      <c r="K227" s="29"/>
      <c r="O227" s="29"/>
    </row>
    <row r="228" spans="11:15" ht="12.75">
      <c r="K228" s="29"/>
      <c r="O228" s="29"/>
    </row>
    <row r="229" spans="11:15" ht="12.75">
      <c r="K229" s="29"/>
      <c r="O229" s="29"/>
    </row>
    <row r="230" spans="11:15" ht="12.75">
      <c r="K230" s="29"/>
      <c r="O230" s="29"/>
    </row>
    <row r="231" spans="11:15" ht="12.75">
      <c r="K231" s="29"/>
      <c r="O231" s="29"/>
    </row>
    <row r="232" spans="11:15" ht="12.75">
      <c r="K232" s="29"/>
      <c r="O232" s="29"/>
    </row>
    <row r="233" spans="11:15" ht="12.75">
      <c r="K233" s="29"/>
      <c r="O233" s="29"/>
    </row>
    <row r="234" spans="11:15" ht="12.75">
      <c r="K234" s="29"/>
      <c r="O234" s="29"/>
    </row>
    <row r="235" spans="11:15" ht="12.75">
      <c r="K235" s="29"/>
      <c r="O235" s="29"/>
    </row>
    <row r="236" spans="11:15" ht="12.75">
      <c r="K236" s="29"/>
      <c r="O236" s="29"/>
    </row>
    <row r="237" spans="11:15" ht="12.75">
      <c r="K237" s="29"/>
      <c r="O237" s="29"/>
    </row>
    <row r="238" spans="11:15" ht="12.75">
      <c r="K238" s="29"/>
      <c r="O238" s="29"/>
    </row>
    <row r="239" spans="11:15" ht="12.75">
      <c r="K239" s="29"/>
      <c r="O239" s="29"/>
    </row>
    <row r="240" spans="11:15" ht="12.75">
      <c r="K240" s="29"/>
      <c r="O240" s="29"/>
    </row>
    <row r="241" spans="11:15" ht="12.75">
      <c r="K241" s="29"/>
      <c r="O241" s="29"/>
    </row>
    <row r="242" spans="11:15" ht="12.75">
      <c r="K242" s="29"/>
      <c r="O242" s="29"/>
    </row>
    <row r="243" spans="11:15" ht="12.75">
      <c r="K243" s="29"/>
      <c r="O243" s="29"/>
    </row>
    <row r="244" spans="11:15" ht="12.75">
      <c r="K244" s="29"/>
      <c r="O244" s="29"/>
    </row>
    <row r="245" spans="11:15" ht="12.75">
      <c r="K245" s="29"/>
      <c r="O245" s="29"/>
    </row>
    <row r="246" spans="11:15" ht="12.75">
      <c r="K246" s="29"/>
      <c r="O246" s="29"/>
    </row>
    <row r="247" spans="11:15" ht="12.75">
      <c r="K247" s="29"/>
      <c r="O247" s="29"/>
    </row>
    <row r="248" spans="11:15" ht="12.75">
      <c r="K248" s="29"/>
      <c r="O248" s="29"/>
    </row>
    <row r="249" spans="11:15" ht="12.75">
      <c r="K249" s="29"/>
      <c r="O249" s="29"/>
    </row>
    <row r="250" spans="11:15" ht="12.75">
      <c r="K250" s="29"/>
      <c r="O250" s="29"/>
    </row>
    <row r="251" spans="11:15" ht="12.75">
      <c r="K251" s="29"/>
      <c r="O251" s="29"/>
    </row>
    <row r="252" spans="11:15" ht="12.75">
      <c r="K252" s="29"/>
      <c r="O252" s="29"/>
    </row>
    <row r="253" spans="11:15" ht="12.75">
      <c r="K253" s="29"/>
      <c r="O253" s="29"/>
    </row>
    <row r="254" spans="11:15" ht="12.75">
      <c r="K254" s="29"/>
      <c r="O254" s="29"/>
    </row>
    <row r="255" spans="11:15" ht="12.75">
      <c r="K255" s="29"/>
      <c r="O255" s="29"/>
    </row>
    <row r="256" spans="11:15" ht="12.75">
      <c r="K256" s="29"/>
      <c r="O256" s="29"/>
    </row>
    <row r="257" spans="11:15" ht="12.75">
      <c r="K257" s="29"/>
      <c r="O257" s="29"/>
    </row>
    <row r="258" spans="11:15" ht="12.75">
      <c r="K258" s="29"/>
      <c r="O258" s="29"/>
    </row>
    <row r="259" spans="11:15" ht="12.75">
      <c r="K259" s="29"/>
      <c r="O259" s="29"/>
    </row>
    <row r="260" spans="11:15" ht="12.75">
      <c r="K260" s="29"/>
      <c r="O260" s="29"/>
    </row>
    <row r="261" spans="11:15" ht="12.75">
      <c r="K261" s="29"/>
      <c r="O261" s="29"/>
    </row>
    <row r="262" spans="11:15" ht="12.75">
      <c r="K262" s="29"/>
      <c r="O262" s="29"/>
    </row>
    <row r="263" spans="11:15" ht="12.75">
      <c r="K263" s="29"/>
      <c r="O263" s="29"/>
    </row>
    <row r="264" spans="11:15" ht="12.75">
      <c r="K264" s="29"/>
      <c r="O264" s="29"/>
    </row>
    <row r="265" spans="11:15" ht="12.75">
      <c r="K265" s="29"/>
      <c r="O265" s="29"/>
    </row>
    <row r="266" spans="11:15" ht="12.75">
      <c r="K266" s="29"/>
      <c r="O266" s="29"/>
    </row>
    <row r="267" spans="11:15" ht="12.75">
      <c r="K267" s="29"/>
      <c r="O267" s="29"/>
    </row>
    <row r="268" spans="11:15" ht="12.75">
      <c r="K268" s="29"/>
      <c r="O268" s="29"/>
    </row>
    <row r="269" spans="11:15" ht="12.75">
      <c r="K269" s="29"/>
      <c r="O269" s="29"/>
    </row>
    <row r="270" spans="11:15" ht="12.75">
      <c r="K270" s="29"/>
      <c r="O270" s="29"/>
    </row>
    <row r="271" spans="11:15" ht="12.75">
      <c r="K271" s="29"/>
      <c r="O271" s="29"/>
    </row>
    <row r="272" spans="11:15" ht="12.75">
      <c r="K272" s="29"/>
      <c r="O272" s="29"/>
    </row>
    <row r="273" spans="11:15" ht="12.75">
      <c r="K273" s="29"/>
      <c r="O273" s="29"/>
    </row>
    <row r="274" spans="11:15" ht="12.75">
      <c r="K274" s="29"/>
      <c r="O274" s="29"/>
    </row>
    <row r="275" spans="11:15" ht="12.75">
      <c r="K275" s="29"/>
      <c r="O275" s="29"/>
    </row>
    <row r="276" spans="11:15" ht="12.75">
      <c r="K276" s="29"/>
      <c r="O276" s="29"/>
    </row>
    <row r="277" spans="11:15" ht="12.75">
      <c r="K277" s="29"/>
      <c r="O277" s="29"/>
    </row>
    <row r="278" spans="11:15" ht="12.75">
      <c r="K278" s="29"/>
      <c r="O278" s="29"/>
    </row>
    <row r="279" spans="11:15" ht="12.75">
      <c r="K279" s="29"/>
      <c r="O279" s="29"/>
    </row>
    <row r="280" spans="11:15" ht="12.75">
      <c r="K280" s="29"/>
      <c r="O280" s="29"/>
    </row>
    <row r="281" spans="11:15" ht="12.75">
      <c r="K281" s="29"/>
      <c r="O281" s="29"/>
    </row>
    <row r="282" spans="11:15" ht="12.75">
      <c r="K282" s="29"/>
      <c r="O282" s="29"/>
    </row>
    <row r="283" spans="11:15" ht="12.75">
      <c r="K283" s="29"/>
      <c r="O283" s="29"/>
    </row>
    <row r="284" spans="11:15" ht="12.75">
      <c r="K284" s="29"/>
      <c r="O284" s="29"/>
    </row>
    <row r="285" spans="11:15" ht="12.75">
      <c r="K285" s="29"/>
      <c r="O285" s="29"/>
    </row>
    <row r="286" spans="11:15" ht="12.75">
      <c r="K286" s="29"/>
      <c r="O286" s="29"/>
    </row>
    <row r="287" spans="11:15" ht="12.75">
      <c r="K287" s="29"/>
      <c r="O287" s="29"/>
    </row>
    <row r="288" spans="11:15" ht="12.75">
      <c r="K288" s="29"/>
      <c r="O288" s="29"/>
    </row>
    <row r="289" spans="11:15" ht="12.75">
      <c r="K289" s="29"/>
      <c r="O289" s="29"/>
    </row>
    <row r="290" spans="11:15" ht="12.75">
      <c r="K290" s="29"/>
      <c r="O290" s="29"/>
    </row>
    <row r="291" spans="11:15" ht="12.75">
      <c r="K291" s="29"/>
      <c r="O291" s="29"/>
    </row>
    <row r="292" spans="11:15" ht="12.75">
      <c r="K292" s="29"/>
      <c r="O292" s="29"/>
    </row>
    <row r="293" spans="11:15" ht="12.75">
      <c r="K293" s="29"/>
      <c r="O293" s="29"/>
    </row>
    <row r="294" spans="11:15" ht="12.75">
      <c r="K294" s="29"/>
      <c r="O294" s="29"/>
    </row>
    <row r="295" spans="11:15" ht="12.75">
      <c r="K295" s="29"/>
      <c r="O295" s="29"/>
    </row>
    <row r="296" spans="11:15" ht="12.75">
      <c r="K296" s="29"/>
      <c r="O296" s="29"/>
    </row>
    <row r="297" spans="11:15" ht="12.75">
      <c r="K297" s="29"/>
      <c r="O297" s="29"/>
    </row>
    <row r="298" spans="11:15" ht="12.75">
      <c r="K298" s="29"/>
      <c r="O298" s="29"/>
    </row>
    <row r="299" spans="11:15" ht="12.75">
      <c r="K299" s="29"/>
      <c r="O299" s="29"/>
    </row>
    <row r="300" spans="11:15" ht="12.75">
      <c r="K300" s="29"/>
      <c r="O300" s="29"/>
    </row>
    <row r="301" spans="11:15" ht="12.75">
      <c r="K301" s="29"/>
      <c r="O301" s="29"/>
    </row>
    <row r="302" spans="11:15" ht="12.75">
      <c r="K302" s="29"/>
      <c r="O302" s="29"/>
    </row>
    <row r="303" spans="11:15" ht="12.75">
      <c r="K303" s="29"/>
      <c r="O303" s="29"/>
    </row>
    <row r="304" spans="11:15" ht="12.75">
      <c r="K304" s="29"/>
      <c r="O304" s="29"/>
    </row>
    <row r="305" spans="11:15" ht="12.75">
      <c r="K305" s="29"/>
      <c r="O305" s="29"/>
    </row>
    <row r="306" spans="11:15" ht="12.75">
      <c r="K306" s="29"/>
      <c r="O306" s="29"/>
    </row>
    <row r="307" spans="11:15" ht="12.75">
      <c r="K307" s="29"/>
      <c r="O307" s="29"/>
    </row>
    <row r="308" spans="11:15" ht="12.75">
      <c r="K308" s="29"/>
      <c r="O308" s="29"/>
    </row>
    <row r="309" spans="11:15" ht="12.75">
      <c r="K309" s="29"/>
      <c r="O309" s="29"/>
    </row>
    <row r="310" spans="11:15" ht="12.75">
      <c r="K310" s="29"/>
      <c r="O310" s="29"/>
    </row>
    <row r="311" spans="11:15" ht="12.75">
      <c r="K311" s="29"/>
      <c r="O311" s="29"/>
    </row>
    <row r="312" spans="11:15" ht="12.75">
      <c r="K312" s="29"/>
      <c r="O312" s="29"/>
    </row>
    <row r="313" spans="11:15" ht="12.75">
      <c r="K313" s="29"/>
      <c r="O313" s="29"/>
    </row>
    <row r="314" spans="11:15" ht="12.75">
      <c r="K314" s="29"/>
      <c r="O314" s="29"/>
    </row>
    <row r="315" spans="11:15" ht="12.75">
      <c r="K315" s="29"/>
      <c r="O315" s="29"/>
    </row>
    <row r="316" spans="11:15" ht="12.75">
      <c r="K316" s="29"/>
      <c r="O316" s="29"/>
    </row>
    <row r="317" spans="11:15" ht="12.75">
      <c r="K317" s="29"/>
      <c r="O317" s="29"/>
    </row>
    <row r="318" spans="11:15" ht="12.75">
      <c r="K318" s="29"/>
      <c r="O318" s="29"/>
    </row>
    <row r="319" spans="11:15" ht="12.75">
      <c r="K319" s="29"/>
      <c r="O319" s="29"/>
    </row>
    <row r="320" spans="11:15" ht="12.75">
      <c r="K320" s="29"/>
      <c r="O320" s="29"/>
    </row>
    <row r="321" spans="11:15" ht="12.75">
      <c r="K321" s="29"/>
      <c r="O321" s="29"/>
    </row>
    <row r="322" spans="11:15" ht="12.75">
      <c r="K322" s="29"/>
      <c r="O322" s="29"/>
    </row>
    <row r="323" spans="11:15" ht="12.75">
      <c r="K323" s="29"/>
      <c r="O323" s="29"/>
    </row>
    <row r="324" spans="11:15" ht="12.75">
      <c r="K324" s="29"/>
      <c r="O324" s="29"/>
    </row>
    <row r="325" spans="11:15" ht="12.75">
      <c r="K325" s="29"/>
      <c r="O325" s="29"/>
    </row>
    <row r="326" spans="11:15" ht="12.75">
      <c r="K326" s="29"/>
      <c r="O326" s="29"/>
    </row>
    <row r="327" spans="11:15" ht="12.75">
      <c r="K327" s="29"/>
      <c r="O327" s="29"/>
    </row>
    <row r="328" spans="11:15" ht="12.75">
      <c r="K328" s="29"/>
      <c r="O328" s="29"/>
    </row>
    <row r="329" spans="11:15" ht="12.75">
      <c r="K329" s="29"/>
      <c r="O329" s="29"/>
    </row>
    <row r="330" spans="11:15" ht="12.75">
      <c r="K330" s="29"/>
      <c r="O330" s="29"/>
    </row>
    <row r="331" spans="11:15" ht="12.75">
      <c r="K331" s="29"/>
      <c r="O331" s="29"/>
    </row>
    <row r="332" spans="11:15" ht="12.75">
      <c r="K332" s="29"/>
      <c r="O332" s="29"/>
    </row>
    <row r="333" spans="11:15" ht="12.75">
      <c r="K333" s="29"/>
      <c r="O333" s="29"/>
    </row>
    <row r="334" spans="11:15" ht="12.75">
      <c r="K334" s="29"/>
      <c r="O334" s="29"/>
    </row>
    <row r="335" spans="11:15" ht="12.75">
      <c r="K335" s="29"/>
      <c r="O335" s="29"/>
    </row>
    <row r="336" spans="11:15" ht="12.75">
      <c r="K336" s="29"/>
      <c r="O336" s="29"/>
    </row>
    <row r="337" spans="11:15" ht="12.75">
      <c r="K337" s="29"/>
      <c r="O337" s="29"/>
    </row>
    <row r="338" spans="11:15" ht="12.75">
      <c r="K338" s="29"/>
      <c r="O338" s="29"/>
    </row>
    <row r="339" spans="11:15" ht="12.75">
      <c r="K339" s="29"/>
      <c r="O339" s="29"/>
    </row>
    <row r="340" spans="11:15" ht="12.75">
      <c r="K340" s="29"/>
      <c r="O340" s="29"/>
    </row>
    <row r="341" spans="11:15" ht="12.75">
      <c r="K341" s="29"/>
      <c r="O341" s="29"/>
    </row>
    <row r="342" spans="11:15" ht="12.75">
      <c r="K342" s="29"/>
      <c r="O342" s="29"/>
    </row>
    <row r="343" spans="11:15" ht="12.75">
      <c r="K343" s="29"/>
      <c r="O343" s="29"/>
    </row>
    <row r="344" spans="11:15" ht="12.75">
      <c r="K344" s="29"/>
      <c r="O344" s="29"/>
    </row>
    <row r="345" spans="11:15" ht="12.75">
      <c r="K345" s="29"/>
      <c r="O345" s="29"/>
    </row>
    <row r="346" spans="11:15" ht="12.75">
      <c r="K346" s="29"/>
      <c r="O346" s="29"/>
    </row>
    <row r="347" spans="11:15" ht="12.75">
      <c r="K347" s="29"/>
      <c r="O347" s="29"/>
    </row>
    <row r="348" spans="11:15" ht="12.75">
      <c r="K348" s="29"/>
      <c r="O348" s="29"/>
    </row>
    <row r="349" spans="11:15" ht="12.75">
      <c r="K349" s="29"/>
      <c r="O349" s="29"/>
    </row>
    <row r="350" spans="11:15" ht="12.75">
      <c r="K350" s="29"/>
      <c r="O350" s="29"/>
    </row>
    <row r="351" spans="11:15" ht="12.75">
      <c r="K351" s="29"/>
      <c r="O351" s="29"/>
    </row>
    <row r="352" spans="11:15" ht="12.75">
      <c r="K352" s="29"/>
      <c r="O352" s="29"/>
    </row>
    <row r="353" spans="11:15" ht="12.75">
      <c r="K353" s="29"/>
      <c r="O353" s="29"/>
    </row>
    <row r="354" spans="11:15" ht="12.75">
      <c r="K354" s="29"/>
      <c r="O354" s="29"/>
    </row>
    <row r="355" spans="11:15" ht="12.75">
      <c r="K355" s="29"/>
      <c r="O355" s="29"/>
    </row>
    <row r="356" spans="11:15" ht="12.75">
      <c r="K356" s="29"/>
      <c r="O356" s="29"/>
    </row>
    <row r="357" spans="11:15" ht="12.75">
      <c r="K357" s="29"/>
      <c r="O357" s="29"/>
    </row>
    <row r="358" spans="11:15" ht="12.75">
      <c r="K358" s="29"/>
      <c r="O358" s="29"/>
    </row>
    <row r="359" spans="11:15" ht="12.75">
      <c r="K359" s="29"/>
      <c r="O359" s="29"/>
    </row>
    <row r="360" spans="11:15" ht="12.75">
      <c r="K360" s="29"/>
      <c r="O360" s="29"/>
    </row>
    <row r="361" spans="11:15" ht="12.75">
      <c r="K361" s="29"/>
      <c r="O361" s="29"/>
    </row>
    <row r="362" spans="11:15" ht="12.75">
      <c r="K362" s="29"/>
      <c r="O362" s="29"/>
    </row>
    <row r="363" spans="11:15" ht="12.75">
      <c r="K363" s="29"/>
      <c r="O363" s="29"/>
    </row>
    <row r="364" spans="11:15" ht="12.75">
      <c r="K364" s="29"/>
      <c r="O364" s="29"/>
    </row>
    <row r="365" spans="11:15" ht="12.75">
      <c r="K365" s="29"/>
      <c r="O365" s="29"/>
    </row>
    <row r="366" spans="11:15" ht="12.75">
      <c r="K366" s="29"/>
      <c r="O366" s="29"/>
    </row>
    <row r="367" spans="11:15" ht="12.75">
      <c r="K367" s="29"/>
      <c r="O367" s="29"/>
    </row>
    <row r="368" spans="11:15" ht="12.75">
      <c r="K368" s="29"/>
      <c r="O368" s="29"/>
    </row>
    <row r="369" spans="11:15" ht="12.75">
      <c r="K369" s="29"/>
      <c r="O369" s="29"/>
    </row>
    <row r="370" spans="11:15" ht="12.75">
      <c r="K370" s="29"/>
      <c r="O370" s="29"/>
    </row>
    <row r="371" spans="11:15" ht="12.75">
      <c r="K371" s="29"/>
      <c r="O371" s="29"/>
    </row>
    <row r="372" spans="11:15" ht="12.75">
      <c r="K372" s="29"/>
      <c r="O372" s="29"/>
    </row>
    <row r="373" spans="11:15" ht="12.75">
      <c r="K373" s="29"/>
      <c r="O373" s="29"/>
    </row>
    <row r="374" spans="11:15" ht="12.75">
      <c r="K374" s="29"/>
      <c r="O374" s="29"/>
    </row>
    <row r="375" spans="11:15" ht="12.75">
      <c r="K375" s="29"/>
      <c r="O375" s="29"/>
    </row>
    <row r="376" spans="11:15" ht="12.75">
      <c r="K376" s="29"/>
      <c r="O376" s="29"/>
    </row>
    <row r="377" spans="11:15" ht="12.75">
      <c r="K377" s="29"/>
      <c r="O377" s="29"/>
    </row>
    <row r="378" spans="11:15" ht="12.75">
      <c r="K378" s="29"/>
      <c r="O378" s="29"/>
    </row>
    <row r="379" spans="11:15" ht="12.75">
      <c r="K379" s="29"/>
      <c r="O379" s="29"/>
    </row>
    <row r="380" spans="11:15" ht="12.75">
      <c r="K380" s="29"/>
      <c r="O380" s="29"/>
    </row>
    <row r="381" spans="11:15" ht="12.75">
      <c r="K381" s="29"/>
      <c r="O381" s="29"/>
    </row>
    <row r="382" spans="11:15" ht="12.75">
      <c r="K382" s="29"/>
      <c r="O382" s="29"/>
    </row>
    <row r="383" spans="11:15" ht="12.75">
      <c r="K383" s="29"/>
      <c r="O383" s="29"/>
    </row>
    <row r="384" spans="11:15" ht="12.75">
      <c r="K384" s="29"/>
      <c r="O384" s="29"/>
    </row>
    <row r="385" spans="11:15" ht="12.75">
      <c r="K385" s="29"/>
      <c r="O385" s="29"/>
    </row>
    <row r="386" spans="11:15" ht="12.75">
      <c r="K386" s="29"/>
      <c r="O386" s="29"/>
    </row>
    <row r="387" spans="11:15" ht="12.75">
      <c r="K387" s="29"/>
      <c r="O387" s="29"/>
    </row>
    <row r="388" spans="11:15" ht="12.75">
      <c r="K388" s="29"/>
      <c r="O388" s="29"/>
    </row>
    <row r="389" spans="11:15" ht="12.75">
      <c r="K389" s="29"/>
      <c r="O389" s="29"/>
    </row>
    <row r="390" spans="11:15" ht="12.75">
      <c r="K390" s="29"/>
      <c r="O390" s="29"/>
    </row>
    <row r="391" spans="11:15" ht="12.75">
      <c r="K391" s="29"/>
      <c r="O391" s="29"/>
    </row>
    <row r="392" spans="11:15" ht="12.75">
      <c r="K392" s="29"/>
      <c r="O392" s="29"/>
    </row>
    <row r="393" spans="11:15" ht="12.75">
      <c r="K393" s="29"/>
      <c r="O393" s="29"/>
    </row>
    <row r="394" spans="11:15" ht="12.75">
      <c r="K394" s="29"/>
      <c r="O394" s="29"/>
    </row>
    <row r="395" spans="11:15" ht="12.75">
      <c r="K395" s="29"/>
      <c r="O395" s="29"/>
    </row>
    <row r="396" spans="11:15" ht="12.75">
      <c r="K396" s="29"/>
      <c r="O396" s="29"/>
    </row>
    <row r="397" spans="11:15" ht="12.75">
      <c r="K397" s="29"/>
      <c r="O397" s="29"/>
    </row>
    <row r="398" spans="11:15" ht="12.75">
      <c r="K398" s="29"/>
      <c r="O398" s="29"/>
    </row>
    <row r="399" spans="11:15" ht="12.75">
      <c r="K399" s="29"/>
      <c r="O399" s="29"/>
    </row>
    <row r="400" spans="11:15" ht="12.75">
      <c r="K400" s="29"/>
      <c r="O400" s="29"/>
    </row>
    <row r="401" spans="11:15" ht="12.75">
      <c r="K401" s="29"/>
      <c r="O401" s="29"/>
    </row>
    <row r="402" spans="11:15" ht="12.75">
      <c r="K402" s="29"/>
      <c r="O402" s="29"/>
    </row>
    <row r="403" spans="11:15" ht="12.75">
      <c r="K403" s="29"/>
      <c r="O403" s="29"/>
    </row>
    <row r="404" spans="11:15" ht="12.75">
      <c r="K404" s="29"/>
      <c r="O404" s="29"/>
    </row>
    <row r="405" spans="11:15" ht="12.75">
      <c r="K405" s="29"/>
      <c r="O405" s="29"/>
    </row>
    <row r="406" spans="11:15" ht="12.75">
      <c r="K406" s="29"/>
      <c r="O406" s="29"/>
    </row>
    <row r="407" spans="11:15" ht="12.75">
      <c r="K407" s="29"/>
      <c r="O407" s="29"/>
    </row>
    <row r="408" spans="11:15" ht="12.75">
      <c r="K408" s="29"/>
      <c r="O408" s="29"/>
    </row>
    <row r="409" spans="11:15" ht="12.75">
      <c r="K409" s="29"/>
      <c r="O409" s="29"/>
    </row>
    <row r="410" spans="11:15" ht="12.75">
      <c r="K410" s="29"/>
      <c r="O410" s="29"/>
    </row>
    <row r="411" spans="11:15" ht="12.75">
      <c r="K411" s="29"/>
      <c r="O411" s="29"/>
    </row>
    <row r="412" spans="11:15" ht="12.75">
      <c r="K412" s="29"/>
      <c r="O412" s="29"/>
    </row>
    <row r="413" spans="11:15" ht="12.75">
      <c r="K413" s="29"/>
      <c r="O413" s="29"/>
    </row>
    <row r="414" spans="11:15" ht="12.75">
      <c r="K414" s="29"/>
      <c r="O414" s="29"/>
    </row>
    <row r="415" spans="11:15" ht="12.75">
      <c r="K415" s="29"/>
      <c r="O415" s="29"/>
    </row>
    <row r="416" spans="11:15" ht="12.75">
      <c r="K416" s="29"/>
      <c r="O416" s="29"/>
    </row>
    <row r="417" spans="11:15" ht="12.75">
      <c r="K417" s="29"/>
      <c r="O417" s="29"/>
    </row>
    <row r="418" spans="11:15" ht="12.75">
      <c r="K418" s="29"/>
      <c r="O418" s="29"/>
    </row>
    <row r="419" spans="11:15" ht="12.75">
      <c r="K419" s="29"/>
      <c r="O419" s="29"/>
    </row>
    <row r="420" spans="11:15" ht="12.75">
      <c r="K420" s="29"/>
      <c r="O420" s="29"/>
    </row>
    <row r="421" spans="11:15" ht="12.75">
      <c r="K421" s="29"/>
      <c r="O421" s="29"/>
    </row>
    <row r="422" spans="11:15" ht="12.75">
      <c r="K422" s="29"/>
      <c r="O422" s="29"/>
    </row>
    <row r="423" spans="11:15" ht="12.75">
      <c r="K423" s="29"/>
      <c r="O423" s="29"/>
    </row>
    <row r="424" spans="11:15" ht="12.75">
      <c r="K424" s="29"/>
      <c r="O424" s="29"/>
    </row>
    <row r="425" spans="11:15" ht="12.75">
      <c r="K425" s="29"/>
      <c r="O425" s="29"/>
    </row>
    <row r="426" spans="11:15" ht="12.75">
      <c r="K426" s="29"/>
      <c r="O426" s="29"/>
    </row>
    <row r="427" spans="11:15" ht="12.75">
      <c r="K427" s="29"/>
      <c r="O427" s="29"/>
    </row>
    <row r="428" spans="11:15" ht="12.75">
      <c r="K428" s="29"/>
      <c r="O428" s="29"/>
    </row>
    <row r="429" spans="11:15" ht="12.75">
      <c r="K429" s="29"/>
      <c r="O429" s="29"/>
    </row>
    <row r="430" spans="11:15" ht="12.75">
      <c r="K430" s="29"/>
      <c r="O430" s="29"/>
    </row>
    <row r="431" spans="11:15" ht="12.75">
      <c r="K431" s="29"/>
      <c r="O431" s="29"/>
    </row>
    <row r="432" spans="11:15" ht="12.75">
      <c r="K432" s="29"/>
      <c r="O432" s="29"/>
    </row>
    <row r="433" spans="11:15" ht="12.75">
      <c r="K433" s="29"/>
      <c r="O433" s="29"/>
    </row>
    <row r="434" spans="11:15" ht="12.75">
      <c r="K434" s="29"/>
      <c r="O434" s="29"/>
    </row>
    <row r="435" spans="11:15" ht="12.75">
      <c r="K435" s="29"/>
      <c r="O435" s="29"/>
    </row>
    <row r="436" spans="11:15" ht="12.75">
      <c r="K436" s="29"/>
      <c r="O436" s="29"/>
    </row>
    <row r="437" spans="11:15" ht="12.75">
      <c r="K437" s="29"/>
      <c r="O437" s="29"/>
    </row>
    <row r="438" spans="11:15" ht="12.75">
      <c r="K438" s="29"/>
      <c r="O438" s="29"/>
    </row>
    <row r="439" spans="11:15" ht="12.75">
      <c r="K439" s="29"/>
      <c r="O439" s="29"/>
    </row>
    <row r="440" spans="11:15" ht="12.75">
      <c r="K440" s="29"/>
      <c r="O440" s="29"/>
    </row>
    <row r="441" spans="11:15" ht="12.75">
      <c r="K441" s="29"/>
      <c r="O441" s="29"/>
    </row>
    <row r="442" spans="11:15" ht="12.75">
      <c r="K442" s="29"/>
      <c r="O442" s="29"/>
    </row>
    <row r="443" spans="11:15" ht="12.75">
      <c r="K443" s="29"/>
      <c r="O443" s="29"/>
    </row>
    <row r="444" spans="11:15" ht="12.75">
      <c r="K444" s="29"/>
      <c r="O444" s="29"/>
    </row>
    <row r="445" spans="11:15" ht="12.75">
      <c r="K445" s="29"/>
      <c r="O445" s="29"/>
    </row>
    <row r="446" spans="11:15" ht="12.75">
      <c r="K446" s="29"/>
      <c r="O446" s="29"/>
    </row>
    <row r="447" spans="11:15" ht="12.75">
      <c r="K447" s="29"/>
      <c r="O447" s="29"/>
    </row>
    <row r="448" spans="11:15" ht="12.75">
      <c r="K448" s="29"/>
      <c r="O448" s="29"/>
    </row>
    <row r="449" spans="11:15" ht="12.75">
      <c r="K449" s="29"/>
      <c r="O449" s="29"/>
    </row>
    <row r="450" spans="11:15" ht="12.75">
      <c r="K450" s="29"/>
      <c r="O450" s="29"/>
    </row>
    <row r="451" spans="11:15" ht="12.75">
      <c r="K451" s="29"/>
      <c r="O451" s="29"/>
    </row>
    <row r="452" spans="11:15" ht="12.75">
      <c r="K452" s="29"/>
      <c r="O452" s="29"/>
    </row>
    <row r="453" spans="11:15" ht="12.75">
      <c r="K453" s="29"/>
      <c r="O453" s="29"/>
    </row>
    <row r="454" spans="11:15" ht="12.75">
      <c r="K454" s="29"/>
      <c r="O454" s="29"/>
    </row>
    <row r="455" spans="11:15" ht="12.75">
      <c r="K455" s="29"/>
      <c r="O455" s="29"/>
    </row>
    <row r="456" spans="11:15" ht="12.75">
      <c r="K456" s="29"/>
      <c r="O456" s="29"/>
    </row>
    <row r="457" spans="11:15" ht="12.75">
      <c r="K457" s="29"/>
      <c r="O457" s="29"/>
    </row>
    <row r="458" spans="11:15" ht="12.75">
      <c r="K458" s="29"/>
      <c r="O458" s="29"/>
    </row>
    <row r="459" spans="11:15" ht="12.75">
      <c r="K459" s="29"/>
      <c r="O459" s="29"/>
    </row>
    <row r="460" spans="11:15" ht="12.75">
      <c r="K460" s="29"/>
      <c r="O460" s="29"/>
    </row>
    <row r="461" spans="11:15" ht="12.75">
      <c r="K461" s="29"/>
      <c r="O461" s="29"/>
    </row>
    <row r="462" spans="11:15" ht="12.75">
      <c r="K462" s="29"/>
      <c r="O462" s="29"/>
    </row>
    <row r="463" spans="11:15" ht="12.75">
      <c r="K463" s="29"/>
      <c r="O463" s="29"/>
    </row>
    <row r="464" spans="11:15" ht="12.75">
      <c r="K464" s="29"/>
      <c r="O464" s="29"/>
    </row>
    <row r="465" spans="11:15" ht="12.75">
      <c r="K465" s="29"/>
      <c r="O465" s="29"/>
    </row>
    <row r="466" spans="11:15" ht="12.75">
      <c r="K466" s="29"/>
      <c r="O466" s="29"/>
    </row>
    <row r="467" spans="11:15" ht="12.75">
      <c r="K467" s="29"/>
      <c r="O467" s="29"/>
    </row>
    <row r="468" spans="11:15" ht="12.75">
      <c r="K468" s="29"/>
      <c r="O468" s="29"/>
    </row>
    <row r="469" spans="11:15" ht="12.75">
      <c r="K469" s="29"/>
      <c r="O469" s="29"/>
    </row>
    <row r="470" spans="11:15" ht="12.75">
      <c r="K470" s="29"/>
      <c r="O470" s="29"/>
    </row>
    <row r="471" spans="11:15" ht="12.75">
      <c r="K471" s="29"/>
      <c r="O471" s="29"/>
    </row>
    <row r="472" spans="11:15" ht="12.75">
      <c r="K472" s="29"/>
      <c r="O472" s="29"/>
    </row>
    <row r="473" spans="11:15" ht="12.75">
      <c r="K473" s="29"/>
      <c r="O473" s="29"/>
    </row>
    <row r="474" spans="11:15" ht="12.75">
      <c r="K474" s="29"/>
      <c r="O474" s="29"/>
    </row>
    <row r="475" spans="11:15" ht="12.75">
      <c r="K475" s="29"/>
      <c r="O475" s="29"/>
    </row>
    <row r="476" spans="11:15" ht="12.75">
      <c r="K476" s="29"/>
      <c r="O476" s="29"/>
    </row>
    <row r="477" spans="11:15" ht="12.75">
      <c r="K477" s="29"/>
      <c r="O477" s="29"/>
    </row>
    <row r="478" spans="11:15" ht="12.75">
      <c r="K478" s="29"/>
      <c r="O478" s="29"/>
    </row>
    <row r="479" spans="11:15" ht="12.75">
      <c r="K479" s="29"/>
      <c r="O479" s="29"/>
    </row>
    <row r="480" spans="11:15" ht="12.75">
      <c r="K480" s="29"/>
      <c r="O480" s="29"/>
    </row>
    <row r="481" spans="11:15" ht="12.75">
      <c r="K481" s="29"/>
      <c r="O481" s="29"/>
    </row>
    <row r="482" spans="11:15" ht="12.75">
      <c r="K482" s="29"/>
      <c r="O482" s="29"/>
    </row>
    <row r="483" spans="11:15" ht="12.75">
      <c r="K483" s="29"/>
      <c r="O483" s="29"/>
    </row>
    <row r="484" spans="11:15" ht="12.75">
      <c r="K484" s="29"/>
      <c r="O484" s="29"/>
    </row>
    <row r="485" spans="11:15" ht="12.75">
      <c r="K485" s="29"/>
      <c r="O485" s="29"/>
    </row>
    <row r="486" spans="11:15" ht="12.75">
      <c r="K486" s="29"/>
      <c r="O486" s="29"/>
    </row>
    <row r="487" spans="11:15" ht="12.75">
      <c r="K487" s="29"/>
      <c r="O487" s="29"/>
    </row>
    <row r="488" spans="11:15" ht="12.75">
      <c r="K488" s="29"/>
      <c r="O488" s="29"/>
    </row>
    <row r="489" spans="11:15" ht="12.75">
      <c r="K489" s="29"/>
      <c r="O489" s="29"/>
    </row>
    <row r="490" spans="11:15" ht="12.75">
      <c r="K490" s="29"/>
      <c r="O490" s="29"/>
    </row>
    <row r="491" spans="11:15" ht="12.75">
      <c r="K491" s="29"/>
      <c r="O491" s="29"/>
    </row>
    <row r="492" spans="11:15" ht="12.75">
      <c r="K492" s="29"/>
      <c r="O492" s="29"/>
    </row>
    <row r="493" spans="11:15" ht="12.75">
      <c r="K493" s="29"/>
      <c r="O493" s="29"/>
    </row>
    <row r="494" spans="11:15" ht="12.75">
      <c r="K494" s="29"/>
      <c r="O494" s="29"/>
    </row>
    <row r="495" spans="11:15" ht="12.75">
      <c r="K495" s="29"/>
      <c r="O495" s="29"/>
    </row>
    <row r="496" spans="11:15" ht="12.75">
      <c r="K496" s="29"/>
      <c r="O496" s="29"/>
    </row>
    <row r="497" spans="11:15" ht="12.75">
      <c r="K497" s="29"/>
      <c r="O497" s="29"/>
    </row>
    <row r="498" spans="11:15" ht="12.75">
      <c r="K498" s="29"/>
      <c r="O498" s="29"/>
    </row>
    <row r="499" spans="11:15" ht="12.75">
      <c r="K499" s="29"/>
      <c r="O499" s="29"/>
    </row>
    <row r="500" spans="11:15" ht="12.75">
      <c r="K500" s="29"/>
      <c r="O500" s="29"/>
    </row>
    <row r="501" spans="11:15" ht="12.75">
      <c r="K501" s="29"/>
      <c r="O501" s="29"/>
    </row>
    <row r="502" spans="11:15" ht="12.75">
      <c r="K502" s="29"/>
      <c r="O502" s="29"/>
    </row>
    <row r="503" spans="11:15" ht="12.75">
      <c r="K503" s="29"/>
      <c r="O503" s="29"/>
    </row>
    <row r="504" spans="11:15" ht="12.75">
      <c r="K504" s="29"/>
      <c r="O504" s="29"/>
    </row>
    <row r="505" spans="11:15" ht="12.75">
      <c r="K505" s="29"/>
      <c r="O505" s="29"/>
    </row>
    <row r="506" spans="11:15" ht="12.75">
      <c r="K506" s="29"/>
      <c r="O506" s="29"/>
    </row>
    <row r="507" spans="11:15" ht="12.75">
      <c r="K507" s="29"/>
      <c r="O507" s="29"/>
    </row>
    <row r="508" spans="11:15" ht="12.75">
      <c r="K508" s="29"/>
      <c r="O508" s="29"/>
    </row>
    <row r="509" spans="11:15" ht="12.75">
      <c r="K509" s="29"/>
      <c r="O509" s="29"/>
    </row>
    <row r="510" spans="11:15" ht="12.75">
      <c r="K510" s="29"/>
      <c r="O510" s="29"/>
    </row>
    <row r="511" spans="11:15" ht="12.75">
      <c r="K511" s="29"/>
      <c r="O511" s="29"/>
    </row>
    <row r="512" spans="11:15" ht="12.75">
      <c r="K512" s="29"/>
      <c r="O512" s="29"/>
    </row>
    <row r="513" spans="11:15" ht="12.75">
      <c r="K513" s="29"/>
      <c r="O513" s="29"/>
    </row>
    <row r="514" spans="11:15" ht="12.75">
      <c r="K514" s="29"/>
      <c r="O514" s="29"/>
    </row>
    <row r="515" spans="11:15" ht="12.75">
      <c r="K515" s="29"/>
      <c r="O515" s="29"/>
    </row>
    <row r="516" spans="11:15" ht="12.75">
      <c r="K516" s="29"/>
      <c r="O516" s="29"/>
    </row>
    <row r="517" spans="11:15" ht="12.75">
      <c r="K517" s="29"/>
      <c r="O517" s="29"/>
    </row>
    <row r="518" spans="11:15" ht="12.75">
      <c r="K518" s="29"/>
      <c r="O518" s="29"/>
    </row>
    <row r="519" spans="11:15" ht="12.75">
      <c r="K519" s="29"/>
      <c r="O519" s="29"/>
    </row>
    <row r="520" spans="11:15" ht="12.75">
      <c r="K520" s="29"/>
      <c r="O520" s="29"/>
    </row>
    <row r="521" spans="11:15" ht="12.75">
      <c r="K521" s="29"/>
      <c r="O521" s="29"/>
    </row>
    <row r="522" spans="11:15" ht="12.75">
      <c r="K522" s="29"/>
      <c r="O522" s="29"/>
    </row>
    <row r="523" spans="11:15" ht="12.75">
      <c r="K523" s="29"/>
      <c r="O523" s="29"/>
    </row>
    <row r="524" spans="11:15" ht="12.75">
      <c r="K524" s="29"/>
      <c r="O524" s="29"/>
    </row>
    <row r="525" spans="11:15" ht="12.75">
      <c r="K525" s="29"/>
      <c r="O525" s="29"/>
    </row>
    <row r="526" spans="11:15" ht="12.75">
      <c r="K526" s="29"/>
      <c r="O526" s="29"/>
    </row>
    <row r="527" spans="11:15" ht="12.75">
      <c r="K527" s="29"/>
      <c r="O527" s="29"/>
    </row>
    <row r="528" spans="11:15" ht="12.75">
      <c r="K528" s="29"/>
      <c r="O528" s="29"/>
    </row>
    <row r="529" spans="11:15" ht="12.75">
      <c r="K529" s="29"/>
      <c r="O529" s="29"/>
    </row>
    <row r="530" spans="11:15" ht="12.75">
      <c r="K530" s="29"/>
      <c r="O530" s="29"/>
    </row>
    <row r="531" spans="11:15" ht="12.75">
      <c r="K531" s="29"/>
      <c r="O531" s="29"/>
    </row>
    <row r="532" spans="11:15" ht="12.75">
      <c r="K532" s="29"/>
      <c r="O532" s="29"/>
    </row>
    <row r="533" spans="11:15" ht="12.75">
      <c r="K533" s="29"/>
      <c r="O533" s="29"/>
    </row>
    <row r="534" spans="11:15" ht="12.75">
      <c r="K534" s="29"/>
      <c r="O534" s="29"/>
    </row>
    <row r="535" spans="11:15" ht="12.75">
      <c r="K535" s="29"/>
      <c r="O535" s="29"/>
    </row>
    <row r="536" spans="11:15" ht="12.75">
      <c r="K536" s="29"/>
      <c r="O536" s="29"/>
    </row>
    <row r="537" spans="11:15" ht="12.75">
      <c r="K537" s="29"/>
      <c r="O537" s="29"/>
    </row>
    <row r="538" spans="11:15" ht="12.75">
      <c r="K538" s="29"/>
      <c r="O538" s="29"/>
    </row>
    <row r="539" spans="11:15" ht="12.75">
      <c r="K539" s="29"/>
      <c r="O539" s="29"/>
    </row>
    <row r="540" spans="11:15" ht="12.75">
      <c r="K540" s="29"/>
      <c r="O540" s="29"/>
    </row>
    <row r="541" spans="11:15" ht="12.75">
      <c r="K541" s="29"/>
      <c r="O541" s="29"/>
    </row>
    <row r="542" spans="11:15" ht="12.75">
      <c r="K542" s="29"/>
      <c r="O542" s="29"/>
    </row>
    <row r="543" spans="11:15" ht="12.75">
      <c r="K543" s="29"/>
      <c r="O543" s="29"/>
    </row>
    <row r="544" spans="11:15" ht="12.75">
      <c r="K544" s="29"/>
      <c r="O544" s="29"/>
    </row>
    <row r="545" spans="11:15" ht="12.75">
      <c r="K545" s="29"/>
      <c r="O545" s="29"/>
    </row>
    <row r="546" spans="11:15" ht="12.75">
      <c r="K546" s="29"/>
      <c r="O546" s="29"/>
    </row>
    <row r="547" spans="11:15" ht="12.75">
      <c r="K547" s="29"/>
      <c r="O547" s="29"/>
    </row>
    <row r="548" spans="11:15" ht="12.75">
      <c r="K548" s="29"/>
      <c r="O548" s="29"/>
    </row>
    <row r="549" spans="11:15" ht="12.75">
      <c r="K549" s="29"/>
      <c r="O549" s="29"/>
    </row>
    <row r="550" spans="11:15" ht="12.75">
      <c r="K550" s="29"/>
      <c r="O550" s="29"/>
    </row>
    <row r="551" spans="11:15" ht="12.75">
      <c r="K551" s="29"/>
      <c r="O551" s="29"/>
    </row>
    <row r="552" spans="11:15" ht="12.75">
      <c r="K552" s="29"/>
      <c r="O552" s="29"/>
    </row>
    <row r="553" spans="11:15" ht="12.75">
      <c r="K553" s="29"/>
      <c r="O553" s="29"/>
    </row>
    <row r="554" spans="11:15" ht="12.75">
      <c r="K554" s="29"/>
      <c r="O554" s="29"/>
    </row>
    <row r="555" spans="11:15" ht="12.75">
      <c r="K555" s="29"/>
      <c r="O555" s="29"/>
    </row>
    <row r="556" spans="11:15" ht="12.75">
      <c r="K556" s="29"/>
      <c r="O556" s="29"/>
    </row>
    <row r="557" spans="11:15" ht="12.75">
      <c r="K557" s="29"/>
      <c r="O557" s="29"/>
    </row>
    <row r="558" spans="11:15" ht="12.75">
      <c r="K558" s="29"/>
      <c r="O558" s="29"/>
    </row>
    <row r="559" spans="11:15" ht="12.75">
      <c r="K559" s="29"/>
      <c r="O559" s="29"/>
    </row>
    <row r="560" spans="11:15" ht="12.75">
      <c r="K560" s="29"/>
      <c r="O560" s="29"/>
    </row>
    <row r="561" spans="11:15" ht="12.75">
      <c r="K561" s="29"/>
      <c r="O561" s="29"/>
    </row>
    <row r="562" spans="11:15" ht="12.75">
      <c r="K562" s="29"/>
      <c r="O562" s="29"/>
    </row>
    <row r="563" spans="11:15" ht="12.75">
      <c r="K563" s="29"/>
      <c r="O563" s="29"/>
    </row>
    <row r="564" spans="11:15" ht="12.75">
      <c r="K564" s="29"/>
      <c r="O564" s="29"/>
    </row>
    <row r="565" spans="11:15" ht="12.75">
      <c r="K565" s="29"/>
      <c r="O565" s="29"/>
    </row>
    <row r="566" spans="11:15" ht="12.75">
      <c r="K566" s="29"/>
      <c r="O566" s="29"/>
    </row>
    <row r="567" spans="11:15" ht="12.75">
      <c r="K567" s="29"/>
      <c r="O567" s="29"/>
    </row>
    <row r="568" spans="11:15" ht="12.75">
      <c r="K568" s="29"/>
      <c r="O568" s="29"/>
    </row>
    <row r="569" spans="11:15" ht="12.75">
      <c r="K569" s="29"/>
      <c r="O569" s="29"/>
    </row>
    <row r="570" spans="11:15" ht="12.75">
      <c r="K570" s="29"/>
      <c r="O570" s="29"/>
    </row>
    <row r="571" spans="11:15" ht="12.75">
      <c r="K571" s="29"/>
      <c r="O571" s="29"/>
    </row>
    <row r="572" spans="11:15" ht="12.75">
      <c r="K572" s="29"/>
      <c r="O572" s="29"/>
    </row>
    <row r="573" spans="11:15" ht="12.75">
      <c r="K573" s="29"/>
      <c r="O573" s="29"/>
    </row>
    <row r="574" spans="11:15" ht="12.75">
      <c r="K574" s="29"/>
      <c r="O574" s="29"/>
    </row>
    <row r="575" spans="11:15" ht="12.75">
      <c r="K575" s="29"/>
      <c r="O575" s="29"/>
    </row>
    <row r="576" spans="11:15" ht="12.75">
      <c r="K576" s="29"/>
      <c r="O576" s="29"/>
    </row>
    <row r="577" spans="11:15" ht="12.75">
      <c r="K577" s="29"/>
      <c r="O577" s="29"/>
    </row>
    <row r="578" spans="11:15" ht="12.75">
      <c r="K578" s="29"/>
      <c r="O578" s="29"/>
    </row>
    <row r="579" spans="11:15" ht="12.75">
      <c r="K579" s="29"/>
      <c r="O579" s="29"/>
    </row>
    <row r="580" spans="11:15" ht="12.75">
      <c r="K580" s="29"/>
      <c r="O580" s="29"/>
    </row>
    <row r="581" spans="11:15" ht="12.75">
      <c r="K581" s="29"/>
      <c r="O581" s="29"/>
    </row>
    <row r="582" spans="11:15" ht="12.75">
      <c r="K582" s="29"/>
      <c r="O582" s="29"/>
    </row>
    <row r="583" spans="11:15" ht="12.75">
      <c r="K583" s="29"/>
      <c r="O583" s="29"/>
    </row>
    <row r="584" spans="11:15" ht="12.75">
      <c r="K584" s="29"/>
      <c r="O584" s="29"/>
    </row>
    <row r="585" spans="11:15" ht="12.75">
      <c r="K585" s="29"/>
      <c r="O585" s="29"/>
    </row>
    <row r="586" spans="11:15" ht="12.75">
      <c r="K586" s="29"/>
      <c r="O586" s="29"/>
    </row>
    <row r="587" spans="11:15" ht="12.75">
      <c r="K587" s="29"/>
      <c r="O587" s="29"/>
    </row>
    <row r="588" spans="11:15" ht="12.75">
      <c r="K588" s="29"/>
      <c r="O588" s="29"/>
    </row>
    <row r="589" spans="11:15" ht="12.75">
      <c r="K589" s="29"/>
      <c r="O589" s="29"/>
    </row>
    <row r="590" spans="11:15" ht="12.75">
      <c r="K590" s="29"/>
      <c r="O590" s="29"/>
    </row>
    <row r="591" spans="11:15" ht="12.75">
      <c r="K591" s="29"/>
      <c r="O591" s="29"/>
    </row>
    <row r="592" spans="11:15" ht="12.75">
      <c r="K592" s="29"/>
      <c r="O592" s="29"/>
    </row>
    <row r="593" spans="11:15" ht="12.75">
      <c r="K593" s="29"/>
      <c r="O593" s="29"/>
    </row>
    <row r="594" spans="11:15" ht="12.75">
      <c r="K594" s="29"/>
      <c r="O594" s="29"/>
    </row>
    <row r="595" spans="11:15" ht="12.75">
      <c r="K595" s="29"/>
      <c r="O595" s="29"/>
    </row>
    <row r="596" spans="11:15" ht="12.75">
      <c r="K596" s="29"/>
      <c r="O596" s="29"/>
    </row>
    <row r="597" spans="11:15" ht="12.75">
      <c r="K597" s="29"/>
      <c r="O597" s="29"/>
    </row>
    <row r="598" spans="11:15" ht="12.75">
      <c r="K598" s="29"/>
      <c r="O598" s="29"/>
    </row>
    <row r="599" spans="11:15" ht="12.75">
      <c r="K599" s="29"/>
      <c r="O599" s="29"/>
    </row>
    <row r="600" spans="11:15" ht="12.75">
      <c r="K600" s="29"/>
      <c r="O600" s="29"/>
    </row>
    <row r="601" spans="11:15" ht="12.75">
      <c r="K601" s="29"/>
      <c r="O601" s="29"/>
    </row>
    <row r="602" spans="11:15" ht="12.75">
      <c r="K602" s="29"/>
      <c r="O602" s="29"/>
    </row>
    <row r="603" spans="11:15" ht="12.75">
      <c r="K603" s="29"/>
      <c r="O603" s="29"/>
    </row>
    <row r="604" spans="11:15" ht="12.75">
      <c r="K604" s="29"/>
      <c r="O604" s="29"/>
    </row>
    <row r="605" spans="11:15" ht="12.75">
      <c r="K605" s="29"/>
      <c r="O605" s="29"/>
    </row>
    <row r="606" spans="11:15" ht="12.75">
      <c r="K606" s="29"/>
      <c r="O606" s="29"/>
    </row>
    <row r="607" spans="11:15" ht="12.75">
      <c r="K607" s="29"/>
      <c r="O607" s="29"/>
    </row>
    <row r="608" spans="11:15" ht="12.75">
      <c r="K608" s="29"/>
      <c r="O608" s="29"/>
    </row>
    <row r="609" spans="11:15" ht="12.75">
      <c r="K609" s="29"/>
      <c r="O609" s="29"/>
    </row>
    <row r="610" spans="11:15" ht="12.75">
      <c r="K610" s="29"/>
      <c r="O610" s="29"/>
    </row>
    <row r="611" spans="11:15" ht="12.75">
      <c r="K611" s="29"/>
      <c r="O611" s="29"/>
    </row>
    <row r="612" spans="11:15" ht="12.75">
      <c r="K612" s="29"/>
      <c r="O612" s="29"/>
    </row>
    <row r="613" spans="11:15" ht="12.75">
      <c r="K613" s="29"/>
      <c r="O613" s="29"/>
    </row>
    <row r="614" spans="11:15" ht="12.75">
      <c r="K614" s="29"/>
      <c r="O614" s="29"/>
    </row>
    <row r="615" spans="11:15" ht="12.75">
      <c r="K615" s="29"/>
      <c r="O615" s="29"/>
    </row>
    <row r="616" spans="11:15" ht="12.75">
      <c r="K616" s="29"/>
      <c r="O616" s="29"/>
    </row>
    <row r="617" spans="11:15" ht="12.75">
      <c r="K617" s="29"/>
      <c r="O617" s="29"/>
    </row>
    <row r="618" spans="11:15" ht="12.75">
      <c r="K618" s="29"/>
      <c r="O618" s="29"/>
    </row>
    <row r="619" spans="11:15" ht="12.75">
      <c r="K619" s="29"/>
      <c r="O619" s="29"/>
    </row>
    <row r="620" spans="11:15" ht="12.75">
      <c r="K620" s="29"/>
      <c r="O620" s="29"/>
    </row>
    <row r="621" spans="11:15" ht="12.75">
      <c r="K621" s="29"/>
      <c r="O621" s="29"/>
    </row>
    <row r="622" spans="11:15" ht="12.75">
      <c r="K622" s="29"/>
      <c r="O622" s="29"/>
    </row>
    <row r="623" spans="11:15" ht="12.75">
      <c r="K623" s="29"/>
      <c r="O623" s="29"/>
    </row>
    <row r="624" spans="11:15" ht="12.75">
      <c r="K624" s="29"/>
      <c r="O624" s="29"/>
    </row>
    <row r="625" spans="11:15" ht="12.75">
      <c r="K625" s="29"/>
      <c r="O625" s="29"/>
    </row>
    <row r="626" spans="11:15" ht="12.75">
      <c r="K626" s="29"/>
      <c r="O626" s="29"/>
    </row>
    <row r="627" spans="11:15" ht="12.75">
      <c r="K627" s="29"/>
      <c r="O627" s="29"/>
    </row>
    <row r="628" spans="11:15" ht="12.75">
      <c r="K628" s="29"/>
      <c r="O628" s="29"/>
    </row>
    <row r="629" spans="11:15" ht="12.75">
      <c r="K629" s="29"/>
      <c r="O629" s="29"/>
    </row>
    <row r="630" spans="11:15" ht="12.75">
      <c r="K630" s="29"/>
      <c r="O630" s="29"/>
    </row>
    <row r="631" spans="11:15" ht="12.75">
      <c r="K631" s="29"/>
      <c r="O631" s="29"/>
    </row>
    <row r="632" spans="11:15" ht="12.75">
      <c r="K632" s="29"/>
      <c r="O632" s="29"/>
    </row>
    <row r="633" spans="11:15" ht="12.75">
      <c r="K633" s="29"/>
      <c r="O633" s="29"/>
    </row>
    <row r="634" spans="11:15" ht="12.75">
      <c r="K634" s="29"/>
      <c r="O634" s="29"/>
    </row>
    <row r="635" spans="11:15" ht="12.75">
      <c r="K635" s="29"/>
      <c r="O635" s="29"/>
    </row>
    <row r="636" spans="11:15" ht="12.75">
      <c r="K636" s="29"/>
      <c r="O636" s="29"/>
    </row>
    <row r="637" spans="11:15" ht="12.75">
      <c r="K637" s="29"/>
      <c r="O637" s="29"/>
    </row>
    <row r="638" spans="11:15" ht="12.75">
      <c r="K638" s="29"/>
      <c r="O638" s="29"/>
    </row>
    <row r="639" spans="11:15" ht="12.75">
      <c r="K639" s="29"/>
      <c r="O639" s="29"/>
    </row>
    <row r="640" spans="11:15" ht="12.75">
      <c r="K640" s="29"/>
      <c r="O640" s="29"/>
    </row>
    <row r="641" spans="11:15" ht="12.75">
      <c r="K641" s="29"/>
      <c r="O641" s="29"/>
    </row>
    <row r="642" spans="11:15" ht="12.75">
      <c r="K642" s="29"/>
      <c r="O642" s="29"/>
    </row>
    <row r="643" spans="11:15" ht="12.75">
      <c r="K643" s="29"/>
      <c r="O643" s="29"/>
    </row>
    <row r="644" spans="11:15" ht="12.75">
      <c r="K644" s="29"/>
      <c r="O644" s="29"/>
    </row>
    <row r="645" spans="11:15" ht="12.75">
      <c r="K645" s="29"/>
      <c r="O645" s="29"/>
    </row>
    <row r="646" spans="11:15" ht="12.75">
      <c r="K646" s="29"/>
      <c r="O646" s="29"/>
    </row>
    <row r="647" spans="11:15" ht="12.75">
      <c r="K647" s="29"/>
      <c r="O647" s="29"/>
    </row>
    <row r="648" spans="11:15" ht="12.75">
      <c r="K648" s="29"/>
      <c r="O648" s="29"/>
    </row>
    <row r="649" spans="11:15" ht="12.75">
      <c r="K649" s="29"/>
      <c r="O649" s="29"/>
    </row>
    <row r="650" spans="11:15" ht="12.75">
      <c r="K650" s="29"/>
      <c r="O650" s="29"/>
    </row>
    <row r="651" spans="11:15" ht="12.75">
      <c r="K651" s="29"/>
      <c r="O651" s="29"/>
    </row>
    <row r="652" spans="11:15" ht="12.75">
      <c r="K652" s="29"/>
      <c r="O652" s="29"/>
    </row>
    <row r="653" spans="11:15" ht="12.75">
      <c r="K653" s="29"/>
      <c r="O653" s="29"/>
    </row>
    <row r="654" spans="11:15" ht="12.75">
      <c r="K654" s="29"/>
      <c r="O654" s="29"/>
    </row>
    <row r="655" spans="11:15" ht="12.75">
      <c r="K655" s="29"/>
      <c r="O655" s="29"/>
    </row>
    <row r="656" spans="11:15" ht="12.75">
      <c r="K656" s="29"/>
      <c r="O656" s="29"/>
    </row>
    <row r="657" spans="11:15" ht="12.75">
      <c r="K657" s="29"/>
      <c r="O657" s="29"/>
    </row>
    <row r="658" spans="11:15" ht="12.75">
      <c r="K658" s="29"/>
      <c r="O658" s="29"/>
    </row>
    <row r="659" spans="11:15" ht="12.75">
      <c r="K659" s="29"/>
      <c r="O659" s="29"/>
    </row>
    <row r="660" spans="11:15" ht="12.75">
      <c r="K660" s="29"/>
      <c r="O660" s="29"/>
    </row>
    <row r="661" spans="11:15" ht="12.75">
      <c r="K661" s="29"/>
      <c r="O661" s="29"/>
    </row>
    <row r="662" spans="11:15" ht="12.75">
      <c r="K662" s="29"/>
      <c r="O662" s="29"/>
    </row>
    <row r="663" spans="11:15" ht="12.75">
      <c r="K663" s="29"/>
      <c r="O663" s="29"/>
    </row>
    <row r="664" spans="11:15" ht="12.75">
      <c r="K664" s="29"/>
      <c r="O664" s="29"/>
    </row>
    <row r="665" spans="11:15" ht="12.75">
      <c r="K665" s="29"/>
      <c r="O665" s="29"/>
    </row>
    <row r="666" spans="11:15" ht="12.75">
      <c r="K666" s="29"/>
      <c r="O666" s="29"/>
    </row>
    <row r="667" spans="11:15" ht="12.75">
      <c r="K667" s="29"/>
      <c r="O667" s="29"/>
    </row>
    <row r="668" spans="11:15" ht="12.75">
      <c r="K668" s="29"/>
      <c r="O668" s="29"/>
    </row>
    <row r="669" spans="11:15" ht="12.75">
      <c r="K669" s="29"/>
      <c r="O669" s="29"/>
    </row>
    <row r="670" spans="11:15" ht="12.75">
      <c r="K670" s="29"/>
      <c r="O670" s="29"/>
    </row>
    <row r="671" spans="11:15" ht="12.75">
      <c r="K671" s="29"/>
      <c r="O671" s="29"/>
    </row>
    <row r="672" spans="11:15" ht="12.75">
      <c r="K672" s="29"/>
      <c r="O672" s="29"/>
    </row>
    <row r="673" spans="11:15" ht="12.75">
      <c r="K673" s="29"/>
      <c r="O673" s="29"/>
    </row>
    <row r="674" spans="11:15" ht="12.75">
      <c r="K674" s="29"/>
      <c r="O674" s="29"/>
    </row>
    <row r="675" spans="11:15" ht="12.75">
      <c r="K675" s="29"/>
      <c r="O675" s="29"/>
    </row>
    <row r="676" spans="11:15" ht="12.75">
      <c r="K676" s="29"/>
      <c r="O676" s="29"/>
    </row>
    <row r="677" spans="11:15" ht="12.75">
      <c r="K677" s="29"/>
      <c r="O677" s="29"/>
    </row>
    <row r="678" spans="11:15" ht="12.75">
      <c r="K678" s="29"/>
      <c r="O678" s="29"/>
    </row>
    <row r="679" spans="11:15" ht="12.75">
      <c r="K679" s="29"/>
      <c r="O679" s="29"/>
    </row>
    <row r="680" spans="11:15" ht="12.75">
      <c r="K680" s="29"/>
      <c r="O680" s="29"/>
    </row>
    <row r="681" spans="11:15" ht="12.75">
      <c r="K681" s="29"/>
      <c r="O681" s="29"/>
    </row>
    <row r="682" spans="11:15" ht="12.75">
      <c r="K682" s="29"/>
      <c r="O682" s="29"/>
    </row>
    <row r="683" spans="11:15" ht="12.75">
      <c r="K683" s="29"/>
      <c r="O683" s="29"/>
    </row>
    <row r="684" spans="11:15" ht="12.75">
      <c r="K684" s="29"/>
      <c r="O684" s="29"/>
    </row>
    <row r="685" spans="11:15" ht="12.75">
      <c r="K685" s="29"/>
      <c r="O685" s="29"/>
    </row>
    <row r="686" spans="11:15" ht="12.75">
      <c r="K686" s="29"/>
      <c r="O686" s="29"/>
    </row>
    <row r="687" spans="11:15" ht="12.75">
      <c r="K687" s="29"/>
      <c r="O687" s="29"/>
    </row>
    <row r="688" spans="11:15" ht="12.75">
      <c r="K688" s="29"/>
      <c r="O688" s="29"/>
    </row>
    <row r="689" spans="11:15" ht="12.75">
      <c r="K689" s="29"/>
      <c r="O689" s="29"/>
    </row>
    <row r="690" spans="11:15" ht="12.75">
      <c r="K690" s="29"/>
      <c r="O690" s="29"/>
    </row>
    <row r="691" spans="11:15" ht="12.75">
      <c r="K691" s="29"/>
      <c r="O691" s="29"/>
    </row>
    <row r="692" spans="11:15" ht="12.75">
      <c r="K692" s="29"/>
      <c r="O692" s="29"/>
    </row>
    <row r="693" spans="11:15" ht="12.75">
      <c r="K693" s="29"/>
      <c r="O693" s="29"/>
    </row>
    <row r="694" spans="11:15" ht="12.75">
      <c r="K694" s="29"/>
      <c r="O694" s="29"/>
    </row>
    <row r="695" spans="11:15" ht="12.75">
      <c r="K695" s="29"/>
      <c r="O695" s="29"/>
    </row>
    <row r="696" spans="11:15" ht="12.75">
      <c r="K696" s="29"/>
      <c r="O696" s="29"/>
    </row>
    <row r="697" spans="11:15" ht="12.75">
      <c r="K697" s="29"/>
      <c r="O697" s="29"/>
    </row>
    <row r="698" spans="11:15" ht="12.75">
      <c r="K698" s="29"/>
      <c r="O698" s="29"/>
    </row>
    <row r="699" spans="11:15" ht="12.75">
      <c r="K699" s="29"/>
      <c r="O699" s="29"/>
    </row>
    <row r="700" spans="11:15" ht="12.75">
      <c r="K700" s="29"/>
      <c r="O700" s="29"/>
    </row>
    <row r="701" spans="11:15" ht="12.75">
      <c r="K701" s="29"/>
      <c r="O701" s="29"/>
    </row>
    <row r="702" spans="11:15" ht="12.75">
      <c r="K702" s="29"/>
      <c r="O702" s="29"/>
    </row>
    <row r="703" spans="11:15" ht="12.75">
      <c r="K703" s="29"/>
      <c r="O703" s="29"/>
    </row>
    <row r="704" spans="11:15" ht="12.75">
      <c r="K704" s="29"/>
      <c r="O704" s="29"/>
    </row>
    <row r="705" spans="11:15" ht="12.75">
      <c r="K705" s="29"/>
      <c r="O705" s="29"/>
    </row>
    <row r="706" spans="11:15" ht="12.75">
      <c r="K706" s="29"/>
      <c r="O706" s="29"/>
    </row>
    <row r="707" spans="11:15" ht="12.75">
      <c r="K707" s="29"/>
      <c r="O707" s="29"/>
    </row>
    <row r="708" spans="11:15" ht="12.75">
      <c r="K708" s="29"/>
      <c r="O708" s="29"/>
    </row>
    <row r="709" spans="11:15" ht="12.75">
      <c r="K709" s="29"/>
      <c r="O709" s="29"/>
    </row>
    <row r="710" spans="11:15" ht="12.75">
      <c r="K710" s="29"/>
      <c r="O710" s="29"/>
    </row>
    <row r="711" spans="11:15" ht="12.75">
      <c r="K711" s="29"/>
      <c r="O711" s="29"/>
    </row>
    <row r="712" spans="11:15" ht="12.75">
      <c r="K712" s="29"/>
      <c r="O712" s="29"/>
    </row>
    <row r="713" spans="11:15" ht="12.75">
      <c r="K713" s="29"/>
      <c r="O713" s="29"/>
    </row>
    <row r="714" spans="11:15" ht="12.75">
      <c r="K714" s="29"/>
      <c r="O714" s="29"/>
    </row>
    <row r="715" spans="11:15" ht="12.75">
      <c r="K715" s="29"/>
      <c r="O715" s="29"/>
    </row>
    <row r="716" spans="11:15" ht="12.75">
      <c r="K716" s="29"/>
      <c r="O716" s="29"/>
    </row>
    <row r="717" spans="11:15" ht="12.75">
      <c r="K717" s="29"/>
      <c r="O717" s="29"/>
    </row>
    <row r="718" spans="11:15" ht="12.75">
      <c r="K718" s="29"/>
      <c r="O718" s="29"/>
    </row>
    <row r="719" spans="11:15" ht="12.75">
      <c r="K719" s="29"/>
      <c r="O719" s="29"/>
    </row>
    <row r="720" spans="11:15" ht="12.75">
      <c r="K720" s="29"/>
      <c r="O720" s="29"/>
    </row>
    <row r="721" spans="11:15" ht="12.75">
      <c r="K721" s="29"/>
      <c r="O721" s="29"/>
    </row>
    <row r="722" spans="11:15" ht="12.75">
      <c r="K722" s="29"/>
      <c r="O722" s="29"/>
    </row>
    <row r="723" spans="11:15" ht="12.75">
      <c r="K723" s="29"/>
      <c r="O723" s="29"/>
    </row>
    <row r="724" spans="11:15" ht="12.75">
      <c r="K724" s="29"/>
      <c r="O724" s="29"/>
    </row>
    <row r="725" spans="11:15" ht="12.75">
      <c r="K725" s="29"/>
      <c r="O725" s="29"/>
    </row>
    <row r="726" spans="11:15" ht="12.75">
      <c r="K726" s="29"/>
      <c r="O726" s="29"/>
    </row>
    <row r="727" spans="11:15" ht="12.75">
      <c r="K727" s="29"/>
      <c r="O727" s="29"/>
    </row>
    <row r="728" spans="11:15" ht="12.75">
      <c r="K728" s="29"/>
      <c r="O728" s="29"/>
    </row>
    <row r="729" spans="11:15" ht="12.75">
      <c r="K729" s="29"/>
      <c r="O729" s="29"/>
    </row>
    <row r="730" spans="11:15" ht="12.75">
      <c r="K730" s="29"/>
      <c r="O730" s="29"/>
    </row>
    <row r="731" spans="11:15" ht="12.75">
      <c r="K731" s="29"/>
      <c r="O731" s="29"/>
    </row>
    <row r="732" spans="11:15" ht="12.75">
      <c r="K732" s="29"/>
      <c r="O732" s="29"/>
    </row>
    <row r="733" spans="11:15" ht="12.75">
      <c r="K733" s="29"/>
      <c r="O733" s="29"/>
    </row>
    <row r="734" spans="11:15" ht="12.75">
      <c r="K734" s="29"/>
      <c r="O734" s="29"/>
    </row>
    <row r="735" spans="11:15" ht="12.75">
      <c r="K735" s="29"/>
      <c r="O735" s="29"/>
    </row>
    <row r="736" spans="11:15" ht="12.75">
      <c r="K736" s="29"/>
      <c r="O736" s="29"/>
    </row>
    <row r="737" spans="11:15" ht="12.75">
      <c r="K737" s="29"/>
      <c r="O737" s="29"/>
    </row>
    <row r="738" spans="11:15" ht="12.75">
      <c r="K738" s="29"/>
      <c r="O738" s="29"/>
    </row>
    <row r="739" spans="11:15" ht="12.75">
      <c r="K739" s="29"/>
      <c r="O739" s="29"/>
    </row>
    <row r="740" spans="11:15" ht="12.75">
      <c r="K740" s="29"/>
      <c r="O740" s="29"/>
    </row>
    <row r="741" spans="11:15" ht="12.75">
      <c r="K741" s="29"/>
      <c r="O741" s="29"/>
    </row>
    <row r="742" spans="11:15" ht="12.75">
      <c r="K742" s="29"/>
      <c r="O742" s="29"/>
    </row>
    <row r="743" spans="11:15" ht="12.75">
      <c r="K743" s="29"/>
      <c r="O743" s="29"/>
    </row>
    <row r="744" spans="11:15" ht="12.75">
      <c r="K744" s="29"/>
      <c r="O744" s="29"/>
    </row>
    <row r="745" spans="11:15" ht="12.75">
      <c r="K745" s="29"/>
      <c r="O745" s="29"/>
    </row>
    <row r="746" spans="11:15" ht="12.75">
      <c r="K746" s="29"/>
      <c r="O746" s="29"/>
    </row>
    <row r="747" spans="11:15" ht="12.75">
      <c r="K747" s="29"/>
      <c r="O747" s="29"/>
    </row>
    <row r="748" spans="11:15" ht="12.75">
      <c r="K748" s="29"/>
      <c r="O748" s="29"/>
    </row>
    <row r="749" spans="11:15" ht="12.75">
      <c r="K749" s="29"/>
      <c r="O749" s="29"/>
    </row>
    <row r="750" spans="11:15" ht="12.75">
      <c r="K750" s="29"/>
      <c r="O750" s="29"/>
    </row>
    <row r="751" spans="11:15" ht="12.75">
      <c r="K751" s="29"/>
      <c r="O751" s="29"/>
    </row>
    <row r="752" spans="11:15" ht="12.75">
      <c r="K752" s="29"/>
      <c r="O752" s="29"/>
    </row>
    <row r="753" spans="11:15" ht="12.75">
      <c r="K753" s="29"/>
      <c r="O753" s="29"/>
    </row>
    <row r="754" spans="11:15" ht="12.75">
      <c r="K754" s="29"/>
      <c r="O754" s="29"/>
    </row>
    <row r="755" spans="11:15" ht="12.75">
      <c r="K755" s="29"/>
      <c r="O755" s="29"/>
    </row>
    <row r="756" spans="11:15" ht="12.75">
      <c r="K756" s="29"/>
      <c r="O756" s="29"/>
    </row>
    <row r="757" spans="11:15" ht="12.75">
      <c r="K757" s="29"/>
      <c r="O757" s="29"/>
    </row>
    <row r="758" spans="11:15" ht="12.75">
      <c r="K758" s="29"/>
      <c r="O758" s="29"/>
    </row>
    <row r="759" spans="11:15" ht="12.75">
      <c r="K759" s="29"/>
      <c r="O759" s="29"/>
    </row>
    <row r="760" spans="11:15" ht="12.75">
      <c r="K760" s="29"/>
      <c r="O760" s="29"/>
    </row>
    <row r="761" spans="11:15" ht="12.75">
      <c r="K761" s="29"/>
      <c r="O761" s="29"/>
    </row>
    <row r="762" spans="11:15" ht="12.75">
      <c r="K762" s="29"/>
      <c r="O762" s="29"/>
    </row>
    <row r="763" spans="11:15" ht="12.75">
      <c r="K763" s="29"/>
      <c r="O763" s="29"/>
    </row>
    <row r="764" spans="11:15" ht="12.75">
      <c r="K764" s="29"/>
      <c r="O764" s="29"/>
    </row>
    <row r="765" spans="11:15" ht="12.75">
      <c r="K765" s="29"/>
      <c r="O765" s="29"/>
    </row>
    <row r="766" spans="11:15" ht="12.75">
      <c r="K766" s="29"/>
      <c r="O766" s="29"/>
    </row>
    <row r="767" spans="11:15" ht="12.75">
      <c r="K767" s="29"/>
      <c r="O767" s="29"/>
    </row>
    <row r="768" spans="11:15" ht="12.75">
      <c r="K768" s="29"/>
      <c r="O768" s="29"/>
    </row>
    <row r="769" spans="11:15" ht="12.75">
      <c r="K769" s="29"/>
      <c r="O769" s="29"/>
    </row>
    <row r="770" spans="11:15" ht="12.75">
      <c r="K770" s="29"/>
      <c r="O770" s="29"/>
    </row>
    <row r="771" spans="11:15" ht="12.75">
      <c r="K771" s="29"/>
      <c r="O771" s="29"/>
    </row>
    <row r="772" spans="11:15" ht="12.75">
      <c r="K772" s="29"/>
      <c r="O772" s="29"/>
    </row>
    <row r="773" spans="11:15" ht="12.75">
      <c r="K773" s="29"/>
      <c r="O773" s="29"/>
    </row>
    <row r="774" spans="11:15" ht="12.75">
      <c r="K774" s="29"/>
      <c r="O774" s="29"/>
    </row>
    <row r="775" spans="11:15" ht="12.75">
      <c r="K775" s="29"/>
      <c r="O775" s="29"/>
    </row>
    <row r="776" spans="11:15" ht="12.75">
      <c r="K776" s="29"/>
      <c r="O776" s="29"/>
    </row>
    <row r="777" spans="11:15" ht="12.75">
      <c r="K777" s="29"/>
      <c r="O777" s="29"/>
    </row>
    <row r="778" spans="11:15" ht="12.75">
      <c r="K778" s="29"/>
      <c r="O778" s="29"/>
    </row>
    <row r="779" spans="11:15" ht="12.75">
      <c r="K779" s="29"/>
      <c r="O779" s="29"/>
    </row>
    <row r="780" spans="11:15" ht="12.75">
      <c r="K780" s="29"/>
      <c r="O780" s="29"/>
    </row>
    <row r="781" spans="11:15" ht="12.75">
      <c r="K781" s="29"/>
      <c r="O781" s="29"/>
    </row>
    <row r="782" spans="11:15" ht="12.75">
      <c r="K782" s="29"/>
      <c r="O782" s="29"/>
    </row>
    <row r="783" spans="11:15" ht="12.75">
      <c r="K783" s="29"/>
      <c r="O783" s="29"/>
    </row>
    <row r="784" spans="11:15" ht="12.75">
      <c r="K784" s="29"/>
      <c r="O784" s="29"/>
    </row>
    <row r="785" spans="11:15" ht="12.75">
      <c r="K785" s="29"/>
      <c r="O785" s="29"/>
    </row>
    <row r="786" spans="11:15" ht="12.75">
      <c r="K786" s="29"/>
      <c r="O786" s="29"/>
    </row>
    <row r="787" spans="11:15" ht="12.75">
      <c r="K787" s="29"/>
      <c r="O787" s="29"/>
    </row>
    <row r="788" spans="11:15" ht="12.75">
      <c r="K788" s="29"/>
      <c r="O788" s="29"/>
    </row>
    <row r="789" spans="11:15" ht="12.75">
      <c r="K789" s="29"/>
      <c r="O789" s="29"/>
    </row>
    <row r="790" spans="11:15" ht="12.75">
      <c r="K790" s="29"/>
      <c r="O790" s="29"/>
    </row>
    <row r="791" spans="11:15" ht="12.75">
      <c r="K791" s="29"/>
      <c r="O791" s="29"/>
    </row>
    <row r="792" spans="11:15" ht="12.75">
      <c r="K792" s="29"/>
      <c r="O792" s="29"/>
    </row>
    <row r="793" spans="11:15" ht="12.75">
      <c r="K793" s="29"/>
      <c r="O793" s="29"/>
    </row>
    <row r="794" spans="11:15" ht="12.75">
      <c r="K794" s="29"/>
      <c r="O794" s="29"/>
    </row>
    <row r="795" spans="11:15" ht="12.75">
      <c r="K795" s="29"/>
      <c r="O795" s="29"/>
    </row>
    <row r="796" spans="11:15" ht="12.75">
      <c r="K796" s="29"/>
      <c r="O796" s="29"/>
    </row>
    <row r="797" spans="11:15" ht="12.75">
      <c r="K797" s="29"/>
      <c r="O797" s="29"/>
    </row>
    <row r="798" spans="11:15" ht="12.75">
      <c r="K798" s="29"/>
      <c r="O798" s="29"/>
    </row>
    <row r="799" spans="11:15" ht="12.75">
      <c r="K799" s="29"/>
      <c r="O799" s="29"/>
    </row>
    <row r="800" spans="11:15" ht="12.75">
      <c r="K800" s="29"/>
      <c r="O800" s="29"/>
    </row>
    <row r="801" spans="11:15" ht="12.75">
      <c r="K801" s="29"/>
      <c r="O801" s="29"/>
    </row>
    <row r="802" spans="11:15" ht="12.75">
      <c r="K802" s="29"/>
      <c r="O802" s="29"/>
    </row>
    <row r="803" spans="11:15" ht="12.75">
      <c r="K803" s="29"/>
      <c r="O803" s="29"/>
    </row>
    <row r="804" spans="11:15" ht="12.75">
      <c r="K804" s="29"/>
      <c r="O804" s="29"/>
    </row>
    <row r="805" spans="11:15" ht="12.75">
      <c r="K805" s="29"/>
      <c r="O805" s="29"/>
    </row>
    <row r="806" spans="11:15" ht="12.75">
      <c r="K806" s="29"/>
      <c r="O806" s="29"/>
    </row>
    <row r="807" spans="11:15" ht="12.75">
      <c r="K807" s="29"/>
      <c r="O807" s="29"/>
    </row>
    <row r="808" spans="11:15" ht="12.75">
      <c r="K808" s="29"/>
      <c r="O808" s="29"/>
    </row>
    <row r="809" spans="11:15" ht="12.75">
      <c r="K809" s="29"/>
      <c r="O809" s="29"/>
    </row>
    <row r="810" spans="11:15" ht="12.75">
      <c r="K810" s="29"/>
      <c r="O810" s="29"/>
    </row>
    <row r="811" spans="11:15" ht="12.75">
      <c r="K811" s="29"/>
      <c r="O811" s="29"/>
    </row>
    <row r="812" spans="11:15" ht="12.75">
      <c r="K812" s="29"/>
      <c r="O812" s="29"/>
    </row>
    <row r="813" spans="11:15" ht="12.75">
      <c r="K813" s="29"/>
      <c r="O813" s="29"/>
    </row>
    <row r="814" spans="11:15" ht="12.75">
      <c r="K814" s="29"/>
      <c r="O814" s="29"/>
    </row>
    <row r="815" spans="11:15" ht="12.75">
      <c r="K815" s="29"/>
      <c r="O815" s="29"/>
    </row>
    <row r="816" spans="11:15" ht="12.75">
      <c r="K816" s="29"/>
      <c r="O816" s="29"/>
    </row>
    <row r="817" spans="11:15" ht="12.75">
      <c r="K817" s="29"/>
      <c r="O817" s="29"/>
    </row>
    <row r="818" spans="11:15" ht="12.75">
      <c r="K818" s="29"/>
      <c r="O818" s="29"/>
    </row>
    <row r="819" spans="11:15" ht="12.75">
      <c r="K819" s="29"/>
      <c r="O819" s="29"/>
    </row>
    <row r="820" spans="11:15" ht="12.75">
      <c r="K820" s="29"/>
      <c r="O820" s="29"/>
    </row>
    <row r="821" spans="11:15" ht="12.75">
      <c r="K821" s="29"/>
      <c r="O821" s="29"/>
    </row>
    <row r="822" spans="11:15" ht="12.75">
      <c r="K822" s="29"/>
      <c r="O822" s="29"/>
    </row>
    <row r="823" spans="11:15" ht="12.75">
      <c r="K823" s="29"/>
      <c r="O823" s="29"/>
    </row>
    <row r="824" spans="11:15" ht="12.75">
      <c r="K824" s="29"/>
      <c r="O824" s="29"/>
    </row>
    <row r="825" spans="11:15" ht="12.75">
      <c r="K825" s="29"/>
      <c r="O825" s="29"/>
    </row>
    <row r="826" spans="11:15" ht="12.75">
      <c r="K826" s="29"/>
      <c r="O826" s="29"/>
    </row>
    <row r="827" spans="11:15" ht="12.75">
      <c r="K827" s="29"/>
      <c r="O827" s="29"/>
    </row>
    <row r="828" spans="11:15" ht="12.75">
      <c r="K828" s="29"/>
      <c r="O828" s="29"/>
    </row>
    <row r="829" spans="11:15" ht="12.75">
      <c r="K829" s="29"/>
      <c r="O829" s="29"/>
    </row>
    <row r="830" spans="11:15" ht="12.75">
      <c r="K830" s="29"/>
      <c r="O830" s="29"/>
    </row>
    <row r="831" spans="11:15" ht="12.75">
      <c r="K831" s="29"/>
      <c r="O831" s="29"/>
    </row>
    <row r="832" spans="11:15" ht="12.75">
      <c r="K832" s="29"/>
      <c r="O832" s="29"/>
    </row>
    <row r="833" spans="11:15" ht="12.75">
      <c r="K833" s="29"/>
      <c r="O833" s="29"/>
    </row>
    <row r="834" spans="11:15" ht="12.75">
      <c r="K834" s="29"/>
      <c r="O834" s="29"/>
    </row>
    <row r="835" spans="11:15" ht="12.75">
      <c r="K835" s="29"/>
      <c r="O835" s="29"/>
    </row>
    <row r="836" spans="11:15" ht="12.75">
      <c r="K836" s="29"/>
      <c r="O836" s="29"/>
    </row>
    <row r="837" spans="11:15" ht="12.75">
      <c r="K837" s="29"/>
      <c r="O837" s="29"/>
    </row>
    <row r="838" spans="11:15" ht="12.75">
      <c r="K838" s="29"/>
      <c r="O838" s="29"/>
    </row>
    <row r="839" spans="11:15" ht="12.75">
      <c r="K839" s="29"/>
      <c r="O839" s="29"/>
    </row>
    <row r="840" spans="11:15" ht="12.75">
      <c r="K840" s="29"/>
      <c r="O840" s="29"/>
    </row>
    <row r="841" spans="11:15" ht="12.75">
      <c r="K841" s="29"/>
      <c r="O841" s="29"/>
    </row>
    <row r="842" spans="11:15" ht="12.75">
      <c r="K842" s="29"/>
      <c r="O842" s="29"/>
    </row>
    <row r="843" spans="11:15" ht="12.75">
      <c r="K843" s="29"/>
      <c r="O843" s="29"/>
    </row>
    <row r="844" spans="11:15" ht="12.75">
      <c r="K844" s="29"/>
      <c r="O844" s="29"/>
    </row>
    <row r="845" spans="11:15" ht="12.75">
      <c r="K845" s="29"/>
      <c r="O845" s="29"/>
    </row>
    <row r="846" spans="11:15" ht="12.75">
      <c r="K846" s="29"/>
      <c r="O846" s="29"/>
    </row>
    <row r="847" spans="11:15" ht="12.75">
      <c r="K847" s="29"/>
      <c r="O847" s="29"/>
    </row>
    <row r="848" spans="11:15" ht="12.75">
      <c r="K848" s="29"/>
      <c r="O848" s="29"/>
    </row>
    <row r="849" spans="11:15" ht="12.75">
      <c r="K849" s="29"/>
      <c r="O849" s="29"/>
    </row>
    <row r="850" spans="11:15" ht="12.75">
      <c r="K850" s="29"/>
      <c r="O850" s="29"/>
    </row>
    <row r="851" spans="11:15" ht="12.75">
      <c r="K851" s="29"/>
      <c r="O851" s="29"/>
    </row>
    <row r="852" spans="11:15" ht="12.75">
      <c r="K852" s="29"/>
      <c r="O852" s="29"/>
    </row>
    <row r="853" spans="11:15" ht="12.75">
      <c r="K853" s="29"/>
      <c r="O853" s="29"/>
    </row>
    <row r="854" spans="11:15" ht="12.75">
      <c r="K854" s="29"/>
      <c r="O854" s="29"/>
    </row>
    <row r="855" spans="11:15" ht="12.75">
      <c r="K855" s="29"/>
      <c r="O855" s="29"/>
    </row>
    <row r="856" spans="11:15" ht="12.75">
      <c r="K856" s="29"/>
      <c r="O856" s="29"/>
    </row>
    <row r="857" spans="11:15" ht="12.75">
      <c r="K857" s="29"/>
      <c r="O857" s="29"/>
    </row>
    <row r="858" spans="11:15" ht="12.75">
      <c r="K858" s="29"/>
      <c r="O858" s="29"/>
    </row>
    <row r="859" spans="11:15" ht="12.75">
      <c r="K859" s="29"/>
      <c r="O859" s="29"/>
    </row>
    <row r="860" spans="11:15" ht="12.75">
      <c r="K860" s="29"/>
      <c r="O860" s="29"/>
    </row>
    <row r="861" spans="11:15" ht="12.75">
      <c r="K861" s="29"/>
      <c r="O861" s="29"/>
    </row>
    <row r="862" spans="11:15" ht="12.75">
      <c r="K862" s="29"/>
      <c r="O862" s="29"/>
    </row>
    <row r="863" spans="11:15" ht="12.75">
      <c r="K863" s="29"/>
      <c r="O863" s="29"/>
    </row>
    <row r="864" spans="11:15" ht="12.75">
      <c r="K864" s="29"/>
      <c r="O864" s="29"/>
    </row>
    <row r="865" spans="11:15" ht="12.75">
      <c r="K865" s="29"/>
      <c r="O865" s="29"/>
    </row>
    <row r="866" spans="11:15" ht="12.75">
      <c r="K866" s="29"/>
      <c r="O866" s="29"/>
    </row>
    <row r="867" spans="11:15" ht="12.75">
      <c r="K867" s="29"/>
      <c r="O867" s="29"/>
    </row>
    <row r="868" spans="11:15" ht="12.75">
      <c r="K868" s="29"/>
      <c r="O868" s="29"/>
    </row>
    <row r="869" spans="11:15" ht="12.75">
      <c r="K869" s="29"/>
      <c r="O869" s="29"/>
    </row>
    <row r="870" spans="11:15" ht="12.75">
      <c r="K870" s="29"/>
      <c r="O870" s="29"/>
    </row>
    <row r="871" spans="11:15" ht="12.75">
      <c r="K871" s="29"/>
      <c r="O871" s="29"/>
    </row>
    <row r="872" spans="11:15" ht="12.75">
      <c r="K872" s="29"/>
      <c r="O872" s="29"/>
    </row>
    <row r="873" spans="11:15" ht="12.75">
      <c r="K873" s="29"/>
      <c r="O873" s="29"/>
    </row>
    <row r="874" spans="11:15" ht="12.75">
      <c r="K874" s="29"/>
      <c r="O874" s="29"/>
    </row>
    <row r="875" spans="11:15" ht="12.75">
      <c r="K875" s="29"/>
      <c r="O875" s="29"/>
    </row>
    <row r="876" spans="11:15" ht="12.75">
      <c r="K876" s="29"/>
      <c r="O876" s="29"/>
    </row>
    <row r="877" spans="11:15" ht="12.75">
      <c r="K877" s="29"/>
      <c r="O877" s="29"/>
    </row>
    <row r="878" spans="11:15" ht="12.75">
      <c r="K878" s="29"/>
      <c r="O878" s="29"/>
    </row>
    <row r="879" spans="11:15" ht="12.75">
      <c r="K879" s="29"/>
      <c r="O879" s="29"/>
    </row>
    <row r="880" spans="11:15" ht="12.75">
      <c r="K880" s="29"/>
      <c r="O880" s="29"/>
    </row>
    <row r="881" spans="11:15" ht="12.75">
      <c r="K881" s="29"/>
      <c r="O881" s="29"/>
    </row>
    <row r="882" spans="11:15" ht="12.75">
      <c r="K882" s="29"/>
      <c r="O882" s="29"/>
    </row>
    <row r="883" spans="11:15" ht="12.75">
      <c r="K883" s="29"/>
      <c r="O883" s="29"/>
    </row>
    <row r="884" spans="11:15" ht="12.75">
      <c r="K884" s="29"/>
      <c r="O884" s="29"/>
    </row>
    <row r="885" spans="11:15" ht="12.75">
      <c r="K885" s="29"/>
      <c r="O885" s="29"/>
    </row>
    <row r="886" spans="11:15" ht="12.75">
      <c r="K886" s="29"/>
      <c r="O886" s="29"/>
    </row>
    <row r="887" spans="11:15" ht="12.75">
      <c r="K887" s="29"/>
      <c r="O887" s="29"/>
    </row>
    <row r="888" spans="11:15" ht="12.75">
      <c r="K888" s="29"/>
      <c r="O888" s="29"/>
    </row>
    <row r="889" spans="11:15" ht="12.75">
      <c r="K889" s="29"/>
      <c r="O889" s="29"/>
    </row>
    <row r="890" spans="11:15" ht="12.75">
      <c r="K890" s="29"/>
      <c r="O890" s="29"/>
    </row>
    <row r="891" spans="11:15" ht="12.75">
      <c r="K891" s="29"/>
      <c r="O891" s="29"/>
    </row>
    <row r="892" spans="11:15" ht="12.75">
      <c r="K892" s="29"/>
      <c r="O892" s="29"/>
    </row>
    <row r="893" spans="11:15" ht="12.75">
      <c r="K893" s="29"/>
      <c r="O893" s="29"/>
    </row>
    <row r="894" spans="11:15" ht="12.75">
      <c r="K894" s="29"/>
      <c r="O894" s="29"/>
    </row>
    <row r="895" spans="11:15" ht="12.75">
      <c r="K895" s="29"/>
      <c r="O895" s="29"/>
    </row>
    <row r="896" spans="11:15" ht="12.75">
      <c r="K896" s="29"/>
      <c r="O896" s="29"/>
    </row>
    <row r="897" spans="11:15" ht="12.75">
      <c r="K897" s="29"/>
      <c r="O897" s="29"/>
    </row>
    <row r="898" spans="11:15" ht="12.75">
      <c r="K898" s="29"/>
      <c r="O898" s="29"/>
    </row>
    <row r="899" spans="11:15" ht="12.75">
      <c r="K899" s="29"/>
      <c r="O899" s="29"/>
    </row>
    <row r="900" spans="11:15" ht="12.75">
      <c r="K900" s="29"/>
      <c r="O900" s="29"/>
    </row>
    <row r="901" spans="11:15" ht="12.75">
      <c r="K901" s="29"/>
      <c r="O901" s="29"/>
    </row>
    <row r="902" spans="11:15" ht="12.75">
      <c r="K902" s="29"/>
      <c r="O902" s="29"/>
    </row>
    <row r="903" spans="11:15" ht="12.75">
      <c r="K903" s="29"/>
      <c r="O903" s="29"/>
    </row>
    <row r="904" spans="11:15" ht="12.75">
      <c r="K904" s="29"/>
      <c r="O904" s="29"/>
    </row>
    <row r="905" spans="11:15" ht="12.75">
      <c r="K905" s="29"/>
      <c r="O905" s="29"/>
    </row>
    <row r="906" spans="11:15" ht="12.75">
      <c r="K906" s="29"/>
      <c r="O906" s="29"/>
    </row>
    <row r="907" spans="11:15" ht="12.75">
      <c r="K907" s="29"/>
      <c r="O907" s="29"/>
    </row>
    <row r="908" spans="11:15" ht="12.75">
      <c r="K908" s="29"/>
      <c r="O908" s="29"/>
    </row>
    <row r="909" spans="11:15" ht="12.75">
      <c r="K909" s="29"/>
      <c r="O909" s="29"/>
    </row>
    <row r="910" spans="11:15" ht="12.75">
      <c r="K910" s="29"/>
      <c r="O910" s="29"/>
    </row>
    <row r="911" spans="11:15" ht="12.75">
      <c r="K911" s="29"/>
      <c r="O911" s="29"/>
    </row>
    <row r="912" spans="11:15" ht="12.75">
      <c r="K912" s="29"/>
      <c r="O912" s="29"/>
    </row>
    <row r="913" spans="11:15" ht="12.75">
      <c r="K913" s="29"/>
      <c r="O913" s="29"/>
    </row>
    <row r="914" spans="11:15" ht="12.75">
      <c r="K914" s="29"/>
      <c r="O914" s="29"/>
    </row>
    <row r="915" spans="11:15" ht="12.75">
      <c r="K915" s="29"/>
      <c r="O915" s="29"/>
    </row>
    <row r="916" spans="11:15" ht="12.75">
      <c r="K916" s="29"/>
      <c r="O916" s="29"/>
    </row>
    <row r="917" spans="11:15" ht="12.75">
      <c r="K917" s="29"/>
      <c r="O917" s="29"/>
    </row>
    <row r="918" spans="11:15" ht="12.75">
      <c r="K918" s="29"/>
      <c r="O918" s="29"/>
    </row>
    <row r="919" spans="11:15" ht="12.75">
      <c r="K919" s="29"/>
      <c r="O919" s="29"/>
    </row>
    <row r="920" spans="11:15" ht="12.75">
      <c r="K920" s="29"/>
      <c r="O920" s="29"/>
    </row>
    <row r="921" spans="11:15" ht="12.75">
      <c r="K921" s="29"/>
      <c r="O921" s="29"/>
    </row>
    <row r="922" spans="11:15" ht="12.75">
      <c r="K922" s="29"/>
      <c r="O922" s="29"/>
    </row>
    <row r="923" spans="11:15" ht="12.75">
      <c r="K923" s="29"/>
      <c r="O923" s="29"/>
    </row>
    <row r="924" spans="11:15" ht="12.75">
      <c r="K924" s="29"/>
      <c r="O924" s="29"/>
    </row>
    <row r="925" spans="11:15" ht="12.75">
      <c r="K925" s="29"/>
      <c r="O925" s="29"/>
    </row>
    <row r="926" spans="11:15" ht="12.75">
      <c r="K926" s="29"/>
      <c r="O926" s="29"/>
    </row>
    <row r="927" spans="11:15" ht="12.75">
      <c r="K927" s="29"/>
      <c r="O927" s="29"/>
    </row>
    <row r="928" spans="11:15" ht="12.75">
      <c r="K928" s="29"/>
      <c r="O928" s="29"/>
    </row>
    <row r="929" spans="11:15" ht="12.75">
      <c r="K929" s="29"/>
      <c r="O929" s="29"/>
    </row>
    <row r="930" spans="11:15" ht="12.75">
      <c r="K930" s="29"/>
      <c r="O930" s="29"/>
    </row>
    <row r="931" spans="11:15" ht="12.75">
      <c r="K931" s="29"/>
      <c r="O931" s="29"/>
    </row>
    <row r="932" spans="11:15" ht="12.75">
      <c r="K932" s="29"/>
      <c r="O932" s="29"/>
    </row>
    <row r="933" spans="11:15" ht="12.75">
      <c r="K933" s="29"/>
      <c r="O933" s="29"/>
    </row>
    <row r="934" spans="11:15" ht="12.75">
      <c r="K934" s="29"/>
      <c r="O934" s="29"/>
    </row>
    <row r="935" spans="11:15" ht="12.75">
      <c r="K935" s="29"/>
      <c r="O935" s="29"/>
    </row>
    <row r="936" spans="11:15" ht="12.75">
      <c r="K936" s="29"/>
      <c r="O936" s="29"/>
    </row>
    <row r="937" spans="11:15" ht="12.75">
      <c r="K937" s="29"/>
      <c r="O937" s="29"/>
    </row>
    <row r="938" spans="11:15" ht="12.75">
      <c r="K938" s="29"/>
      <c r="O938" s="29"/>
    </row>
    <row r="939" spans="11:15" ht="12.75">
      <c r="K939" s="29"/>
      <c r="O939" s="29"/>
    </row>
    <row r="940" spans="11:15" ht="12.75">
      <c r="K940" s="29"/>
      <c r="O940" s="29"/>
    </row>
    <row r="941" spans="11:15" ht="12.75">
      <c r="K941" s="29"/>
      <c r="O941" s="29"/>
    </row>
    <row r="942" spans="11:15" ht="12.75">
      <c r="K942" s="29"/>
      <c r="O942" s="29"/>
    </row>
    <row r="943" spans="11:15" ht="12.75">
      <c r="K943" s="29"/>
      <c r="O943" s="29"/>
    </row>
    <row r="944" spans="11:15" ht="12.75">
      <c r="K944" s="29"/>
      <c r="O944" s="29"/>
    </row>
    <row r="945" spans="11:15" ht="12.75">
      <c r="K945" s="29"/>
      <c r="O945" s="29"/>
    </row>
    <row r="946" spans="11:15" ht="12.75">
      <c r="K946" s="29"/>
      <c r="O946" s="29"/>
    </row>
    <row r="947" spans="11:15" ht="12.75">
      <c r="K947" s="29"/>
      <c r="O947" s="29"/>
    </row>
    <row r="948" spans="11:15" ht="12.75">
      <c r="K948" s="29"/>
      <c r="O948" s="29"/>
    </row>
    <row r="949" spans="11:15" ht="12.75">
      <c r="K949" s="29"/>
      <c r="O949" s="29"/>
    </row>
    <row r="950" spans="11:15" ht="12.75">
      <c r="K950" s="29"/>
      <c r="O950" s="29"/>
    </row>
    <row r="951" spans="11:15" ht="12.75">
      <c r="K951" s="29"/>
      <c r="O951" s="29"/>
    </row>
    <row r="952" spans="11:15" ht="12.75">
      <c r="K952" s="29"/>
      <c r="O952" s="29"/>
    </row>
    <row r="953" spans="11:15" ht="12.75">
      <c r="K953" s="29"/>
      <c r="O953" s="29"/>
    </row>
    <row r="954" spans="11:15" ht="12.75">
      <c r="K954" s="29"/>
      <c r="O954" s="29"/>
    </row>
    <row r="955" spans="11:15" ht="12.75">
      <c r="K955" s="29"/>
      <c r="O955" s="29"/>
    </row>
    <row r="956" spans="11:15" ht="12.75">
      <c r="K956" s="29"/>
      <c r="O956" s="29"/>
    </row>
    <row r="957" spans="11:15" ht="12.75">
      <c r="K957" s="29"/>
      <c r="O957" s="29"/>
    </row>
    <row r="958" spans="11:15" ht="12.75">
      <c r="K958" s="29"/>
      <c r="O958" s="29"/>
    </row>
    <row r="959" spans="11:15" ht="12.75">
      <c r="K959" s="29"/>
      <c r="O959" s="29"/>
    </row>
    <row r="960" spans="11:15" ht="12.75">
      <c r="K960" s="29"/>
      <c r="O960" s="29"/>
    </row>
    <row r="961" spans="11:15" ht="12.75">
      <c r="K961" s="29"/>
      <c r="O961" s="29"/>
    </row>
    <row r="962" spans="11:15" ht="12.75">
      <c r="K962" s="29"/>
      <c r="O962" s="29"/>
    </row>
    <row r="963" spans="11:15" ht="12.75">
      <c r="K963" s="29"/>
      <c r="O963" s="29"/>
    </row>
    <row r="964" spans="11:15" ht="12.75">
      <c r="K964" s="29"/>
      <c r="O964" s="29"/>
    </row>
    <row r="965" spans="11:15" ht="12.75">
      <c r="K965" s="29"/>
      <c r="O965" s="29"/>
    </row>
    <row r="966" spans="11:15" ht="12.75">
      <c r="K966" s="29"/>
      <c r="O966" s="29"/>
    </row>
    <row r="967" spans="11:15" ht="12.75">
      <c r="K967" s="29"/>
      <c r="O967" s="29"/>
    </row>
    <row r="968" spans="11:15" ht="12.75">
      <c r="K968" s="29"/>
      <c r="O968" s="29"/>
    </row>
    <row r="969" spans="11:15" ht="12.75">
      <c r="K969" s="29"/>
      <c r="O969" s="29"/>
    </row>
    <row r="970" spans="11:15" ht="12.75">
      <c r="K970" s="29"/>
      <c r="O970" s="29"/>
    </row>
    <row r="971" spans="11:15" ht="12.75">
      <c r="K971" s="29"/>
      <c r="O971" s="29"/>
    </row>
    <row r="972" spans="11:15" ht="12.75">
      <c r="K972" s="29"/>
      <c r="O972" s="29"/>
    </row>
    <row r="973" spans="11:15" ht="12.75">
      <c r="K973" s="29"/>
      <c r="O973" s="29"/>
    </row>
    <row r="974" spans="11:15" ht="12.75">
      <c r="K974" s="29"/>
      <c r="O974" s="29"/>
    </row>
    <row r="975" spans="11:15" ht="12.75">
      <c r="K975" s="29"/>
      <c r="O975" s="29"/>
    </row>
    <row r="976" spans="11:15" ht="12.75">
      <c r="K976" s="29"/>
      <c r="O976" s="29"/>
    </row>
    <row r="977" spans="11:15" ht="12.75">
      <c r="K977" s="29"/>
      <c r="O977" s="29"/>
    </row>
    <row r="978" spans="11:15" ht="12.75">
      <c r="K978" s="29"/>
      <c r="O978" s="29"/>
    </row>
    <row r="979" spans="11:15" ht="12.75">
      <c r="K979" s="29"/>
      <c r="O979" s="29"/>
    </row>
    <row r="980" spans="11:15" ht="12.75">
      <c r="K980" s="29"/>
      <c r="O980" s="29"/>
    </row>
    <row r="981" spans="11:15" ht="12.75">
      <c r="K981" s="29"/>
      <c r="O981" s="29"/>
    </row>
    <row r="982" spans="11:15" ht="12.75">
      <c r="K982" s="29"/>
      <c r="O982" s="29"/>
    </row>
    <row r="983" spans="11:15" ht="12.75">
      <c r="K983" s="29"/>
      <c r="O983" s="29"/>
    </row>
    <row r="984" spans="11:15" ht="12.75">
      <c r="K984" s="29"/>
      <c r="O984" s="29"/>
    </row>
    <row r="985" spans="11:15" ht="12.75">
      <c r="K985" s="29"/>
      <c r="O985" s="29"/>
    </row>
    <row r="986" spans="11:15" ht="12.75">
      <c r="K986" s="29"/>
      <c r="O986" s="29"/>
    </row>
    <row r="987" spans="11:15" ht="12.75">
      <c r="K987" s="29"/>
      <c r="O987" s="29"/>
    </row>
    <row r="988" spans="11:15" ht="12.75">
      <c r="K988" s="29"/>
      <c r="O988" s="29"/>
    </row>
    <row r="989" spans="11:15" ht="12.75">
      <c r="K989" s="29"/>
      <c r="O989" s="29"/>
    </row>
    <row r="990" spans="11:15" ht="12.75">
      <c r="K990" s="29"/>
      <c r="O990" s="29"/>
    </row>
    <row r="991" spans="11:15" ht="12.75">
      <c r="K991" s="29"/>
      <c r="O991" s="29"/>
    </row>
    <row r="992" spans="11:15" ht="12.75">
      <c r="K992" s="29"/>
      <c r="O992" s="29"/>
    </row>
    <row r="993" spans="11:15" ht="12.75">
      <c r="K993" s="29"/>
      <c r="O993" s="29"/>
    </row>
    <row r="994" spans="11:15" ht="12.75">
      <c r="K994" s="29"/>
      <c r="O994" s="29"/>
    </row>
    <row r="995" spans="11:15" ht="12.75">
      <c r="K995" s="29"/>
      <c r="O995" s="29"/>
    </row>
    <row r="996" spans="11:15" ht="12.75">
      <c r="K996" s="29"/>
      <c r="O996" s="29"/>
    </row>
    <row r="997" spans="11:15" ht="12.75">
      <c r="K997" s="29"/>
      <c r="O997" s="29"/>
    </row>
    <row r="998" spans="11:15" ht="12.75">
      <c r="K998" s="29"/>
      <c r="O998" s="29"/>
    </row>
    <row r="999" spans="11:15" ht="12.75">
      <c r="K999" s="29"/>
      <c r="O999" s="29"/>
    </row>
    <row r="1000" spans="11:15" ht="12.75">
      <c r="K1000" s="29"/>
      <c r="O1000" s="29"/>
    </row>
    <row r="1001" spans="11:15" ht="12.75">
      <c r="K1001" s="29"/>
      <c r="O1001" s="29"/>
    </row>
    <row r="1002" spans="11:15" ht="12.75">
      <c r="K1002" s="29"/>
      <c r="O1002" s="29"/>
    </row>
    <row r="1003" spans="11:15" ht="12.75">
      <c r="K1003" s="29"/>
      <c r="O1003" s="29"/>
    </row>
    <row r="1004" spans="11:15" ht="12.75">
      <c r="K1004" s="29"/>
      <c r="O1004" s="29"/>
    </row>
    <row r="1005" spans="11:15" ht="12.75">
      <c r="K1005" s="29"/>
      <c r="O1005" s="29"/>
    </row>
    <row r="1006" spans="11:15" ht="12.75">
      <c r="K1006" s="29"/>
      <c r="O1006" s="29"/>
    </row>
    <row r="1007" spans="11:15" ht="12.75">
      <c r="K1007" s="29"/>
      <c r="O1007" s="29"/>
    </row>
    <row r="1008" spans="11:15" ht="12.75">
      <c r="K1008" s="29"/>
      <c r="O1008" s="29"/>
    </row>
    <row r="1009" spans="11:15" ht="12.75">
      <c r="K1009" s="29"/>
      <c r="O1009" s="29"/>
    </row>
    <row r="1010" spans="11:15" ht="12.75">
      <c r="K1010" s="29"/>
      <c r="O1010" s="29"/>
    </row>
    <row r="1011" spans="11:15" ht="12.75">
      <c r="K1011" s="29"/>
      <c r="O1011" s="29"/>
    </row>
    <row r="1012" spans="11:15" ht="12.75">
      <c r="K1012" s="29"/>
      <c r="O1012" s="29"/>
    </row>
    <row r="1013" spans="11:15" ht="12.75">
      <c r="K1013" s="29"/>
      <c r="O1013" s="29"/>
    </row>
    <row r="1014" spans="11:15" ht="12.75">
      <c r="K1014" s="29"/>
      <c r="O1014" s="29"/>
    </row>
    <row r="1015" spans="11:15" ht="12.75">
      <c r="K1015" s="29"/>
      <c r="O1015" s="29"/>
    </row>
    <row r="1016" spans="11:15" ht="12.75">
      <c r="K1016" s="29"/>
      <c r="O1016" s="29"/>
    </row>
    <row r="1017" spans="11:15" ht="12.75">
      <c r="K1017" s="29"/>
      <c r="O1017" s="29"/>
    </row>
    <row r="1018" spans="11:15" ht="12.75">
      <c r="K1018" s="29"/>
      <c r="O1018" s="29"/>
    </row>
    <row r="1019" spans="11:15" ht="12.75">
      <c r="K1019" s="29"/>
      <c r="O1019" s="29"/>
    </row>
    <row r="1020" spans="11:15" ht="12.75">
      <c r="K1020" s="29"/>
      <c r="O1020" s="29"/>
    </row>
    <row r="1021" spans="11:15" ht="12.75">
      <c r="K1021" s="29"/>
      <c r="O1021" s="29"/>
    </row>
    <row r="1022" spans="11:15" ht="12.75">
      <c r="K1022" s="29"/>
      <c r="O1022" s="29"/>
    </row>
    <row r="1023" spans="11:15" ht="12.75">
      <c r="K1023" s="29"/>
      <c r="O1023" s="29"/>
    </row>
    <row r="1024" spans="11:15" ht="12.75">
      <c r="K1024" s="29"/>
      <c r="O1024" s="29"/>
    </row>
    <row r="1025" spans="11:15" ht="12.75">
      <c r="K1025" s="29"/>
      <c r="O1025" s="29"/>
    </row>
    <row r="1026" spans="11:15" ht="12.75">
      <c r="K1026" s="29"/>
      <c r="O1026" s="29"/>
    </row>
    <row r="1027" spans="11:15" ht="12.75">
      <c r="K1027" s="29"/>
      <c r="O1027" s="29"/>
    </row>
    <row r="1028" spans="11:15" ht="12.75">
      <c r="K1028" s="29"/>
      <c r="O1028" s="29"/>
    </row>
    <row r="1029" spans="11:15" ht="12.75">
      <c r="K1029" s="29"/>
      <c r="O1029" s="29"/>
    </row>
    <row r="1030" spans="11:15" ht="12.75">
      <c r="K1030" s="29"/>
      <c r="O1030" s="29"/>
    </row>
    <row r="1031" spans="11:15" ht="12.75">
      <c r="K1031" s="29"/>
      <c r="O1031" s="29"/>
    </row>
    <row r="1032" spans="11:15" ht="12.75">
      <c r="K1032" s="29"/>
      <c r="O1032" s="29"/>
    </row>
    <row r="1033" spans="11:15" ht="12.75">
      <c r="K1033" s="29"/>
      <c r="O1033" s="29"/>
    </row>
    <row r="1034" spans="11:15" ht="12.75">
      <c r="K1034" s="29"/>
      <c r="O1034" s="29"/>
    </row>
    <row r="1035" spans="11:15" ht="12.75">
      <c r="K1035" s="29"/>
      <c r="O1035" s="29"/>
    </row>
    <row r="1036" spans="11:15" ht="12.75">
      <c r="K1036" s="29"/>
      <c r="O1036" s="29"/>
    </row>
    <row r="1037" spans="11:15" ht="12.75">
      <c r="K1037" s="29"/>
      <c r="O1037" s="29"/>
    </row>
    <row r="1038" spans="11:15" ht="12.75">
      <c r="K1038" s="29"/>
      <c r="O1038" s="29"/>
    </row>
    <row r="1039" spans="11:15" ht="12.75">
      <c r="K1039" s="29"/>
      <c r="O1039" s="29"/>
    </row>
    <row r="1040" spans="11:15" ht="12.75">
      <c r="K1040" s="29"/>
      <c r="O1040" s="29"/>
    </row>
    <row r="1041" spans="11:15" ht="12.75">
      <c r="K1041" s="29"/>
      <c r="O1041" s="29"/>
    </row>
    <row r="1042" spans="11:15" ht="12.75">
      <c r="K1042" s="29"/>
      <c r="O1042" s="29"/>
    </row>
    <row r="1043" spans="11:15" ht="12.75">
      <c r="K1043" s="29"/>
      <c r="O1043" s="29"/>
    </row>
    <row r="1044" spans="11:15" ht="12.75">
      <c r="K1044" s="29"/>
      <c r="O1044" s="29"/>
    </row>
    <row r="1045" spans="11:15" ht="12.75">
      <c r="K1045" s="29"/>
      <c r="O1045" s="29"/>
    </row>
    <row r="1046" spans="11:15" ht="12.75">
      <c r="K1046" s="29"/>
      <c r="O1046" s="29"/>
    </row>
    <row r="1047" spans="11:15" ht="12.75">
      <c r="K1047" s="29"/>
      <c r="O1047" s="29"/>
    </row>
    <row r="1048" spans="11:15" ht="12.75">
      <c r="K1048" s="29"/>
      <c r="O1048" s="29"/>
    </row>
    <row r="1049" spans="11:15" ht="12.75">
      <c r="K1049" s="29"/>
      <c r="O1049" s="29"/>
    </row>
    <row r="1050" spans="11:15" ht="12.75">
      <c r="K1050" s="29"/>
      <c r="O1050" s="29"/>
    </row>
    <row r="1051" spans="11:15" ht="12.75">
      <c r="K1051" s="29"/>
      <c r="O1051" s="29"/>
    </row>
    <row r="1052" spans="11:15" ht="12.75">
      <c r="K1052" s="29"/>
      <c r="O1052" s="29"/>
    </row>
    <row r="1053" spans="11:15" ht="12.75">
      <c r="K1053" s="29"/>
      <c r="O1053" s="29"/>
    </row>
    <row r="1054" spans="11:15" ht="12.75">
      <c r="K1054" s="29"/>
      <c r="O1054" s="29"/>
    </row>
    <row r="1055" spans="11:15" ht="12.75">
      <c r="K1055" s="29"/>
      <c r="O1055" s="29"/>
    </row>
    <row r="1056" spans="11:15" ht="12.75">
      <c r="K1056" s="29"/>
      <c r="O1056" s="29"/>
    </row>
    <row r="1057" spans="11:15" ht="12.75">
      <c r="K1057" s="29"/>
      <c r="O1057" s="29"/>
    </row>
    <row r="1058" spans="11:15" ht="12.75">
      <c r="K1058" s="29"/>
      <c r="O1058" s="29"/>
    </row>
    <row r="1059" spans="11:15" ht="12.75">
      <c r="K1059" s="29"/>
      <c r="O1059" s="29"/>
    </row>
    <row r="1060" spans="11:15" ht="12.75">
      <c r="K1060" s="29"/>
      <c r="O1060" s="29"/>
    </row>
    <row r="1061" spans="11:15" ht="12.75">
      <c r="K1061" s="29"/>
      <c r="O1061" s="29"/>
    </row>
    <row r="1062" spans="11:15" ht="12.75">
      <c r="K1062" s="29"/>
      <c r="O1062" s="29"/>
    </row>
    <row r="1063" spans="11:15" ht="12.75">
      <c r="K1063" s="29"/>
      <c r="O1063" s="29"/>
    </row>
    <row r="1064" spans="11:15" ht="12.75">
      <c r="K1064" s="29"/>
      <c r="O1064" s="29"/>
    </row>
    <row r="1065" spans="11:15" ht="12.75">
      <c r="K1065" s="29"/>
      <c r="O1065" s="29"/>
    </row>
    <row r="1066" spans="11:15" ht="12.75">
      <c r="K1066" s="29"/>
      <c r="O1066" s="29"/>
    </row>
    <row r="1067" spans="11:15" ht="12.75">
      <c r="K1067" s="29"/>
      <c r="O1067" s="29"/>
    </row>
    <row r="1068" spans="11:15" ht="12.75">
      <c r="K1068" s="29"/>
      <c r="O1068" s="29"/>
    </row>
    <row r="1069" spans="11:15" ht="12.75">
      <c r="K1069" s="29"/>
      <c r="O1069" s="29"/>
    </row>
    <row r="1070" spans="11:15" ht="12.75">
      <c r="K1070" s="29"/>
      <c r="O1070" s="29"/>
    </row>
    <row r="1071" spans="11:15" ht="12.75">
      <c r="K1071" s="29"/>
      <c r="O1071" s="29"/>
    </row>
    <row r="1072" spans="11:15" ht="12.75">
      <c r="K1072" s="29"/>
      <c r="O1072" s="29"/>
    </row>
    <row r="1073" spans="11:15" ht="12.75">
      <c r="K1073" s="29"/>
      <c r="O1073" s="29"/>
    </row>
    <row r="1074" spans="11:15" ht="12.75">
      <c r="K1074" s="29"/>
      <c r="O1074" s="29"/>
    </row>
    <row r="1075" spans="11:15" ht="12.75">
      <c r="K1075" s="29"/>
      <c r="O1075" s="29"/>
    </row>
    <row r="1076" spans="11:15" ht="12.75">
      <c r="K1076" s="29"/>
      <c r="O1076" s="29"/>
    </row>
    <row r="1077" spans="11:15" ht="12.75">
      <c r="K1077" s="29"/>
      <c r="O1077" s="29"/>
    </row>
    <row r="1078" spans="11:15" ht="12.75">
      <c r="K1078" s="29"/>
      <c r="O1078" s="29"/>
    </row>
    <row r="1079" spans="11:15" ht="12.75">
      <c r="K1079" s="29"/>
      <c r="O1079" s="29"/>
    </row>
    <row r="1080" spans="11:15" ht="12.75">
      <c r="K1080" s="29"/>
      <c r="O1080" s="29"/>
    </row>
    <row r="1081" spans="11:15" ht="12.75">
      <c r="K1081" s="29"/>
      <c r="O1081" s="29"/>
    </row>
    <row r="1082" spans="11:15" ht="12.75">
      <c r="K1082" s="29"/>
      <c r="O1082" s="29"/>
    </row>
    <row r="1083" spans="11:15" ht="12.75">
      <c r="K1083" s="29"/>
      <c r="O1083" s="29"/>
    </row>
    <row r="1084" spans="11:15" ht="12.75">
      <c r="K1084" s="29"/>
      <c r="O1084" s="29"/>
    </row>
    <row r="1085" spans="11:15" ht="12.75">
      <c r="K1085" s="29"/>
      <c r="O1085" s="29"/>
    </row>
    <row r="1086" spans="11:15" ht="12.75">
      <c r="K1086" s="29"/>
      <c r="O1086" s="29"/>
    </row>
    <row r="1087" spans="11:15" ht="12.75">
      <c r="K1087" s="29"/>
      <c r="O1087" s="29"/>
    </row>
    <row r="1088" spans="11:15" ht="12.75">
      <c r="K1088" s="29"/>
      <c r="O1088" s="29"/>
    </row>
    <row r="1089" spans="11:15" ht="12.75">
      <c r="K1089" s="29"/>
      <c r="O1089" s="29"/>
    </row>
    <row r="1090" spans="11:15" ht="12.75">
      <c r="K1090" s="29"/>
      <c r="O1090" s="29"/>
    </row>
    <row r="1091" spans="11:15" ht="12.75">
      <c r="K1091" s="29"/>
      <c r="O1091" s="29"/>
    </row>
    <row r="1092" spans="11:15" ht="12.75">
      <c r="K1092" s="29"/>
      <c r="O1092" s="29"/>
    </row>
    <row r="1093" spans="11:15" ht="12.75">
      <c r="K1093" s="29"/>
      <c r="O1093" s="29"/>
    </row>
    <row r="1094" spans="11:15" ht="12.75">
      <c r="K1094" s="29"/>
      <c r="O1094" s="29"/>
    </row>
    <row r="1095" spans="11:15" ht="12.75">
      <c r="K1095" s="29"/>
      <c r="O1095" s="29"/>
    </row>
    <row r="1096" spans="11:15" ht="12.75">
      <c r="K1096" s="29"/>
      <c r="O1096" s="29"/>
    </row>
    <row r="1097" spans="11:15" ht="12.75">
      <c r="K1097" s="29"/>
      <c r="O1097" s="29"/>
    </row>
    <row r="1098" spans="11:15" ht="12.75">
      <c r="K1098" s="29"/>
      <c r="O1098" s="29"/>
    </row>
    <row r="1099" spans="11:15" ht="12.75">
      <c r="K1099" s="29"/>
      <c r="O1099" s="29"/>
    </row>
    <row r="1100" spans="11:15" ht="12.75">
      <c r="K1100" s="29"/>
      <c r="O1100" s="29"/>
    </row>
    <row r="1101" spans="11:15" ht="12.75">
      <c r="K1101" s="29"/>
      <c r="O1101" s="29"/>
    </row>
    <row r="1102" spans="11:15" ht="12.75">
      <c r="K1102" s="29"/>
      <c r="O1102" s="29"/>
    </row>
    <row r="1103" spans="11:15" ht="12.75">
      <c r="K1103" s="29"/>
      <c r="O1103" s="29"/>
    </row>
    <row r="1104" spans="11:15" ht="12.75">
      <c r="K1104" s="29"/>
      <c r="O1104" s="29"/>
    </row>
    <row r="1105" spans="11:15" ht="12.75">
      <c r="K1105" s="29"/>
      <c r="O1105" s="29"/>
    </row>
    <row r="1106" spans="11:15" ht="12.75">
      <c r="K1106" s="29"/>
      <c r="O1106" s="29"/>
    </row>
    <row r="1107" spans="11:15" ht="12.75">
      <c r="K1107" s="29"/>
      <c r="O1107" s="29"/>
    </row>
    <row r="1108" spans="11:15" ht="12.75">
      <c r="K1108" s="29"/>
      <c r="O1108" s="29"/>
    </row>
    <row r="1109" spans="11:15" ht="12.75">
      <c r="K1109" s="29"/>
      <c r="O1109" s="29"/>
    </row>
    <row r="1110" spans="11:15" ht="12.75">
      <c r="K1110" s="29"/>
      <c r="O1110" s="29"/>
    </row>
    <row r="1111" spans="11:15" ht="12.75">
      <c r="K1111" s="29"/>
      <c r="O1111" s="29"/>
    </row>
    <row r="1112" spans="11:15" ht="12.75">
      <c r="K1112" s="29"/>
      <c r="O1112" s="29"/>
    </row>
    <row r="1113" spans="11:15" ht="12.75">
      <c r="K1113" s="29"/>
      <c r="O1113" s="29"/>
    </row>
    <row r="1114" spans="11:15" ht="12.75">
      <c r="K1114" s="29"/>
      <c r="O1114" s="29"/>
    </row>
    <row r="1115" spans="11:15" ht="12.75">
      <c r="K1115" s="29"/>
      <c r="O1115" s="29"/>
    </row>
    <row r="1116" spans="11:15" ht="12.75">
      <c r="K1116" s="29"/>
      <c r="O1116" s="29"/>
    </row>
    <row r="1117" spans="11:15" ht="12.75">
      <c r="K1117" s="29"/>
      <c r="O1117" s="29"/>
    </row>
    <row r="1118" spans="11:15" ht="12.75">
      <c r="K1118" s="29"/>
      <c r="O1118" s="29"/>
    </row>
    <row r="1119" spans="11:15" ht="12.75">
      <c r="K1119" s="29"/>
      <c r="O1119" s="29"/>
    </row>
    <row r="1120" spans="11:15" ht="12.75">
      <c r="K1120" s="29"/>
      <c r="O1120" s="29"/>
    </row>
    <row r="1121" spans="11:15" ht="12.75">
      <c r="K1121" s="29"/>
      <c r="O1121" s="29"/>
    </row>
    <row r="1122" spans="11:15" ht="12.75">
      <c r="K1122" s="29"/>
      <c r="O1122" s="29"/>
    </row>
    <row r="1123" spans="11:15" ht="12.75">
      <c r="K1123" s="29"/>
      <c r="O1123" s="29"/>
    </row>
    <row r="1124" spans="11:15" ht="12.75">
      <c r="K1124" s="29"/>
      <c r="O1124" s="29"/>
    </row>
    <row r="1125" spans="11:15" ht="12.75">
      <c r="K1125" s="29"/>
      <c r="O1125" s="29"/>
    </row>
    <row r="1126" spans="11:15" ht="12.75">
      <c r="K1126" s="29"/>
      <c r="O1126" s="29"/>
    </row>
    <row r="1127" spans="11:15" ht="12.75">
      <c r="K1127" s="29"/>
      <c r="O1127" s="29"/>
    </row>
    <row r="1128" spans="11:15" ht="12.75">
      <c r="K1128" s="29"/>
      <c r="O1128" s="29"/>
    </row>
    <row r="1129" spans="11:15" ht="12.75">
      <c r="K1129" s="29"/>
      <c r="O1129" s="29"/>
    </row>
    <row r="1130" spans="11:15" ht="12.75">
      <c r="K1130" s="29"/>
      <c r="O1130" s="29"/>
    </row>
    <row r="1131" spans="11:15" ht="12.75">
      <c r="K1131" s="29"/>
      <c r="O1131" s="29"/>
    </row>
    <row r="1132" spans="11:15" ht="12.75">
      <c r="K1132" s="29"/>
      <c r="O1132" s="29"/>
    </row>
    <row r="1133" spans="11:15" ht="12.75">
      <c r="K1133" s="29"/>
      <c r="O1133" s="29"/>
    </row>
    <row r="1134" spans="11:15" ht="12.75">
      <c r="K1134" s="29"/>
      <c r="O1134" s="29"/>
    </row>
    <row r="1135" spans="11:15" ht="12.75">
      <c r="K1135" s="29"/>
      <c r="O1135" s="29"/>
    </row>
    <row r="1136" spans="11:15" ht="12.75">
      <c r="K1136" s="29"/>
      <c r="O1136" s="29"/>
    </row>
    <row r="1137" spans="11:15" ht="12.75">
      <c r="K1137" s="29"/>
      <c r="O1137" s="29"/>
    </row>
    <row r="1138" spans="11:15" ht="12.75">
      <c r="K1138" s="29"/>
      <c r="O1138" s="29"/>
    </row>
    <row r="1139" spans="11:15" ht="12.75">
      <c r="K1139" s="29"/>
      <c r="O1139" s="29"/>
    </row>
    <row r="1140" spans="11:15" ht="12.75">
      <c r="K1140" s="29"/>
      <c r="O1140" s="29"/>
    </row>
    <row r="1141" spans="11:15" ht="12.75">
      <c r="K1141" s="29"/>
      <c r="O1141" s="29"/>
    </row>
    <row r="1142" spans="11:15" ht="12.75">
      <c r="K1142" s="29"/>
      <c r="O1142" s="29"/>
    </row>
    <row r="1143" spans="11:15" ht="12.75">
      <c r="K1143" s="29"/>
      <c r="O1143" s="29"/>
    </row>
    <row r="1144" spans="11:15" ht="12.75">
      <c r="K1144" s="29"/>
      <c r="O1144" s="29"/>
    </row>
    <row r="1145" spans="11:15" ht="12.75">
      <c r="K1145" s="29"/>
      <c r="O1145" s="29"/>
    </row>
    <row r="1146" spans="11:15" ht="12.75">
      <c r="K1146" s="29"/>
      <c r="O1146" s="29"/>
    </row>
    <row r="1147" spans="11:15" ht="12.75">
      <c r="K1147" s="29"/>
      <c r="O1147" s="29"/>
    </row>
    <row r="1148" spans="11:15" ht="12.75">
      <c r="K1148" s="29"/>
      <c r="O1148" s="29"/>
    </row>
    <row r="1149" spans="11:15" ht="12.75">
      <c r="K1149" s="29"/>
      <c r="O1149" s="29"/>
    </row>
    <row r="1150" spans="11:15" ht="12.75">
      <c r="K1150" s="29"/>
      <c r="O1150" s="29"/>
    </row>
    <row r="1151" spans="11:15" ht="12.75">
      <c r="K1151" s="29"/>
      <c r="O1151" s="29"/>
    </row>
    <row r="1152" spans="11:15" ht="12.75">
      <c r="K1152" s="29"/>
      <c r="O1152" s="29"/>
    </row>
    <row r="1153" spans="11:15" ht="12.75">
      <c r="K1153" s="29"/>
      <c r="O1153" s="29"/>
    </row>
    <row r="1154" spans="11:15" ht="12.75">
      <c r="K1154" s="29"/>
      <c r="O1154" s="29"/>
    </row>
    <row r="1155" spans="11:15" ht="12.75">
      <c r="K1155" s="29"/>
      <c r="O1155" s="29"/>
    </row>
    <row r="1156" spans="11:15" ht="12.75">
      <c r="K1156" s="29"/>
      <c r="O1156" s="29"/>
    </row>
    <row r="1157" spans="11:15" ht="12.75">
      <c r="K1157" s="29"/>
      <c r="O1157" s="29"/>
    </row>
    <row r="1158" spans="11:15" ht="12.75">
      <c r="K1158" s="29"/>
      <c r="O1158" s="29"/>
    </row>
    <row r="1159" spans="11:15" ht="12.75">
      <c r="K1159" s="29"/>
      <c r="O1159" s="29"/>
    </row>
    <row r="1160" spans="11:15" ht="12.75">
      <c r="K1160" s="29"/>
      <c r="O1160" s="29"/>
    </row>
    <row r="1161" spans="11:15" ht="12.75">
      <c r="K1161" s="29"/>
      <c r="O1161" s="29"/>
    </row>
    <row r="1162" spans="11:15" ht="12.75">
      <c r="K1162" s="29"/>
      <c r="O1162" s="29"/>
    </row>
    <row r="1163" spans="11:15" ht="12.75">
      <c r="K1163" s="29"/>
      <c r="O1163" s="29"/>
    </row>
    <row r="1164" spans="11:15" ht="12.75">
      <c r="K1164" s="29"/>
      <c r="O1164" s="29"/>
    </row>
    <row r="1165" spans="11:15" ht="12.75">
      <c r="K1165" s="29"/>
      <c r="O1165" s="29"/>
    </row>
    <row r="1166" spans="11:15" ht="12.75">
      <c r="K1166" s="29"/>
      <c r="O1166" s="29"/>
    </row>
    <row r="1167" spans="11:15" ht="12.75">
      <c r="K1167" s="29"/>
      <c r="O1167" s="29"/>
    </row>
    <row r="1168" spans="11:15" ht="12.75">
      <c r="K1168" s="29"/>
      <c r="O1168" s="29"/>
    </row>
    <row r="1169" spans="11:15" ht="12.75">
      <c r="K1169" s="29"/>
      <c r="O1169" s="29"/>
    </row>
    <row r="1170" spans="11:15" ht="12.75">
      <c r="K1170" s="29"/>
      <c r="O1170" s="29"/>
    </row>
    <row r="1171" spans="11:15" ht="12.75">
      <c r="K1171" s="29"/>
      <c r="O1171" s="29"/>
    </row>
    <row r="1172" spans="11:15" ht="12.75">
      <c r="K1172" s="29"/>
      <c r="O1172" s="29"/>
    </row>
    <row r="1173" spans="11:15" ht="12.75">
      <c r="K1173" s="29"/>
      <c r="O1173" s="29"/>
    </row>
    <row r="1174" spans="11:15" ht="12.75">
      <c r="K1174" s="29"/>
      <c r="O1174" s="29"/>
    </row>
    <row r="1175" spans="11:15" ht="12.75">
      <c r="K1175" s="29"/>
      <c r="O1175" s="29"/>
    </row>
    <row r="1176" spans="11:15" ht="12.75">
      <c r="K1176" s="29"/>
      <c r="O1176" s="29"/>
    </row>
    <row r="1177" spans="11:15" ht="12.75">
      <c r="K1177" s="29"/>
      <c r="O1177" s="29"/>
    </row>
    <row r="1178" spans="11:15" ht="12.75">
      <c r="K1178" s="29"/>
      <c r="O1178" s="29"/>
    </row>
    <row r="1179" spans="11:15" ht="12.75">
      <c r="K1179" s="29"/>
      <c r="O1179" s="29"/>
    </row>
    <row r="1180" spans="11:15" ht="12.75">
      <c r="K1180" s="29"/>
      <c r="O1180" s="29"/>
    </row>
    <row r="1181" spans="11:15" ht="12.75">
      <c r="K1181" s="29"/>
      <c r="O1181" s="29"/>
    </row>
    <row r="1182" spans="11:15" ht="12.75">
      <c r="K1182" s="29"/>
      <c r="O1182" s="29"/>
    </row>
    <row r="1183" spans="11:15" ht="12.75">
      <c r="K1183" s="29"/>
      <c r="O1183" s="29"/>
    </row>
    <row r="1184" spans="11:15" ht="12.75">
      <c r="K1184" s="29"/>
      <c r="O1184" s="29"/>
    </row>
    <row r="1185" spans="11:15" ht="12.75">
      <c r="K1185" s="29"/>
      <c r="O1185" s="29"/>
    </row>
    <row r="1186" spans="11:15" ht="12.75">
      <c r="K1186" s="29"/>
      <c r="O1186" s="29"/>
    </row>
    <row r="1187" spans="11:15" ht="12.75">
      <c r="K1187" s="29"/>
      <c r="O1187" s="29"/>
    </row>
    <row r="1188" spans="11:15" ht="12.75">
      <c r="K1188" s="29"/>
      <c r="O1188" s="29"/>
    </row>
    <row r="1189" spans="11:15" ht="12.75">
      <c r="K1189" s="29"/>
      <c r="O1189" s="29"/>
    </row>
    <row r="1190" spans="11:15" ht="12.75">
      <c r="K1190" s="29"/>
      <c r="O1190" s="29"/>
    </row>
    <row r="1191" spans="11:15" ht="12.75">
      <c r="K1191" s="29"/>
      <c r="O1191" s="29"/>
    </row>
    <row r="1192" spans="11:15" ht="12.75">
      <c r="K1192" s="29"/>
      <c r="O1192" s="29"/>
    </row>
    <row r="1193" spans="11:15" ht="12.75">
      <c r="K1193" s="29"/>
      <c r="O1193" s="29"/>
    </row>
    <row r="1194" spans="11:15" ht="12.75">
      <c r="K1194" s="29"/>
      <c r="O1194" s="29"/>
    </row>
    <row r="1195" spans="11:15" ht="12.75">
      <c r="K1195" s="29"/>
      <c r="O1195" s="29"/>
    </row>
    <row r="1196" spans="11:15" ht="12.75">
      <c r="K1196" s="29"/>
      <c r="O1196" s="29"/>
    </row>
    <row r="1197" spans="11:15" ht="12.75">
      <c r="K1197" s="29"/>
      <c r="O1197" s="29"/>
    </row>
    <row r="1198" spans="11:15" ht="12.75">
      <c r="K1198" s="29"/>
      <c r="O1198" s="29"/>
    </row>
    <row r="1199" spans="11:15" ht="12.75">
      <c r="K1199" s="29"/>
      <c r="O1199" s="29"/>
    </row>
    <row r="1200" spans="11:15" ht="12.75">
      <c r="K1200" s="29"/>
      <c r="O1200" s="29"/>
    </row>
    <row r="1201" spans="11:15" ht="12.75">
      <c r="K1201" s="29"/>
      <c r="O1201" s="29"/>
    </row>
    <row r="1202" spans="11:15" ht="12.75">
      <c r="K1202" s="29"/>
      <c r="O1202" s="29"/>
    </row>
    <row r="1203" spans="11:15" ht="12.75">
      <c r="K1203" s="29"/>
      <c r="O1203" s="29"/>
    </row>
    <row r="1204" spans="11:15" ht="12.75">
      <c r="K1204" s="29"/>
      <c r="O1204" s="29"/>
    </row>
    <row r="1205" spans="11:15" ht="12.75">
      <c r="K1205" s="29"/>
      <c r="O1205" s="29"/>
    </row>
    <row r="1206" spans="11:15" ht="12.75">
      <c r="K1206" s="29"/>
      <c r="O1206" s="29"/>
    </row>
    <row r="1207" spans="11:15" ht="12.75">
      <c r="K1207" s="29"/>
      <c r="O1207" s="29"/>
    </row>
    <row r="1208" spans="11:15" ht="12.75">
      <c r="K1208" s="29"/>
      <c r="O1208" s="29"/>
    </row>
    <row r="1209" spans="11:15" ht="12.75">
      <c r="K1209" s="29"/>
      <c r="O1209" s="29"/>
    </row>
    <row r="1210" spans="11:15" ht="12.75">
      <c r="K1210" s="29"/>
      <c r="O1210" s="29"/>
    </row>
    <row r="1211" spans="11:15" ht="12.75">
      <c r="K1211" s="29"/>
      <c r="O1211" s="29"/>
    </row>
    <row r="1212" spans="11:15" ht="12.75">
      <c r="K1212" s="29"/>
      <c r="O1212" s="29"/>
    </row>
    <row r="1213" spans="11:15" ht="12.75">
      <c r="K1213" s="29"/>
      <c r="O1213" s="29"/>
    </row>
    <row r="1214" spans="11:15" ht="12.75">
      <c r="K1214" s="29"/>
      <c r="O1214" s="29"/>
    </row>
    <row r="1215" spans="11:15" ht="12.75">
      <c r="K1215" s="29"/>
      <c r="O1215" s="29"/>
    </row>
    <row r="1216" spans="11:15" ht="12.75">
      <c r="K1216" s="29"/>
      <c r="O1216" s="29"/>
    </row>
    <row r="1217" spans="11:15" ht="12.75">
      <c r="K1217" s="29"/>
      <c r="O1217" s="29"/>
    </row>
    <row r="1218" spans="11:15" ht="12.75">
      <c r="K1218" s="29"/>
      <c r="O1218" s="29"/>
    </row>
    <row r="1219" spans="11:15" ht="12.75">
      <c r="K1219" s="29"/>
      <c r="O1219" s="29"/>
    </row>
    <row r="1220" spans="11:15" ht="12.75">
      <c r="K1220" s="29"/>
      <c r="O1220" s="29"/>
    </row>
    <row r="1221" spans="11:15" ht="12.75">
      <c r="K1221" s="29"/>
      <c r="O1221" s="29"/>
    </row>
    <row r="1222" spans="11:15" ht="12.75">
      <c r="K1222" s="29"/>
      <c r="O1222" s="29"/>
    </row>
    <row r="1223" spans="11:15" ht="12.75">
      <c r="K1223" s="29"/>
      <c r="O1223" s="29"/>
    </row>
    <row r="1224" spans="11:15" ht="12.75">
      <c r="K1224" s="29"/>
      <c r="O1224" s="29"/>
    </row>
    <row r="1225" spans="11:15" ht="12.75">
      <c r="K1225" s="29"/>
      <c r="O1225" s="29"/>
    </row>
    <row r="1226" spans="11:15" ht="12.75">
      <c r="K1226" s="29"/>
      <c r="O1226" s="29"/>
    </row>
    <row r="1227" spans="11:15" ht="12.75">
      <c r="K1227" s="29"/>
      <c r="O1227" s="29"/>
    </row>
    <row r="1228" spans="11:15" ht="12.75">
      <c r="K1228" s="29"/>
      <c r="O1228" s="29"/>
    </row>
    <row r="1229" spans="11:15" ht="12.75">
      <c r="K1229" s="29"/>
      <c r="O1229" s="29"/>
    </row>
    <row r="1230" spans="11:15" ht="12.75">
      <c r="K1230" s="29"/>
      <c r="O1230" s="29"/>
    </row>
    <row r="1231" spans="11:15" ht="12.75">
      <c r="K1231" s="29"/>
      <c r="O1231" s="29"/>
    </row>
    <row r="1232" spans="11:15" ht="12.75">
      <c r="K1232" s="29"/>
      <c r="O1232" s="29"/>
    </row>
    <row r="1233" spans="11:15" ht="12.75">
      <c r="K1233" s="29"/>
      <c r="O1233" s="29"/>
    </row>
    <row r="1234" spans="11:15" ht="12.75">
      <c r="K1234" s="29"/>
      <c r="O1234" s="29"/>
    </row>
    <row r="1235" spans="11:15" ht="12.75">
      <c r="K1235" s="29"/>
      <c r="O1235" s="29"/>
    </row>
    <row r="1236" spans="11:15" ht="12.75">
      <c r="K1236" s="29"/>
      <c r="O1236" s="29"/>
    </row>
    <row r="1237" spans="11:15" ht="12.75">
      <c r="K1237" s="29"/>
      <c r="O1237" s="29"/>
    </row>
    <row r="1238" spans="11:15" ht="12.75">
      <c r="K1238" s="29"/>
      <c r="O1238" s="29"/>
    </row>
    <row r="1239" spans="11:15" ht="12.75">
      <c r="K1239" s="29"/>
      <c r="O1239" s="29"/>
    </row>
    <row r="1240" spans="11:15" ht="12.75">
      <c r="K1240" s="29"/>
      <c r="O1240" s="29"/>
    </row>
    <row r="1241" spans="11:15" ht="12.75">
      <c r="K1241" s="29"/>
      <c r="O1241" s="29"/>
    </row>
    <row r="1242" spans="11:15" ht="12.75">
      <c r="K1242" s="29"/>
      <c r="O1242" s="29"/>
    </row>
    <row r="1243" spans="11:15" ht="12.75">
      <c r="K1243" s="29"/>
      <c r="O1243" s="29"/>
    </row>
    <row r="1244" spans="11:15" ht="12.75">
      <c r="K1244" s="29"/>
      <c r="O1244" s="29"/>
    </row>
    <row r="1245" spans="11:15" ht="12.75">
      <c r="K1245" s="29"/>
      <c r="O1245" s="29"/>
    </row>
    <row r="1246" spans="11:15" ht="12.75">
      <c r="K1246" s="29"/>
      <c r="O1246" s="29"/>
    </row>
    <row r="1247" spans="11:15" ht="12.75">
      <c r="K1247" s="29"/>
      <c r="O1247" s="29"/>
    </row>
    <row r="1248" spans="11:15" ht="12.75">
      <c r="K1248" s="29"/>
      <c r="O1248" s="29"/>
    </row>
    <row r="1249" spans="11:15" ht="12.75">
      <c r="K1249" s="29"/>
      <c r="O1249" s="29"/>
    </row>
    <row r="1250" spans="11:15" ht="12.75">
      <c r="K1250" s="29"/>
      <c r="O1250" s="29"/>
    </row>
    <row r="1251" spans="11:15" ht="12.75">
      <c r="K1251" s="29"/>
      <c r="O1251" s="29"/>
    </row>
    <row r="1252" spans="11:15" ht="12.75">
      <c r="K1252" s="29"/>
      <c r="O1252" s="29"/>
    </row>
    <row r="1253" spans="11:15" ht="12.75">
      <c r="K1253" s="29"/>
      <c r="O1253" s="29"/>
    </row>
    <row r="1254" spans="11:15" ht="12.75">
      <c r="K1254" s="29"/>
      <c r="O1254" s="29"/>
    </row>
    <row r="1255" spans="11:15" ht="12.75">
      <c r="K1255" s="29"/>
      <c r="O1255" s="29"/>
    </row>
    <row r="1256" spans="11:15" ht="12.75">
      <c r="K1256" s="29"/>
      <c r="O1256" s="29"/>
    </row>
    <row r="1257" spans="11:15" ht="12.75">
      <c r="K1257" s="29"/>
      <c r="O1257" s="29"/>
    </row>
    <row r="1258" spans="11:15" ht="12.75">
      <c r="K1258" s="29"/>
      <c r="O1258" s="29"/>
    </row>
    <row r="1259" spans="11:15" ht="12.75">
      <c r="K1259" s="29"/>
      <c r="O1259" s="29"/>
    </row>
    <row r="1260" spans="11:15" ht="12.75">
      <c r="K1260" s="29"/>
      <c r="O1260" s="29"/>
    </row>
    <row r="1261" spans="11:15" ht="12.75">
      <c r="K1261" s="29"/>
      <c r="O1261" s="29"/>
    </row>
    <row r="1262" spans="11:15" ht="12.75">
      <c r="K1262" s="29"/>
      <c r="O1262" s="29"/>
    </row>
    <row r="1263" spans="11:15" ht="12.75">
      <c r="K1263" s="29"/>
      <c r="O1263" s="29"/>
    </row>
    <row r="1264" spans="11:15" ht="12.75">
      <c r="K1264" s="29"/>
      <c r="O1264" s="29"/>
    </row>
    <row r="1265" spans="11:15" ht="12.75">
      <c r="K1265" s="29"/>
      <c r="O1265" s="29"/>
    </row>
    <row r="1266" spans="11:15" ht="12.75">
      <c r="K1266" s="29"/>
      <c r="O1266" s="29"/>
    </row>
    <row r="1267" spans="11:15" ht="12.75">
      <c r="K1267" s="29"/>
      <c r="O1267" s="29"/>
    </row>
    <row r="1268" spans="11:15" ht="12.75">
      <c r="K1268" s="29"/>
      <c r="O1268" s="29"/>
    </row>
    <row r="1269" spans="11:15" ht="12.75">
      <c r="K1269" s="29"/>
      <c r="O1269" s="29"/>
    </row>
    <row r="1270" spans="11:15" ht="12.75">
      <c r="K1270" s="29"/>
      <c r="O1270" s="29"/>
    </row>
    <row r="1271" spans="11:15" ht="12.75">
      <c r="K1271" s="29"/>
      <c r="O1271" s="29"/>
    </row>
    <row r="1272" spans="11:15" ht="12.75">
      <c r="K1272" s="29"/>
      <c r="O1272" s="29"/>
    </row>
    <row r="1273" spans="11:15" ht="12.75">
      <c r="K1273" s="29"/>
      <c r="O1273" s="29"/>
    </row>
    <row r="1274" spans="11:15" ht="12.75">
      <c r="K1274" s="29"/>
      <c r="O1274" s="29"/>
    </row>
    <row r="1275" spans="11:15" ht="12.75">
      <c r="K1275" s="29"/>
      <c r="O1275" s="29"/>
    </row>
    <row r="1276" spans="11:15" ht="12.75">
      <c r="K1276" s="29"/>
      <c r="O1276" s="29"/>
    </row>
    <row r="1277" spans="11:15" ht="12.75">
      <c r="K1277" s="29"/>
      <c r="O1277" s="29"/>
    </row>
    <row r="1278" spans="11:15" ht="12.75">
      <c r="K1278" s="29"/>
      <c r="O1278" s="29"/>
    </row>
    <row r="1279" spans="11:15" ht="12.75">
      <c r="K1279" s="29"/>
      <c r="O1279" s="29"/>
    </row>
    <row r="1280" spans="11:15" ht="12.75">
      <c r="K1280" s="29"/>
      <c r="O1280" s="29"/>
    </row>
    <row r="1281" spans="11:15" ht="12.75">
      <c r="K1281" s="29"/>
      <c r="O1281" s="29"/>
    </row>
    <row r="1282" spans="11:15" ht="12.75">
      <c r="K1282" s="29"/>
      <c r="O1282" s="29"/>
    </row>
    <row r="1283" spans="11:15" ht="12.75">
      <c r="K1283" s="29"/>
      <c r="O1283" s="29"/>
    </row>
    <row r="1284" spans="11:15" ht="12.75">
      <c r="K1284" s="29"/>
      <c r="O1284" s="29"/>
    </row>
    <row r="1285" spans="11:15" ht="12.75">
      <c r="K1285" s="29"/>
      <c r="O1285" s="29"/>
    </row>
    <row r="1286" spans="11:15" ht="12.75">
      <c r="K1286" s="29"/>
      <c r="O1286" s="29"/>
    </row>
    <row r="1287" spans="11:15" ht="12.75">
      <c r="K1287" s="29"/>
      <c r="O1287" s="29"/>
    </row>
    <row r="1288" spans="11:15" ht="12.75">
      <c r="K1288" s="29"/>
      <c r="O1288" s="29"/>
    </row>
    <row r="1289" spans="11:15" ht="12.75">
      <c r="K1289" s="29"/>
      <c r="O1289" s="29"/>
    </row>
    <row r="1290" spans="11:15" ht="12.75">
      <c r="K1290" s="29"/>
      <c r="O1290" s="29"/>
    </row>
    <row r="1291" spans="11:15" ht="12.75">
      <c r="K1291" s="29"/>
      <c r="O1291" s="29"/>
    </row>
    <row r="1292" spans="11:15" ht="12.75">
      <c r="K1292" s="29"/>
      <c r="O1292" s="29"/>
    </row>
    <row r="1293" spans="11:15" ht="12.75">
      <c r="K1293" s="29"/>
      <c r="O1293" s="29"/>
    </row>
    <row r="1294" spans="11:15" ht="12.75">
      <c r="K1294" s="29"/>
      <c r="O1294" s="29"/>
    </row>
    <row r="1295" spans="11:15" ht="12.75">
      <c r="K1295" s="29"/>
      <c r="O1295" s="29"/>
    </row>
    <row r="1296" spans="11:15" ht="12.75">
      <c r="K1296" s="29"/>
      <c r="O1296" s="29"/>
    </row>
    <row r="1297" spans="11:15" ht="12.75">
      <c r="K1297" s="29"/>
      <c r="O1297" s="29"/>
    </row>
    <row r="1298" spans="11:15" ht="12.75">
      <c r="K1298" s="29"/>
      <c r="O1298" s="29"/>
    </row>
    <row r="1299" spans="11:15" ht="12.75">
      <c r="K1299" s="29"/>
      <c r="O1299" s="29"/>
    </row>
    <row r="1300" spans="11:15" ht="12.75">
      <c r="K1300" s="29"/>
      <c r="O1300" s="29"/>
    </row>
    <row r="1301" spans="11:15" ht="12.75">
      <c r="K1301" s="29"/>
      <c r="O1301" s="29"/>
    </row>
    <row r="1302" spans="11:15" ht="12.75">
      <c r="K1302" s="29"/>
      <c r="O1302" s="29"/>
    </row>
    <row r="1303" spans="11:15" ht="12.75">
      <c r="K1303" s="29"/>
      <c r="O1303" s="29"/>
    </row>
    <row r="1304" spans="11:15" ht="12.75">
      <c r="K1304" s="29"/>
      <c r="O1304" s="29"/>
    </row>
    <row r="1305" spans="11:15" ht="12.75">
      <c r="K1305" s="29"/>
      <c r="O1305" s="29"/>
    </row>
    <row r="1306" spans="11:15" ht="12.75">
      <c r="K1306" s="29"/>
      <c r="O1306" s="29"/>
    </row>
    <row r="1307" spans="11:15" ht="12.75">
      <c r="K1307" s="29"/>
      <c r="O1307" s="29"/>
    </row>
    <row r="1308" spans="11:15" ht="12.75">
      <c r="K1308" s="29"/>
      <c r="O1308" s="29"/>
    </row>
    <row r="1309" spans="11:15" ht="12.75">
      <c r="K1309" s="29"/>
      <c r="O1309" s="29"/>
    </row>
    <row r="1310" spans="11:15" ht="12.75">
      <c r="K1310" s="29"/>
      <c r="O1310" s="29"/>
    </row>
    <row r="1311" spans="11:15" ht="12.75">
      <c r="K1311" s="29"/>
      <c r="O1311" s="29"/>
    </row>
    <row r="1312" spans="11:15" ht="12.75">
      <c r="K1312" s="29"/>
      <c r="O1312" s="29"/>
    </row>
    <row r="1313" spans="11:15" ht="12.75">
      <c r="K1313" s="29"/>
      <c r="O1313" s="29"/>
    </row>
    <row r="1314" spans="11:15" ht="12.75">
      <c r="K1314" s="29"/>
      <c r="O1314" s="29"/>
    </row>
    <row r="1315" spans="11:15" ht="12.75">
      <c r="K1315" s="29"/>
      <c r="O1315" s="29"/>
    </row>
    <row r="1316" spans="11:15" ht="12.75">
      <c r="K1316" s="29"/>
      <c r="O1316" s="29"/>
    </row>
    <row r="1317" spans="11:15" ht="12.75">
      <c r="K1317" s="29"/>
      <c r="O1317" s="29"/>
    </row>
    <row r="1318" spans="11:15" ht="12.75">
      <c r="K1318" s="29"/>
      <c r="O1318" s="29"/>
    </row>
    <row r="1319" spans="11:15" ht="12.75">
      <c r="K1319" s="29"/>
      <c r="O1319" s="29"/>
    </row>
    <row r="1320" spans="11:15" ht="12.75">
      <c r="K1320" s="29"/>
      <c r="O1320" s="29"/>
    </row>
    <row r="1321" spans="11:15" ht="12.75">
      <c r="K1321" s="29"/>
      <c r="O1321" s="29"/>
    </row>
    <row r="1322" spans="11:15" ht="12.75">
      <c r="K1322" s="29"/>
      <c r="O1322" s="29"/>
    </row>
    <row r="1323" spans="11:15" ht="12.75">
      <c r="K1323" s="29"/>
      <c r="O1323" s="29"/>
    </row>
    <row r="1324" spans="11:15" ht="12.75">
      <c r="K1324" s="29"/>
      <c r="O1324" s="29"/>
    </row>
    <row r="1325" spans="11:15" ht="12.75">
      <c r="K1325" s="29"/>
      <c r="O1325" s="29"/>
    </row>
    <row r="1326" spans="11:15" ht="12.75">
      <c r="K1326" s="29"/>
      <c r="O1326" s="29"/>
    </row>
    <row r="1327" spans="11:15" ht="12.75">
      <c r="K1327" s="29"/>
      <c r="O1327" s="29"/>
    </row>
    <row r="1328" spans="11:15" ht="12.75">
      <c r="K1328" s="29"/>
      <c r="O1328" s="29"/>
    </row>
    <row r="1329" spans="11:15" ht="12.75">
      <c r="K1329" s="29"/>
      <c r="O1329" s="29"/>
    </row>
    <row r="1330" spans="11:15" ht="12.75">
      <c r="K1330" s="29"/>
      <c r="O1330" s="29"/>
    </row>
    <row r="1331" spans="11:15" ht="12.75">
      <c r="K1331" s="29"/>
      <c r="O1331" s="29"/>
    </row>
    <row r="1332" spans="11:15" ht="12.75">
      <c r="K1332" s="29"/>
      <c r="O1332" s="29"/>
    </row>
    <row r="1333" spans="11:15" ht="12.75">
      <c r="K1333" s="29"/>
      <c r="O1333" s="29"/>
    </row>
    <row r="1334" spans="11:15" ht="12.75">
      <c r="K1334" s="29"/>
      <c r="O1334" s="29"/>
    </row>
    <row r="1335" spans="11:15" ht="12.75">
      <c r="K1335" s="29"/>
      <c r="O1335" s="29"/>
    </row>
    <row r="1336" spans="11:15" ht="12.75">
      <c r="K1336" s="29"/>
      <c r="O1336" s="29"/>
    </row>
    <row r="1337" spans="11:15" ht="12.75">
      <c r="K1337" s="29"/>
      <c r="O1337" s="29"/>
    </row>
    <row r="1338" spans="11:15" ht="12.75">
      <c r="K1338" s="29"/>
      <c r="O1338" s="29"/>
    </row>
    <row r="1339" spans="11:15" ht="12.75">
      <c r="K1339" s="29"/>
      <c r="O1339" s="29"/>
    </row>
    <row r="1340" spans="11:15" ht="12.75">
      <c r="K1340" s="29"/>
      <c r="O1340" s="29"/>
    </row>
    <row r="1341" spans="11:15" ht="12.75">
      <c r="K1341" s="29"/>
      <c r="O1341" s="29"/>
    </row>
    <row r="1342" spans="11:15" ht="12.75">
      <c r="K1342" s="29"/>
      <c r="O1342" s="29"/>
    </row>
    <row r="1343" spans="11:15" ht="12.75">
      <c r="K1343" s="29"/>
      <c r="O1343" s="29"/>
    </row>
    <row r="1344" spans="11:15" ht="12.75">
      <c r="K1344" s="29"/>
      <c r="O1344" s="29"/>
    </row>
    <row r="1345" spans="11:15" ht="12.75">
      <c r="K1345" s="29"/>
      <c r="O1345" s="29"/>
    </row>
    <row r="1346" spans="11:15" ht="12.75">
      <c r="K1346" s="29"/>
      <c r="O1346" s="29"/>
    </row>
    <row r="1347" spans="11:15" ht="12.75">
      <c r="K1347" s="29"/>
      <c r="O1347" s="29"/>
    </row>
    <row r="1348" spans="11:15" ht="12.75">
      <c r="K1348" s="29"/>
      <c r="O1348" s="29"/>
    </row>
    <row r="1349" spans="11:15" ht="12.75">
      <c r="K1349" s="29"/>
      <c r="O1349" s="29"/>
    </row>
    <row r="1350" spans="11:15" ht="12.75">
      <c r="K1350" s="29"/>
      <c r="O1350" s="29"/>
    </row>
    <row r="1351" spans="11:15" ht="12.75">
      <c r="K1351" s="29"/>
      <c r="O1351" s="29"/>
    </row>
    <row r="1352" spans="11:15" ht="12.75">
      <c r="K1352" s="29"/>
      <c r="O1352" s="29"/>
    </row>
    <row r="1353" spans="11:15" ht="12.75">
      <c r="K1353" s="29"/>
      <c r="O1353" s="29"/>
    </row>
    <row r="1354" spans="11:15" ht="12.75">
      <c r="K1354" s="29"/>
      <c r="O1354" s="29"/>
    </row>
    <row r="1355" spans="11:15" ht="12.75">
      <c r="K1355" s="29"/>
      <c r="O1355" s="29"/>
    </row>
    <row r="1356" spans="11:15" ht="12.75">
      <c r="K1356" s="29"/>
      <c r="O1356" s="29"/>
    </row>
    <row r="1357" spans="11:15" ht="12.75">
      <c r="K1357" s="29"/>
      <c r="O1357" s="29"/>
    </row>
    <row r="1358" spans="11:15" ht="12.75">
      <c r="K1358" s="29"/>
      <c r="O1358" s="29"/>
    </row>
    <row r="1359" spans="11:15" ht="12.75">
      <c r="K1359" s="29"/>
      <c r="O1359" s="29"/>
    </row>
    <row r="1360" spans="11:15" ht="12.75">
      <c r="K1360" s="29"/>
      <c r="O1360" s="29"/>
    </row>
    <row r="1361" spans="11:15" ht="12.75">
      <c r="K1361" s="29"/>
      <c r="O1361" s="29"/>
    </row>
    <row r="1362" spans="11:15" ht="12.75">
      <c r="K1362" s="29"/>
      <c r="O1362" s="29"/>
    </row>
    <row r="1363" spans="11:15" ht="12.75">
      <c r="K1363" s="29"/>
      <c r="O1363" s="29"/>
    </row>
    <row r="1364" spans="11:15" ht="12.75">
      <c r="K1364" s="29"/>
      <c r="O1364" s="29"/>
    </row>
    <row r="1365" spans="11:15" ht="12.75">
      <c r="K1365" s="29"/>
      <c r="O1365" s="29"/>
    </row>
    <row r="1366" spans="11:15" ht="12.75">
      <c r="K1366" s="29"/>
      <c r="O1366" s="29"/>
    </row>
    <row r="1367" spans="11:15" ht="12.75">
      <c r="K1367" s="29"/>
      <c r="O1367" s="29"/>
    </row>
    <row r="1368" spans="11:15" ht="12.75">
      <c r="K1368" s="29"/>
      <c r="O1368" s="29"/>
    </row>
    <row r="1369" spans="11:15" ht="12.75">
      <c r="K1369" s="29"/>
      <c r="O1369" s="29"/>
    </row>
    <row r="1370" spans="11:15" ht="12.75">
      <c r="K1370" s="29"/>
      <c r="O1370" s="29"/>
    </row>
    <row r="1371" spans="11:15" ht="12.75">
      <c r="K1371" s="29"/>
      <c r="O1371" s="29"/>
    </row>
    <row r="1372" spans="11:15" ht="12.75">
      <c r="K1372" s="29"/>
      <c r="O1372" s="29"/>
    </row>
    <row r="1373" spans="11:15" ht="12.75">
      <c r="K1373" s="29"/>
      <c r="O1373" s="29"/>
    </row>
    <row r="1374" spans="11:15" ht="12.75">
      <c r="K1374" s="29"/>
      <c r="O1374" s="29"/>
    </row>
    <row r="1375" spans="11:15" ht="12.75">
      <c r="K1375" s="29"/>
      <c r="O1375" s="29"/>
    </row>
    <row r="1376" spans="11:15" ht="12.75">
      <c r="K1376" s="29"/>
      <c r="O1376" s="29"/>
    </row>
    <row r="1377" spans="11:15" ht="12.75">
      <c r="K1377" s="29"/>
      <c r="O1377" s="29"/>
    </row>
    <row r="1378" spans="11:15" ht="12.75">
      <c r="K1378" s="29"/>
      <c r="O1378" s="29"/>
    </row>
    <row r="1379" spans="11:15" ht="12.75">
      <c r="K1379" s="29"/>
      <c r="O1379" s="29"/>
    </row>
    <row r="1380" spans="11:15" ht="12.75">
      <c r="K1380" s="29"/>
      <c r="O1380" s="29"/>
    </row>
    <row r="1381" spans="11:15" ht="12.75">
      <c r="K1381" s="29"/>
      <c r="O1381" s="29"/>
    </row>
    <row r="1382" spans="11:15" ht="12.75">
      <c r="K1382" s="29"/>
      <c r="O1382" s="29"/>
    </row>
    <row r="1383" spans="11:15" ht="12.75">
      <c r="K1383" s="29"/>
      <c r="O1383" s="29"/>
    </row>
    <row r="1384" spans="11:15" ht="12.75">
      <c r="K1384" s="29"/>
      <c r="O1384" s="29"/>
    </row>
    <row r="1385" spans="11:15" ht="12.75">
      <c r="K1385" s="29"/>
      <c r="O1385" s="29"/>
    </row>
    <row r="1386" spans="11:15" ht="12.75">
      <c r="K1386" s="29"/>
      <c r="O1386" s="29"/>
    </row>
    <row r="1387" spans="11:15" ht="12.75">
      <c r="K1387" s="29"/>
      <c r="O1387" s="29"/>
    </row>
    <row r="1388" spans="11:15" ht="12.75">
      <c r="K1388" s="29"/>
      <c r="O1388" s="29"/>
    </row>
    <row r="1389" spans="11:15" ht="12.75">
      <c r="K1389" s="29"/>
      <c r="O1389" s="29"/>
    </row>
    <row r="1390" spans="11:15" ht="12.75">
      <c r="K1390" s="29"/>
      <c r="O1390" s="29"/>
    </row>
    <row r="1391" spans="11:15" ht="12.75">
      <c r="K1391" s="29"/>
      <c r="O1391" s="29"/>
    </row>
    <row r="1392" spans="11:15" ht="12.75">
      <c r="K1392" s="29"/>
      <c r="O1392" s="29"/>
    </row>
    <row r="1393" spans="11:15" ht="12.75">
      <c r="K1393" s="29"/>
      <c r="O1393" s="29"/>
    </row>
    <row r="1394" spans="11:15" ht="12.75">
      <c r="K1394" s="29"/>
      <c r="O1394" s="29"/>
    </row>
    <row r="1395" spans="11:15" ht="12.75">
      <c r="K1395" s="29"/>
      <c r="O1395" s="29"/>
    </row>
    <row r="1396" spans="11:15" ht="12.75">
      <c r="K1396" s="29"/>
      <c r="O1396" s="29"/>
    </row>
    <row r="1397" spans="11:15" ht="12.75">
      <c r="K1397" s="29"/>
      <c r="O1397" s="29"/>
    </row>
    <row r="1398" spans="11:15" ht="12.75">
      <c r="K1398" s="29"/>
      <c r="O1398" s="29"/>
    </row>
    <row r="1399" spans="11:15" ht="12.75">
      <c r="K1399" s="29"/>
      <c r="O1399" s="29"/>
    </row>
    <row r="1400" spans="11:15" ht="12.75">
      <c r="K1400" s="29"/>
      <c r="O1400" s="29"/>
    </row>
    <row r="1401" spans="11:15" ht="12.75">
      <c r="K1401" s="29"/>
      <c r="O1401" s="29"/>
    </row>
    <row r="1402" spans="11:15" ht="12.75">
      <c r="K1402" s="29"/>
      <c r="O1402" s="29"/>
    </row>
    <row r="1403" spans="11:15" ht="12.75">
      <c r="K1403" s="29"/>
      <c r="O1403" s="29"/>
    </row>
    <row r="1404" spans="11:15" ht="12.75">
      <c r="K1404" s="29"/>
      <c r="O1404" s="29"/>
    </row>
    <row r="1405" spans="11:15" ht="12.75">
      <c r="K1405" s="29"/>
      <c r="O1405" s="29"/>
    </row>
    <row r="1406" spans="11:15" ht="12.75">
      <c r="K1406" s="29"/>
      <c r="O1406" s="29"/>
    </row>
    <row r="1407" spans="11:15" ht="12.75">
      <c r="K1407" s="29"/>
      <c r="O1407" s="29"/>
    </row>
    <row r="1408" spans="11:15" ht="12.75">
      <c r="K1408" s="29"/>
      <c r="O1408" s="29"/>
    </row>
    <row r="1409" spans="11:15" ht="12.75">
      <c r="K1409" s="29"/>
      <c r="O1409" s="29"/>
    </row>
    <row r="1410" spans="11:15" ht="12.75">
      <c r="K1410" s="29"/>
      <c r="O1410" s="29"/>
    </row>
    <row r="1411" spans="11:15" ht="12.75">
      <c r="K1411" s="29"/>
      <c r="O1411" s="29"/>
    </row>
    <row r="1412" spans="11:15" ht="12.75">
      <c r="K1412" s="29"/>
      <c r="O1412" s="29"/>
    </row>
    <row r="1413" spans="11:15" ht="12.75">
      <c r="K1413" s="29"/>
      <c r="O1413" s="29"/>
    </row>
    <row r="1414" spans="11:15" ht="12.75">
      <c r="K1414" s="29"/>
      <c r="O1414" s="29"/>
    </row>
    <row r="1415" spans="11:15" ht="12.75">
      <c r="K1415" s="29"/>
      <c r="O1415" s="29"/>
    </row>
    <row r="1416" spans="11:15" ht="12.75">
      <c r="K1416" s="29"/>
      <c r="O1416" s="29"/>
    </row>
    <row r="1417" spans="11:15" ht="12.75">
      <c r="K1417" s="29"/>
      <c r="O1417" s="29"/>
    </row>
    <row r="1418" spans="11:15" ht="12.75">
      <c r="K1418" s="29"/>
      <c r="O1418" s="29"/>
    </row>
    <row r="1419" spans="11:15" ht="12.75">
      <c r="K1419" s="29"/>
      <c r="O1419" s="29"/>
    </row>
    <row r="1420" spans="11:15" ht="12.75">
      <c r="K1420" s="29"/>
      <c r="O1420" s="29"/>
    </row>
    <row r="1421" spans="11:15" ht="12.75">
      <c r="K1421" s="29"/>
      <c r="O1421" s="29"/>
    </row>
    <row r="1422" spans="11:15" ht="12.75">
      <c r="K1422" s="29"/>
      <c r="O1422" s="29"/>
    </row>
    <row r="1423" spans="11:15" ht="12.75">
      <c r="K1423" s="29"/>
      <c r="O1423" s="29"/>
    </row>
    <row r="1424" spans="11:15" ht="12.75">
      <c r="K1424" s="29"/>
      <c r="O1424" s="29"/>
    </row>
    <row r="1425" spans="11:15" ht="12.75">
      <c r="K1425" s="29"/>
      <c r="O1425" s="29"/>
    </row>
    <row r="1426" spans="11:15" ht="12.75">
      <c r="K1426" s="29"/>
      <c r="O1426" s="29"/>
    </row>
    <row r="1427" spans="11:15" ht="12.75">
      <c r="K1427" s="29"/>
      <c r="O1427" s="29"/>
    </row>
    <row r="1428" spans="11:15" ht="12.75">
      <c r="K1428" s="29"/>
      <c r="O1428" s="29"/>
    </row>
    <row r="1429" spans="11:15" ht="12.75">
      <c r="K1429" s="29"/>
      <c r="O1429" s="29"/>
    </row>
    <row r="1430" spans="11:15" ht="12.75">
      <c r="K1430" s="29"/>
      <c r="O1430" s="29"/>
    </row>
    <row r="1431" spans="11:15" ht="12.75">
      <c r="K1431" s="29"/>
      <c r="O1431" s="29"/>
    </row>
    <row r="1432" spans="11:15" ht="12.75">
      <c r="K1432" s="29"/>
      <c r="O1432" s="29"/>
    </row>
    <row r="1433" spans="11:15" ht="12.75">
      <c r="K1433" s="29"/>
      <c r="O1433" s="29"/>
    </row>
    <row r="1434" spans="11:15" ht="12.75">
      <c r="K1434" s="29"/>
      <c r="O1434" s="29"/>
    </row>
    <row r="1435" spans="11:15" ht="12.75">
      <c r="K1435" s="29"/>
      <c r="O1435" s="29"/>
    </row>
    <row r="1436" spans="11:15" ht="12.75">
      <c r="K1436" s="29"/>
      <c r="O1436" s="29"/>
    </row>
    <row r="1437" spans="11:15" ht="12.75">
      <c r="K1437" s="29"/>
      <c r="O1437" s="29"/>
    </row>
    <row r="1438" spans="11:15" ht="12.75">
      <c r="K1438" s="29"/>
      <c r="O1438" s="29"/>
    </row>
    <row r="1439" spans="11:15" ht="12.75">
      <c r="K1439" s="29"/>
      <c r="O1439" s="29"/>
    </row>
    <row r="1440" spans="11:15" ht="12.75">
      <c r="K1440" s="29"/>
      <c r="O1440" s="29"/>
    </row>
    <row r="1441" spans="11:15" ht="12.75">
      <c r="K1441" s="29"/>
      <c r="O1441" s="29"/>
    </row>
    <row r="1442" spans="11:15" ht="12.75">
      <c r="K1442" s="29"/>
      <c r="O1442" s="29"/>
    </row>
    <row r="1443" spans="11:15" ht="12.75">
      <c r="K1443" s="29"/>
      <c r="O1443" s="29"/>
    </row>
    <row r="1444" spans="11:15" ht="12.75">
      <c r="K1444" s="29"/>
      <c r="O1444" s="29"/>
    </row>
    <row r="1445" spans="11:15" ht="12.75">
      <c r="K1445" s="29"/>
      <c r="O1445" s="29"/>
    </row>
    <row r="1446" spans="11:15" ht="12.75">
      <c r="K1446" s="29"/>
      <c r="O1446" s="29"/>
    </row>
    <row r="1447" spans="11:15" ht="12.75">
      <c r="K1447" s="29"/>
      <c r="O1447" s="29"/>
    </row>
    <row r="1448" spans="11:15" ht="12.75">
      <c r="K1448" s="29"/>
      <c r="O1448" s="29"/>
    </row>
    <row r="1449" spans="11:15" ht="12.75">
      <c r="K1449" s="29"/>
      <c r="O1449" s="29"/>
    </row>
    <row r="1450" spans="11:15" ht="12.75">
      <c r="K1450" s="29"/>
      <c r="O1450" s="29"/>
    </row>
    <row r="1451" spans="11:15" ht="12.75">
      <c r="K1451" s="29"/>
      <c r="O1451" s="29"/>
    </row>
    <row r="1452" spans="11:15" ht="12.75">
      <c r="K1452" s="29"/>
      <c r="O1452" s="29"/>
    </row>
    <row r="1453" spans="11:15" ht="12.75">
      <c r="K1453" s="29"/>
      <c r="O1453" s="29"/>
    </row>
    <row r="1454" spans="11:15" ht="12.75">
      <c r="K1454" s="29"/>
      <c r="O1454" s="29"/>
    </row>
    <row r="1455" spans="11:15" ht="12.75">
      <c r="K1455" s="29"/>
      <c r="O1455" s="29"/>
    </row>
    <row r="1456" spans="11:15" ht="12.75">
      <c r="K1456" s="29"/>
      <c r="O1456" s="29"/>
    </row>
    <row r="1457" spans="11:15" ht="12.75">
      <c r="K1457" s="29"/>
      <c r="O1457" s="29"/>
    </row>
    <row r="1458" spans="11:15" ht="12.75">
      <c r="K1458" s="29"/>
      <c r="O1458" s="29"/>
    </row>
    <row r="1459" spans="11:15" ht="12.75">
      <c r="K1459" s="29"/>
      <c r="O1459" s="29"/>
    </row>
    <row r="1460" spans="11:15" ht="12.75">
      <c r="K1460" s="29"/>
      <c r="O1460" s="29"/>
    </row>
    <row r="1461" spans="11:15" ht="12.75">
      <c r="K1461" s="29"/>
      <c r="O1461" s="29"/>
    </row>
    <row r="1462" spans="11:15" ht="12.75">
      <c r="K1462" s="29"/>
      <c r="O1462" s="29"/>
    </row>
    <row r="1463" spans="11:15" ht="12.75">
      <c r="K1463" s="29"/>
      <c r="O1463" s="29"/>
    </row>
    <row r="1464" spans="11:15" ht="12.75">
      <c r="K1464" s="29"/>
      <c r="O1464" s="29"/>
    </row>
    <row r="1465" spans="11:15" ht="12.75">
      <c r="K1465" s="29"/>
      <c r="O1465" s="29"/>
    </row>
    <row r="1466" spans="11:15" ht="12.75">
      <c r="K1466" s="29"/>
      <c r="O1466" s="29"/>
    </row>
    <row r="1467" spans="11:15" ht="12.75">
      <c r="K1467" s="29"/>
      <c r="O1467" s="29"/>
    </row>
    <row r="1468" spans="11:15" ht="12.75">
      <c r="K1468" s="29"/>
      <c r="O1468" s="29"/>
    </row>
    <row r="1469" spans="11:15" ht="12.75">
      <c r="K1469" s="29"/>
      <c r="O1469" s="29"/>
    </row>
    <row r="1470" spans="11:15" ht="12.75">
      <c r="K1470" s="29"/>
      <c r="O1470" s="29"/>
    </row>
    <row r="1471" spans="11:15" ht="12.75">
      <c r="K1471" s="29"/>
      <c r="O1471" s="29"/>
    </row>
    <row r="1472" spans="11:15" ht="12.75">
      <c r="K1472" s="29"/>
      <c r="O1472" s="29"/>
    </row>
    <row r="1473" spans="11:15" ht="12.75">
      <c r="K1473" s="29"/>
      <c r="O1473" s="29"/>
    </row>
    <row r="1474" spans="11:15" ht="12.75">
      <c r="K1474" s="29"/>
      <c r="O1474" s="29"/>
    </row>
    <row r="1475" spans="11:15" ht="12.75">
      <c r="K1475" s="29"/>
      <c r="O1475" s="29"/>
    </row>
    <row r="1476" spans="11:15" ht="12.75">
      <c r="K1476" s="29"/>
      <c r="O1476" s="29"/>
    </row>
    <row r="1477" spans="11:15" ht="12.75">
      <c r="K1477" s="29"/>
      <c r="O1477" s="29"/>
    </row>
    <row r="1478" spans="11:15" ht="12.75">
      <c r="K1478" s="29"/>
      <c r="O1478" s="29"/>
    </row>
    <row r="1479" spans="11:15" ht="12.75">
      <c r="K1479" s="29"/>
      <c r="O1479" s="29"/>
    </row>
    <row r="1480" spans="11:15" ht="12.75">
      <c r="K1480" s="29"/>
      <c r="O1480" s="29"/>
    </row>
    <row r="1481" spans="11:15" ht="12.75">
      <c r="K1481" s="29"/>
      <c r="O1481" s="29"/>
    </row>
    <row r="1482" spans="11:15" ht="12.75">
      <c r="K1482" s="29"/>
      <c r="O1482" s="29"/>
    </row>
    <row r="1483" spans="11:15" ht="12.75">
      <c r="K1483" s="29"/>
      <c r="O1483" s="29"/>
    </row>
    <row r="1484" spans="11:15" ht="12.75">
      <c r="K1484" s="29"/>
      <c r="O1484" s="29"/>
    </row>
    <row r="1485" spans="11:15" ht="12.75">
      <c r="K1485" s="29"/>
      <c r="O1485" s="29"/>
    </row>
    <row r="1486" spans="11:15" ht="12.75">
      <c r="K1486" s="29"/>
      <c r="O1486" s="29"/>
    </row>
    <row r="1487" spans="11:15" ht="12.75">
      <c r="K1487" s="29"/>
      <c r="O1487" s="29"/>
    </row>
    <row r="1488" spans="11:15" ht="12.75">
      <c r="K1488" s="29"/>
      <c r="O1488" s="29"/>
    </row>
    <row r="1489" spans="11:15" ht="12.75">
      <c r="K1489" s="29"/>
      <c r="O1489" s="29"/>
    </row>
    <row r="1490" spans="11:15" ht="12.75">
      <c r="K1490" s="29"/>
      <c r="O1490" s="29"/>
    </row>
    <row r="1491" spans="11:15" ht="12.75">
      <c r="K1491" s="29"/>
      <c r="O1491" s="29"/>
    </row>
    <row r="1492" spans="11:15" ht="12.75">
      <c r="K1492" s="29"/>
      <c r="O1492" s="29"/>
    </row>
    <row r="1493" spans="11:15" ht="12.75">
      <c r="K1493" s="29"/>
      <c r="O1493" s="29"/>
    </row>
    <row r="1494" spans="11:15" ht="12.75">
      <c r="K1494" s="29"/>
      <c r="O1494" s="29"/>
    </row>
    <row r="1495" spans="11:15" ht="12.75">
      <c r="K1495" s="29"/>
      <c r="O1495" s="29"/>
    </row>
    <row r="1496" spans="11:15" ht="12.75">
      <c r="K1496" s="29"/>
      <c r="O1496" s="29"/>
    </row>
    <row r="1497" spans="11:15" ht="12.75">
      <c r="K1497" s="29"/>
      <c r="O1497" s="29"/>
    </row>
    <row r="1498" spans="11:15" ht="12.75">
      <c r="K1498" s="29"/>
      <c r="O1498" s="29"/>
    </row>
    <row r="1499" spans="11:15" ht="12.75">
      <c r="K1499" s="29"/>
      <c r="O1499" s="29"/>
    </row>
    <row r="1500" spans="11:15" ht="12.75">
      <c r="K1500" s="29"/>
      <c r="O1500" s="29"/>
    </row>
    <row r="1501" spans="11:15" ht="12.75">
      <c r="K1501" s="29"/>
      <c r="O1501" s="29"/>
    </row>
    <row r="1502" spans="11:15" ht="12.75">
      <c r="K1502" s="29"/>
      <c r="O1502" s="29"/>
    </row>
    <row r="1503" spans="11:15" ht="12.75">
      <c r="K1503" s="29"/>
      <c r="O1503" s="29"/>
    </row>
    <row r="1504" spans="11:15" ht="12.75">
      <c r="K1504" s="29"/>
      <c r="O1504" s="29"/>
    </row>
    <row r="1505" spans="11:15" ht="12.75">
      <c r="K1505" s="29"/>
      <c r="O1505" s="29"/>
    </row>
    <row r="1506" spans="11:15" ht="12.75">
      <c r="K1506" s="29"/>
      <c r="O1506" s="29"/>
    </row>
    <row r="1507" spans="11:15" ht="12.75">
      <c r="K1507" s="29"/>
      <c r="O1507" s="29"/>
    </row>
    <row r="1508" spans="11:15" ht="12.75">
      <c r="K1508" s="29"/>
      <c r="O1508" s="29"/>
    </row>
    <row r="1509" spans="11:15" ht="12.75">
      <c r="K1509" s="29"/>
      <c r="O1509" s="29"/>
    </row>
    <row r="1510" spans="11:15" ht="12.75">
      <c r="K1510" s="29"/>
      <c r="O1510" s="29"/>
    </row>
    <row r="1511" spans="11:15" ht="12.75">
      <c r="K1511" s="29"/>
      <c r="O1511" s="29"/>
    </row>
    <row r="1512" spans="11:15" ht="12.75">
      <c r="K1512" s="29"/>
      <c r="O1512" s="29"/>
    </row>
    <row r="1513" spans="11:15" ht="12.75">
      <c r="K1513" s="29"/>
      <c r="O1513" s="29"/>
    </row>
    <row r="1514" spans="11:15" ht="12.75">
      <c r="K1514" s="29"/>
      <c r="O1514" s="29"/>
    </row>
    <row r="1515" spans="11:15" ht="12.75">
      <c r="K1515" s="29"/>
      <c r="O1515" s="29"/>
    </row>
    <row r="1516" spans="11:15" ht="12.75">
      <c r="K1516" s="29"/>
      <c r="O1516" s="29"/>
    </row>
    <row r="1517" spans="11:15" ht="12.75">
      <c r="K1517" s="29"/>
      <c r="O1517" s="29"/>
    </row>
    <row r="1518" spans="11:15" ht="12.75">
      <c r="K1518" s="29"/>
      <c r="O1518" s="29"/>
    </row>
    <row r="1519" spans="11:15" ht="12.75">
      <c r="K1519" s="29"/>
      <c r="O1519" s="29"/>
    </row>
    <row r="1520" spans="11:15" ht="12.75">
      <c r="K1520" s="29"/>
      <c r="O1520" s="29"/>
    </row>
    <row r="1521" spans="11:15" ht="12.75">
      <c r="K1521" s="29"/>
      <c r="O1521" s="29"/>
    </row>
    <row r="1522" spans="11:15" ht="12.75">
      <c r="K1522" s="29"/>
      <c r="O1522" s="29"/>
    </row>
    <row r="1523" spans="11:15" ht="12.75">
      <c r="K1523" s="29"/>
      <c r="O1523" s="29"/>
    </row>
    <row r="1524" spans="11:15" ht="12.75">
      <c r="K1524" s="29"/>
      <c r="O1524" s="29"/>
    </row>
    <row r="1525" spans="11:15" ht="12.75">
      <c r="K1525" s="29"/>
      <c r="O1525" s="29"/>
    </row>
    <row r="1526" spans="11:15" ht="12.75">
      <c r="K1526" s="29"/>
      <c r="O1526" s="29"/>
    </row>
    <row r="1527" spans="11:15" ht="12.75">
      <c r="K1527" s="29"/>
      <c r="O1527" s="29"/>
    </row>
    <row r="1528" spans="11:15" ht="12.75">
      <c r="K1528" s="29"/>
      <c r="O1528" s="29"/>
    </row>
    <row r="1529" spans="11:15" ht="12.75">
      <c r="K1529" s="29"/>
      <c r="O1529" s="29"/>
    </row>
    <row r="1530" spans="11:15" ht="12.75">
      <c r="K1530" s="29"/>
      <c r="O1530" s="29"/>
    </row>
    <row r="1531" spans="11:15" ht="12.75">
      <c r="K1531" s="29"/>
      <c r="O1531" s="29"/>
    </row>
    <row r="1532" spans="11:15" ht="12.75">
      <c r="K1532" s="29"/>
      <c r="O1532" s="29"/>
    </row>
    <row r="1533" spans="11:15" ht="12.75">
      <c r="K1533" s="29"/>
      <c r="O1533" s="29"/>
    </row>
    <row r="1534" spans="11:15" ht="12.75">
      <c r="K1534" s="29"/>
      <c r="O1534" s="29"/>
    </row>
    <row r="1535" spans="11:15" ht="12.75">
      <c r="K1535" s="29"/>
      <c r="O1535" s="29"/>
    </row>
    <row r="1536" spans="11:15" ht="12.75">
      <c r="K1536" s="29"/>
      <c r="O1536" s="29"/>
    </row>
    <row r="1537" spans="11:15" ht="12.75">
      <c r="K1537" s="29"/>
      <c r="O1537" s="29"/>
    </row>
    <row r="1538" spans="11:15" ht="12.75">
      <c r="K1538" s="29"/>
      <c r="O1538" s="29"/>
    </row>
    <row r="1539" spans="11:15" ht="12.75">
      <c r="K1539" s="29"/>
      <c r="O1539" s="29"/>
    </row>
    <row r="1540" spans="11:15" ht="12.75">
      <c r="K1540" s="29"/>
      <c r="O1540" s="29"/>
    </row>
    <row r="1541" spans="11:15" ht="12.75">
      <c r="K1541" s="29"/>
      <c r="O1541" s="29"/>
    </row>
    <row r="1542" spans="11:15" ht="12.75">
      <c r="K1542" s="29"/>
      <c r="O1542" s="29"/>
    </row>
    <row r="1543" spans="11:15" ht="12.75">
      <c r="K1543" s="29"/>
      <c r="O1543" s="29"/>
    </row>
    <row r="1544" spans="11:15" ht="12.75">
      <c r="K1544" s="29"/>
      <c r="O1544" s="29"/>
    </row>
    <row r="1545" spans="11:15" ht="12.75">
      <c r="K1545" s="29"/>
      <c r="O1545" s="29"/>
    </row>
    <row r="1546" spans="11:15" ht="12.75">
      <c r="K1546" s="29"/>
      <c r="O1546" s="29"/>
    </row>
    <row r="1547" spans="11:15" ht="12.75">
      <c r="K1547" s="29"/>
      <c r="O1547" s="29"/>
    </row>
    <row r="1548" spans="11:15" ht="12.75">
      <c r="K1548" s="29"/>
      <c r="O1548" s="29"/>
    </row>
    <row r="1549" spans="11:15" ht="12.75">
      <c r="K1549" s="29"/>
      <c r="O1549" s="29"/>
    </row>
    <row r="1550" spans="11:15" ht="12.75">
      <c r="K1550" s="29"/>
      <c r="O1550" s="29"/>
    </row>
    <row r="1551" spans="11:15" ht="12.75">
      <c r="K1551" s="29"/>
      <c r="O1551" s="29"/>
    </row>
    <row r="1552" spans="11:15" ht="12.75">
      <c r="K1552" s="29"/>
      <c r="O1552" s="29"/>
    </row>
    <row r="1553" spans="11:15" ht="12.75">
      <c r="K1553" s="29"/>
      <c r="O1553" s="29"/>
    </row>
    <row r="1554" spans="11:15" ht="12.75">
      <c r="K1554" s="29"/>
      <c r="O1554" s="29"/>
    </row>
    <row r="1555" spans="11:15" ht="12.75">
      <c r="K1555" s="29"/>
      <c r="O1555" s="29"/>
    </row>
    <row r="1556" spans="11:15" ht="12.75">
      <c r="K1556" s="29"/>
      <c r="O1556" s="29"/>
    </row>
    <row r="1557" spans="11:15" ht="12.75">
      <c r="K1557" s="29"/>
      <c r="O1557" s="29"/>
    </row>
    <row r="1558" spans="11:15" ht="12.75">
      <c r="K1558" s="29"/>
      <c r="O1558" s="29"/>
    </row>
    <row r="1559" spans="11:15" ht="12.75">
      <c r="K1559" s="29"/>
      <c r="O1559" s="29"/>
    </row>
    <row r="1560" spans="11:15" ht="12.75">
      <c r="K1560" s="29"/>
      <c r="O1560" s="29"/>
    </row>
    <row r="1561" spans="11:15" ht="12.75">
      <c r="K1561" s="29"/>
      <c r="O1561" s="29"/>
    </row>
    <row r="1562" spans="11:15" ht="12.75">
      <c r="K1562" s="29"/>
      <c r="O1562" s="29"/>
    </row>
    <row r="1563" spans="11:15" ht="12.75">
      <c r="K1563" s="29"/>
      <c r="O1563" s="29"/>
    </row>
    <row r="1564" spans="11:15" ht="12.75">
      <c r="K1564" s="29"/>
      <c r="O1564" s="29"/>
    </row>
    <row r="1565" spans="11:15" ht="12.75">
      <c r="K1565" s="29"/>
      <c r="O1565" s="29"/>
    </row>
    <row r="1566" spans="11:15" ht="12.75">
      <c r="K1566" s="29"/>
      <c r="O1566" s="29"/>
    </row>
    <row r="1567" spans="11:15" ht="12.75">
      <c r="K1567" s="29"/>
      <c r="O1567" s="29"/>
    </row>
    <row r="1568" spans="11:15" ht="12.75">
      <c r="K1568" s="29"/>
      <c r="O1568" s="29"/>
    </row>
    <row r="1569" spans="11:15" ht="12.75">
      <c r="K1569" s="29"/>
      <c r="O1569" s="29"/>
    </row>
    <row r="1570" spans="11:15" ht="12.75">
      <c r="K1570" s="29"/>
      <c r="O1570" s="29"/>
    </row>
    <row r="1571" spans="11:15" ht="12.75">
      <c r="K1571" s="29"/>
      <c r="O1571" s="29"/>
    </row>
    <row r="1572" spans="11:15" ht="12.75">
      <c r="K1572" s="29"/>
      <c r="O1572" s="29"/>
    </row>
    <row r="1573" spans="11:15" ht="12.75">
      <c r="K1573" s="29"/>
      <c r="O1573" s="29"/>
    </row>
    <row r="1574" spans="11:15" ht="12.75">
      <c r="K1574" s="29"/>
      <c r="O1574" s="29"/>
    </row>
    <row r="1575" spans="11:15" ht="12.75">
      <c r="K1575" s="29"/>
      <c r="O1575" s="29"/>
    </row>
    <row r="1576" spans="11:15" ht="12.75">
      <c r="K1576" s="29"/>
      <c r="O1576" s="29"/>
    </row>
    <row r="1577" spans="11:15" ht="12.75">
      <c r="K1577" s="29"/>
      <c r="O1577" s="29"/>
    </row>
    <row r="1578" spans="11:15" ht="12.75">
      <c r="K1578" s="29"/>
      <c r="O1578" s="29"/>
    </row>
    <row r="1579" spans="11:15" ht="12.75">
      <c r="K1579" s="29"/>
      <c r="O1579" s="29"/>
    </row>
    <row r="1580" spans="11:15" ht="12.75">
      <c r="K1580" s="29"/>
      <c r="O1580" s="29"/>
    </row>
    <row r="1581" spans="11:15" ht="12.75">
      <c r="K1581" s="29"/>
      <c r="O1581" s="29"/>
    </row>
    <row r="1582" spans="11:15" ht="12.75">
      <c r="K1582" s="29"/>
      <c r="O1582" s="29"/>
    </row>
    <row r="1583" spans="11:15" ht="12.75">
      <c r="K1583" s="29"/>
      <c r="O1583" s="29"/>
    </row>
    <row r="1584" spans="11:15" ht="12.75">
      <c r="K1584" s="29"/>
      <c r="O1584" s="29"/>
    </row>
    <row r="1585" spans="11:15" ht="12.75">
      <c r="K1585" s="29"/>
      <c r="O1585" s="29"/>
    </row>
    <row r="1586" spans="11:15" ht="12.75">
      <c r="K1586" s="29"/>
      <c r="O1586" s="29"/>
    </row>
    <row r="1587" spans="11:15" ht="12.75">
      <c r="K1587" s="29"/>
      <c r="O1587" s="29"/>
    </row>
    <row r="1588" spans="11:15" ht="12.75">
      <c r="K1588" s="29"/>
      <c r="O1588" s="29"/>
    </row>
    <row r="1589" spans="11:15" ht="12.75">
      <c r="K1589" s="29"/>
      <c r="O1589" s="29"/>
    </row>
    <row r="1590" spans="11:15" ht="12.75">
      <c r="K1590" s="29"/>
      <c r="O1590" s="29"/>
    </row>
    <row r="1591" spans="11:15" ht="12.75">
      <c r="K1591" s="29"/>
      <c r="O1591" s="29"/>
    </row>
    <row r="1592" spans="11:15" ht="12.75">
      <c r="K1592" s="29"/>
      <c r="O1592" s="29"/>
    </row>
    <row r="1593" spans="11:15" ht="12.75">
      <c r="K1593" s="29"/>
      <c r="O1593" s="29"/>
    </row>
    <row r="1594" spans="11:15" ht="12.75">
      <c r="K1594" s="29"/>
      <c r="O1594" s="29"/>
    </row>
    <row r="1595" spans="11:15" ht="12.75">
      <c r="K1595" s="29"/>
      <c r="O1595" s="29"/>
    </row>
    <row r="1596" spans="11:15" ht="12.75">
      <c r="K1596" s="29"/>
      <c r="O1596" s="29"/>
    </row>
    <row r="1597" spans="11:15" ht="12.75">
      <c r="K1597" s="29"/>
      <c r="O1597" s="29"/>
    </row>
    <row r="1598" spans="11:15" ht="12.75">
      <c r="K1598" s="29"/>
      <c r="O1598" s="29"/>
    </row>
    <row r="1599" spans="11:15" ht="12.75">
      <c r="K1599" s="29"/>
      <c r="O1599" s="29"/>
    </row>
    <row r="1600" spans="11:15" ht="12.75">
      <c r="K1600" s="29"/>
      <c r="O1600" s="29"/>
    </row>
    <row r="1601" spans="11:15" ht="12.75">
      <c r="K1601" s="29"/>
      <c r="O1601" s="29"/>
    </row>
    <row r="1602" spans="11:15" ht="12.75">
      <c r="K1602" s="29"/>
      <c r="O1602" s="29"/>
    </row>
    <row r="1603" spans="11:15" ht="12.75">
      <c r="K1603" s="29"/>
      <c r="O1603" s="29"/>
    </row>
    <row r="1604" spans="11:15" ht="12.75">
      <c r="K1604" s="29"/>
      <c r="O1604" s="29"/>
    </row>
    <row r="1605" spans="11:15" ht="12.75">
      <c r="K1605" s="29"/>
      <c r="O1605" s="29"/>
    </row>
    <row r="1606" spans="11:15" ht="12.75">
      <c r="K1606" s="29"/>
      <c r="O1606" s="29"/>
    </row>
    <row r="1607" spans="11:15" ht="12.75">
      <c r="K1607" s="29"/>
      <c r="O1607" s="29"/>
    </row>
    <row r="1608" spans="11:15" ht="12.75">
      <c r="K1608" s="29"/>
      <c r="O1608" s="29"/>
    </row>
    <row r="1609" spans="11:15" ht="12.75">
      <c r="K1609" s="29"/>
      <c r="O1609" s="29"/>
    </row>
    <row r="1610" spans="11:15" ht="12.75">
      <c r="K1610" s="29"/>
      <c r="O1610" s="29"/>
    </row>
    <row r="1611" spans="11:15" ht="12.75">
      <c r="K1611" s="29"/>
      <c r="O1611" s="29"/>
    </row>
    <row r="1612" spans="11:15" ht="12.75">
      <c r="K1612" s="29"/>
      <c r="O1612" s="29"/>
    </row>
    <row r="1613" spans="11:15" ht="12.75">
      <c r="K1613" s="29"/>
      <c r="O1613" s="29"/>
    </row>
    <row r="1614" spans="11:15" ht="12.75">
      <c r="K1614" s="29"/>
      <c r="O1614" s="29"/>
    </row>
    <row r="1615" spans="11:15" ht="12.75">
      <c r="K1615" s="29"/>
      <c r="O1615" s="29"/>
    </row>
    <row r="1616" spans="11:15" ht="12.75">
      <c r="K1616" s="29"/>
      <c r="O1616" s="29"/>
    </row>
    <row r="1617" spans="11:15" ht="12.75">
      <c r="K1617" s="29"/>
      <c r="O1617" s="29"/>
    </row>
    <row r="1618" spans="11:15" ht="12.75">
      <c r="K1618" s="29"/>
      <c r="O1618" s="29"/>
    </row>
    <row r="1619" spans="11:15" ht="12.75">
      <c r="K1619" s="29"/>
      <c r="O1619" s="29"/>
    </row>
    <row r="1620" spans="11:15" ht="12.75">
      <c r="K1620" s="29"/>
      <c r="O1620" s="29"/>
    </row>
    <row r="1621" spans="11:15" ht="12.75">
      <c r="K1621" s="29"/>
      <c r="O1621" s="29"/>
    </row>
    <row r="1622" spans="11:15" ht="12.75">
      <c r="K1622" s="29"/>
      <c r="O1622" s="29"/>
    </row>
    <row r="1623" spans="11:15" ht="12.75">
      <c r="K1623" s="29"/>
      <c r="O1623" s="29"/>
    </row>
    <row r="1624" spans="11:15" ht="12.75">
      <c r="K1624" s="29"/>
      <c r="O1624" s="29"/>
    </row>
    <row r="1625" spans="11:15" ht="12.75">
      <c r="K1625" s="29"/>
      <c r="O1625" s="29"/>
    </row>
    <row r="1626" spans="11:15" ht="12.75">
      <c r="K1626" s="29"/>
      <c r="O1626" s="29"/>
    </row>
    <row r="1627" spans="11:15" ht="12.75">
      <c r="K1627" s="29"/>
      <c r="O1627" s="29"/>
    </row>
    <row r="1628" spans="11:15" ht="12.75">
      <c r="K1628" s="29"/>
      <c r="O1628" s="29"/>
    </row>
    <row r="1629" spans="11:15" ht="12.75">
      <c r="K1629" s="29"/>
      <c r="O1629" s="29"/>
    </row>
    <row r="1630" spans="11:15" ht="12.75">
      <c r="K1630" s="29"/>
      <c r="O1630" s="29"/>
    </row>
    <row r="1631" spans="11:15" ht="12.75">
      <c r="K1631" s="29"/>
      <c r="O1631" s="29"/>
    </row>
    <row r="1632" spans="11:15" ht="12.75">
      <c r="K1632" s="29"/>
      <c r="O1632" s="29"/>
    </row>
    <row r="1633" spans="11:15" ht="12.75">
      <c r="K1633" s="29"/>
      <c r="O1633" s="29"/>
    </row>
    <row r="1634" spans="11:15" ht="12.75">
      <c r="K1634" s="29"/>
      <c r="O1634" s="29"/>
    </row>
    <row r="1635" spans="11:15" ht="12.75">
      <c r="K1635" s="29"/>
      <c r="O1635" s="29"/>
    </row>
    <row r="1636" spans="11:15" ht="12.75">
      <c r="K1636" s="29"/>
      <c r="O1636" s="29"/>
    </row>
    <row r="1637" spans="11:15" ht="12.75">
      <c r="K1637" s="29"/>
      <c r="O1637" s="29"/>
    </row>
    <row r="1638" spans="11:15" ht="12.75">
      <c r="K1638" s="29"/>
      <c r="O1638" s="29"/>
    </row>
    <row r="1639" spans="11:15" ht="12.75">
      <c r="K1639" s="29"/>
      <c r="O1639" s="29"/>
    </row>
    <row r="1640" spans="11:15" ht="12.75">
      <c r="K1640" s="29"/>
      <c r="O1640" s="29"/>
    </row>
    <row r="1641" spans="11:15" ht="12.75">
      <c r="K1641" s="29"/>
      <c r="O1641" s="29"/>
    </row>
    <row r="1642" spans="11:15" ht="12.75">
      <c r="K1642" s="29"/>
      <c r="O1642" s="29"/>
    </row>
    <row r="1643" spans="11:15" ht="12.75">
      <c r="K1643" s="29"/>
      <c r="O1643" s="29"/>
    </row>
    <row r="1644" spans="11:15" ht="12.75">
      <c r="K1644" s="29"/>
      <c r="O1644" s="29"/>
    </row>
    <row r="1645" spans="11:15" ht="12.75">
      <c r="K1645" s="29"/>
      <c r="O1645" s="29"/>
    </row>
    <row r="1646" spans="11:15" ht="12.75">
      <c r="K1646" s="29"/>
      <c r="O1646" s="29"/>
    </row>
    <row r="1647" spans="11:15" ht="12.75">
      <c r="K1647" s="29"/>
      <c r="O1647" s="29"/>
    </row>
    <row r="1648" spans="11:15" ht="12.75">
      <c r="K1648" s="29"/>
      <c r="O1648" s="29"/>
    </row>
    <row r="1649" spans="11:15" ht="12.75">
      <c r="K1649" s="29"/>
      <c r="O1649" s="29"/>
    </row>
    <row r="1650" spans="11:15" ht="12.75">
      <c r="K1650" s="29"/>
      <c r="O1650" s="29"/>
    </row>
    <row r="1651" spans="11:15" ht="12.75">
      <c r="K1651" s="29"/>
      <c r="O1651" s="29"/>
    </row>
    <row r="1652" spans="11:15" ht="12.75">
      <c r="K1652" s="29"/>
      <c r="O1652" s="29"/>
    </row>
    <row r="1653" spans="11:15" ht="12.75">
      <c r="K1653" s="29"/>
      <c r="O1653" s="29"/>
    </row>
    <row r="1654" spans="11:15" ht="12.75">
      <c r="K1654" s="29"/>
      <c r="O1654" s="29"/>
    </row>
    <row r="1655" spans="11:15" ht="12.75">
      <c r="K1655" s="29"/>
      <c r="O1655" s="29"/>
    </row>
    <row r="1656" spans="11:15" ht="12.75">
      <c r="K1656" s="29"/>
      <c r="O1656" s="29"/>
    </row>
    <row r="1657" spans="11:15" ht="12.75">
      <c r="K1657" s="29"/>
      <c r="O1657" s="29"/>
    </row>
    <row r="1658" spans="11:15" ht="12.75">
      <c r="K1658" s="29"/>
      <c r="O1658" s="29"/>
    </row>
    <row r="1659" spans="11:15" ht="12.75">
      <c r="K1659" s="29"/>
      <c r="O1659" s="29"/>
    </row>
    <row r="1660" spans="11:15" ht="12.75">
      <c r="K1660" s="29"/>
      <c r="O1660" s="29"/>
    </row>
    <row r="1661" spans="11:15" ht="12.75">
      <c r="K1661" s="29"/>
      <c r="O1661" s="29"/>
    </row>
    <row r="1662" spans="11:15" ht="12.75">
      <c r="K1662" s="29"/>
      <c r="O1662" s="29"/>
    </row>
    <row r="1663" spans="11:15" ht="12.75">
      <c r="K1663" s="29"/>
      <c r="O1663" s="29"/>
    </row>
    <row r="1664" spans="11:15" ht="12.75">
      <c r="K1664" s="29"/>
      <c r="O1664" s="29"/>
    </row>
    <row r="1665" spans="11:15" ht="12.75">
      <c r="K1665" s="29"/>
      <c r="O1665" s="29"/>
    </row>
    <row r="1666" spans="11:15" ht="12.75">
      <c r="K1666" s="29"/>
      <c r="O1666" s="29"/>
    </row>
    <row r="1667" spans="11:15" ht="12.75">
      <c r="K1667" s="29"/>
      <c r="O1667" s="29"/>
    </row>
    <row r="1668" spans="11:15" ht="12.75">
      <c r="K1668" s="29"/>
      <c r="O1668" s="29"/>
    </row>
    <row r="1669" spans="11:15" ht="12.75">
      <c r="K1669" s="29"/>
      <c r="O1669" s="29"/>
    </row>
    <row r="1670" spans="11:15" ht="12.75">
      <c r="K1670" s="29"/>
      <c r="O1670" s="29"/>
    </row>
    <row r="1671" spans="11:15" ht="12.75">
      <c r="K1671" s="29"/>
      <c r="O1671" s="29"/>
    </row>
    <row r="1672" spans="11:15" ht="12.75">
      <c r="K1672" s="29"/>
      <c r="O1672" s="29"/>
    </row>
    <row r="1673" spans="11:15" ht="12.75">
      <c r="K1673" s="29"/>
      <c r="O1673" s="29"/>
    </row>
    <row r="1674" spans="11:15" ht="12.75">
      <c r="K1674" s="29"/>
      <c r="O1674" s="29"/>
    </row>
    <row r="1675" spans="11:15" ht="12.75">
      <c r="K1675" s="29"/>
      <c r="O1675" s="29"/>
    </row>
    <row r="1676" spans="11:15" ht="12.75">
      <c r="K1676" s="29"/>
      <c r="O1676" s="29"/>
    </row>
    <row r="1677" spans="11:15" ht="12.75">
      <c r="K1677" s="29"/>
      <c r="O1677" s="29"/>
    </row>
    <row r="1678" spans="11:15" ht="12.75">
      <c r="K1678" s="29"/>
      <c r="O1678" s="29"/>
    </row>
    <row r="1679" spans="11:15" ht="12.75">
      <c r="K1679" s="29"/>
      <c r="O1679" s="29"/>
    </row>
    <row r="1680" spans="11:15" ht="12.75">
      <c r="K1680" s="29"/>
      <c r="O1680" s="29"/>
    </row>
    <row r="1681" spans="11:15" ht="12.75">
      <c r="K1681" s="29"/>
      <c r="O1681" s="29"/>
    </row>
    <row r="1682" spans="11:15" ht="12.75">
      <c r="K1682" s="29"/>
      <c r="O1682" s="29"/>
    </row>
    <row r="1683" spans="11:15" ht="12.75">
      <c r="K1683" s="29"/>
      <c r="O1683" s="29"/>
    </row>
    <row r="1684" spans="11:15" ht="12.75">
      <c r="K1684" s="29"/>
      <c r="O1684" s="29"/>
    </row>
    <row r="1685" spans="11:15" ht="12.75">
      <c r="K1685" s="29"/>
      <c r="O1685" s="29"/>
    </row>
    <row r="1686" spans="11:15" ht="12.75">
      <c r="K1686" s="29"/>
      <c r="O1686" s="29"/>
    </row>
    <row r="1687" spans="11:15" ht="12.75">
      <c r="K1687" s="29"/>
      <c r="O1687" s="29"/>
    </row>
    <row r="1688" spans="11:15" ht="12.75">
      <c r="K1688" s="29"/>
      <c r="O1688" s="29"/>
    </row>
    <row r="1689" spans="11:15" ht="12.75">
      <c r="K1689" s="29"/>
      <c r="O1689" s="29"/>
    </row>
    <row r="1690" spans="11:15" ht="12.75">
      <c r="K1690" s="29"/>
      <c r="O1690" s="29"/>
    </row>
    <row r="1691" spans="11:15" ht="12.75">
      <c r="K1691" s="29"/>
      <c r="O1691" s="29"/>
    </row>
    <row r="1692" spans="11:15" ht="12.75">
      <c r="K1692" s="29"/>
      <c r="O1692" s="29"/>
    </row>
    <row r="1693" spans="11:15" ht="12.75">
      <c r="K1693" s="29"/>
      <c r="O1693" s="29"/>
    </row>
    <row r="1694" spans="11:15" ht="12.75">
      <c r="K1694" s="29"/>
      <c r="O1694" s="29"/>
    </row>
    <row r="1695" spans="11:15" ht="12.75">
      <c r="K1695" s="29"/>
      <c r="O1695" s="29"/>
    </row>
    <row r="1696" spans="11:15" ht="12.75">
      <c r="K1696" s="29"/>
      <c r="O1696" s="29"/>
    </row>
    <row r="1697" spans="11:15" ht="12.75">
      <c r="K1697" s="29"/>
      <c r="O1697" s="29"/>
    </row>
    <row r="1698" spans="11:15" ht="12.75">
      <c r="K1698" s="29"/>
      <c r="O1698" s="29"/>
    </row>
    <row r="1699" spans="11:15" ht="12.75">
      <c r="K1699" s="29"/>
      <c r="O1699" s="29"/>
    </row>
    <row r="1700" spans="11:15" ht="12.75">
      <c r="K1700" s="29"/>
      <c r="O1700" s="29"/>
    </row>
    <row r="1701" spans="11:15" ht="12.75">
      <c r="K1701" s="29"/>
      <c r="O1701" s="29"/>
    </row>
    <row r="1702" spans="11:15" ht="12.75">
      <c r="K1702" s="29"/>
      <c r="O1702" s="29"/>
    </row>
    <row r="1703" spans="11:15" ht="12.75">
      <c r="K1703" s="29"/>
      <c r="O1703" s="29"/>
    </row>
    <row r="1704" spans="11:15" ht="12.75">
      <c r="K1704" s="29"/>
      <c r="O1704" s="29"/>
    </row>
    <row r="1705" spans="11:15" ht="12.75">
      <c r="K1705" s="29"/>
      <c r="O1705" s="29"/>
    </row>
    <row r="1706" spans="11:15" ht="12.75">
      <c r="K1706" s="29"/>
      <c r="O1706" s="29"/>
    </row>
    <row r="1707" spans="11:15" ht="12.75">
      <c r="K1707" s="29"/>
      <c r="O1707" s="29"/>
    </row>
    <row r="1708" spans="11:15" ht="12.75">
      <c r="K1708" s="29"/>
      <c r="O1708" s="29"/>
    </row>
    <row r="1709" spans="11:15" ht="12.75">
      <c r="K1709" s="29"/>
      <c r="O1709" s="29"/>
    </row>
    <row r="1710" spans="11:15" ht="12.75">
      <c r="K1710" s="29"/>
      <c r="O1710" s="29"/>
    </row>
    <row r="1711" spans="11:15" ht="12.75">
      <c r="K1711" s="29"/>
      <c r="O1711" s="29"/>
    </row>
    <row r="1712" spans="11:15" ht="12.75">
      <c r="K1712" s="29"/>
      <c r="O1712" s="29"/>
    </row>
    <row r="1713" spans="11:15" ht="12.75">
      <c r="K1713" s="29"/>
      <c r="O1713" s="29"/>
    </row>
    <row r="1714" spans="11:15" ht="12.75">
      <c r="K1714" s="29"/>
      <c r="O1714" s="29"/>
    </row>
    <row r="1715" spans="11:15" ht="12.75">
      <c r="K1715" s="29"/>
      <c r="O1715" s="29"/>
    </row>
    <row r="1716" spans="11:15" ht="12.75">
      <c r="K1716" s="29"/>
      <c r="O1716" s="29"/>
    </row>
    <row r="1717" spans="11:15" ht="12.75">
      <c r="K1717" s="29"/>
      <c r="O1717" s="29"/>
    </row>
    <row r="1718" spans="11:15" ht="12.75">
      <c r="K1718" s="29"/>
      <c r="O1718" s="29"/>
    </row>
    <row r="1719" spans="11:15" ht="12.75">
      <c r="K1719" s="29"/>
      <c r="O1719" s="29"/>
    </row>
    <row r="1720" spans="11:15" ht="12.75">
      <c r="K1720" s="29"/>
      <c r="O1720" s="29"/>
    </row>
    <row r="1721" spans="11:15" ht="12.75">
      <c r="K1721" s="29"/>
      <c r="O1721" s="29"/>
    </row>
    <row r="1722" spans="11:15" ht="12.75">
      <c r="K1722" s="29"/>
      <c r="O1722" s="29"/>
    </row>
    <row r="1723" spans="11:15" ht="12.75">
      <c r="K1723" s="29"/>
      <c r="O1723" s="29"/>
    </row>
    <row r="1724" spans="11:15" ht="12.75">
      <c r="K1724" s="29"/>
      <c r="O1724" s="29"/>
    </row>
    <row r="1725" spans="11:15" ht="12.75">
      <c r="K1725" s="29"/>
      <c r="O1725" s="29"/>
    </row>
    <row r="1726" spans="11:15" ht="12.75">
      <c r="K1726" s="29"/>
      <c r="O1726" s="29"/>
    </row>
    <row r="1727" spans="11:15" ht="12.75">
      <c r="K1727" s="29"/>
      <c r="O1727" s="29"/>
    </row>
    <row r="1728" spans="11:15" ht="12.75">
      <c r="K1728" s="29"/>
      <c r="O1728" s="29"/>
    </row>
    <row r="1729" spans="11:15" ht="12.75">
      <c r="K1729" s="29"/>
      <c r="O1729" s="29"/>
    </row>
    <row r="1730" spans="11:15" ht="12.75">
      <c r="K1730" s="29"/>
      <c r="O1730" s="29"/>
    </row>
    <row r="1731" spans="11:15" ht="12.75">
      <c r="K1731" s="29"/>
      <c r="O1731" s="29"/>
    </row>
    <row r="1732" spans="11:15" ht="12.75">
      <c r="K1732" s="29"/>
      <c r="O1732" s="29"/>
    </row>
    <row r="1733" spans="11:15" ht="12.75">
      <c r="K1733" s="29"/>
      <c r="O1733" s="29"/>
    </row>
    <row r="1734" spans="11:15" ht="12.75">
      <c r="K1734" s="29"/>
      <c r="O1734" s="29"/>
    </row>
    <row r="1735" spans="11:15" ht="12.75">
      <c r="K1735" s="29"/>
      <c r="O1735" s="29"/>
    </row>
    <row r="1736" spans="11:15" ht="12.75">
      <c r="K1736" s="29"/>
      <c r="O1736" s="29"/>
    </row>
    <row r="1737" spans="11:15" ht="12.75">
      <c r="K1737" s="29"/>
      <c r="O1737" s="29"/>
    </row>
    <row r="1738" spans="11:15" ht="12.75">
      <c r="K1738" s="29"/>
      <c r="O1738" s="29"/>
    </row>
    <row r="1739" spans="11:15" ht="12.75">
      <c r="K1739" s="29"/>
      <c r="O1739" s="29"/>
    </row>
    <row r="1740" spans="11:15" ht="12.75">
      <c r="K1740" s="29"/>
      <c r="O1740" s="29"/>
    </row>
    <row r="1741" spans="11:15" ht="12.75">
      <c r="K1741" s="29"/>
      <c r="O1741" s="29"/>
    </row>
    <row r="1742" spans="11:15" ht="12.75">
      <c r="K1742" s="29"/>
      <c r="O1742" s="29"/>
    </row>
    <row r="1743" spans="11:15" ht="12.75">
      <c r="K1743" s="29"/>
      <c r="O1743" s="29"/>
    </row>
    <row r="1744" spans="11:15" ht="12.75">
      <c r="K1744" s="29"/>
      <c r="O1744" s="29"/>
    </row>
    <row r="1745" spans="11:15" ht="12.75">
      <c r="K1745" s="29"/>
      <c r="O1745" s="29"/>
    </row>
    <row r="1746" spans="11:15" ht="12.75">
      <c r="K1746" s="29"/>
      <c r="O1746" s="29"/>
    </row>
    <row r="1747" spans="11:15" ht="12.75">
      <c r="K1747" s="29"/>
      <c r="O1747" s="29"/>
    </row>
    <row r="1748" spans="11:15" ht="12.75">
      <c r="K1748" s="29"/>
      <c r="O1748" s="29"/>
    </row>
    <row r="1749" spans="11:15" ht="12.75">
      <c r="K1749" s="29"/>
      <c r="O1749" s="29"/>
    </row>
    <row r="1750" spans="11:15" ht="12.75">
      <c r="K1750" s="29"/>
      <c r="O1750" s="29"/>
    </row>
    <row r="1751" spans="11:15" ht="12.75">
      <c r="K1751" s="29"/>
      <c r="O1751" s="29"/>
    </row>
    <row r="1752" spans="11:15" ht="12.75">
      <c r="K1752" s="29"/>
      <c r="O1752" s="29"/>
    </row>
    <row r="1753" spans="11:15" ht="12.75">
      <c r="K1753" s="29"/>
      <c r="O1753" s="29"/>
    </row>
    <row r="1754" spans="11:15" ht="12.75">
      <c r="K1754" s="29"/>
      <c r="O1754" s="29"/>
    </row>
    <row r="1755" spans="11:15" ht="12.75">
      <c r="K1755" s="29"/>
      <c r="O1755" s="29"/>
    </row>
    <row r="1756" spans="11:15" ht="12.75">
      <c r="K1756" s="29"/>
      <c r="O1756" s="29"/>
    </row>
    <row r="1757" spans="11:15" ht="12.75">
      <c r="K1757" s="29"/>
      <c r="O1757" s="29"/>
    </row>
    <row r="1758" spans="11:15" ht="12.75">
      <c r="K1758" s="29"/>
      <c r="O1758" s="29"/>
    </row>
    <row r="1759" spans="11:15" ht="12.75">
      <c r="K1759" s="29"/>
      <c r="O1759" s="29"/>
    </row>
    <row r="1760" spans="11:15" ht="12.75">
      <c r="K1760" s="29"/>
      <c r="O1760" s="29"/>
    </row>
    <row r="1761" spans="11:15" ht="12.75">
      <c r="K1761" s="29"/>
      <c r="O1761" s="29"/>
    </row>
    <row r="1762" spans="11:15" ht="12.75">
      <c r="K1762" s="29"/>
      <c r="O1762" s="29"/>
    </row>
    <row r="1763" spans="11:15" ht="12.75">
      <c r="K1763" s="29"/>
      <c r="O1763" s="29"/>
    </row>
    <row r="1764" spans="11:15" ht="12.75">
      <c r="K1764" s="29"/>
      <c r="O1764" s="29"/>
    </row>
    <row r="1765" spans="11:15" ht="12.75">
      <c r="K1765" s="29"/>
      <c r="O1765" s="29"/>
    </row>
    <row r="1766" spans="11:15" ht="12.75">
      <c r="K1766" s="29"/>
      <c r="O1766" s="29"/>
    </row>
    <row r="1767" spans="11:15" ht="12.75">
      <c r="K1767" s="29"/>
      <c r="O1767" s="29"/>
    </row>
    <row r="1768" spans="11:15" ht="12.75">
      <c r="K1768" s="29"/>
      <c r="O1768" s="29"/>
    </row>
    <row r="1769" spans="11:15" ht="12.75">
      <c r="K1769" s="29"/>
      <c r="O1769" s="29"/>
    </row>
    <row r="1770" spans="11:15" ht="12.75">
      <c r="K1770" s="29"/>
      <c r="O1770" s="29"/>
    </row>
    <row r="1771" spans="11:15" ht="12.75">
      <c r="K1771" s="29"/>
      <c r="O1771" s="29"/>
    </row>
    <row r="1772" spans="11:15" ht="12.75">
      <c r="K1772" s="29"/>
      <c r="O1772" s="29"/>
    </row>
    <row r="1773" spans="11:15" ht="12.75">
      <c r="K1773" s="29"/>
      <c r="O1773" s="29"/>
    </row>
    <row r="1774" spans="11:15" ht="12.75">
      <c r="K1774" s="29"/>
      <c r="O1774" s="29"/>
    </row>
    <row r="1775" spans="11:15" ht="12.75">
      <c r="K1775" s="29"/>
      <c r="O1775" s="29"/>
    </row>
    <row r="1776" spans="11:15" ht="12.75">
      <c r="K1776" s="29"/>
      <c r="O1776" s="29"/>
    </row>
    <row r="1777" spans="11:15" ht="12.75">
      <c r="K1777" s="29"/>
      <c r="O1777" s="29"/>
    </row>
    <row r="1778" spans="11:15" ht="12.75">
      <c r="K1778" s="29"/>
      <c r="O1778" s="29"/>
    </row>
    <row r="1779" spans="11:15" ht="12.75">
      <c r="K1779" s="29"/>
      <c r="O1779" s="29"/>
    </row>
    <row r="1780" spans="11:15" ht="12.75">
      <c r="K1780" s="29"/>
      <c r="O1780" s="29"/>
    </row>
    <row r="1781" spans="11:15" ht="12.75">
      <c r="K1781" s="29"/>
      <c r="O1781" s="29"/>
    </row>
    <row r="1782" spans="11:15" ht="12.75">
      <c r="K1782" s="29"/>
      <c r="O1782" s="29"/>
    </row>
    <row r="1783" spans="11:15" ht="12.75">
      <c r="K1783" s="29"/>
      <c r="O1783" s="29"/>
    </row>
    <row r="1784" spans="11:15" ht="12.75">
      <c r="K1784" s="29"/>
      <c r="O1784" s="29"/>
    </row>
    <row r="1785" spans="11:15" ht="12.75">
      <c r="K1785" s="29"/>
      <c r="O1785" s="29"/>
    </row>
    <row r="1786" spans="11:15" ht="12.75">
      <c r="K1786" s="29"/>
      <c r="O1786" s="29"/>
    </row>
    <row r="1787" spans="11:15" ht="12.75">
      <c r="K1787" s="29"/>
      <c r="O1787" s="29"/>
    </row>
    <row r="1788" spans="11:15" ht="12.75">
      <c r="K1788" s="29"/>
      <c r="O1788" s="29"/>
    </row>
    <row r="1789" spans="11:15" ht="12.75">
      <c r="K1789" s="29"/>
      <c r="O1789" s="29"/>
    </row>
    <row r="1790" spans="11:15" ht="12.75">
      <c r="K1790" s="29"/>
      <c r="O1790" s="29"/>
    </row>
    <row r="1791" spans="11:15" ht="12.75">
      <c r="K1791" s="29"/>
      <c r="O1791" s="29"/>
    </row>
    <row r="1792" spans="11:15" ht="12.75">
      <c r="K1792" s="29"/>
      <c r="O1792" s="29"/>
    </row>
    <row r="1793" spans="11:15" ht="12.75">
      <c r="K1793" s="29"/>
      <c r="O1793" s="29"/>
    </row>
    <row r="1794" spans="11:15" ht="12.75">
      <c r="K1794" s="29"/>
      <c r="O1794" s="29"/>
    </row>
    <row r="1795" spans="11:15" ht="12.75">
      <c r="K1795" s="29"/>
      <c r="O1795" s="29"/>
    </row>
    <row r="1796" spans="11:15" ht="12.75">
      <c r="K1796" s="29"/>
      <c r="O1796" s="29"/>
    </row>
    <row r="1797" spans="11:15" ht="12.75">
      <c r="K1797" s="29"/>
      <c r="O1797" s="29"/>
    </row>
    <row r="1798" spans="11:15" ht="12.75">
      <c r="K1798" s="29"/>
      <c r="O1798" s="29"/>
    </row>
    <row r="1799" spans="11:15" ht="12.75">
      <c r="K1799" s="29"/>
      <c r="O1799" s="29"/>
    </row>
    <row r="1800" spans="11:15" ht="12.75">
      <c r="K1800" s="29"/>
      <c r="O1800" s="29"/>
    </row>
    <row r="1801" spans="11:15" ht="12.75">
      <c r="K1801" s="29"/>
      <c r="O1801" s="29"/>
    </row>
    <row r="1802" spans="11:15" ht="12.75">
      <c r="K1802" s="29"/>
      <c r="O1802" s="29"/>
    </row>
    <row r="1803" spans="11:15" ht="12.75">
      <c r="K1803" s="29"/>
      <c r="O1803" s="29"/>
    </row>
    <row r="1804" spans="11:15" ht="12.75">
      <c r="K1804" s="29"/>
      <c r="O1804" s="29"/>
    </row>
    <row r="1805" spans="11:15" ht="12.75">
      <c r="K1805" s="29"/>
      <c r="O1805" s="29"/>
    </row>
    <row r="1806" spans="11:15" ht="12.75">
      <c r="K1806" s="29"/>
      <c r="O1806" s="29"/>
    </row>
    <row r="1807" spans="11:15" ht="12.75">
      <c r="K1807" s="29"/>
      <c r="O1807" s="29"/>
    </row>
    <row r="1808" spans="11:15" ht="12.75">
      <c r="K1808" s="29"/>
      <c r="O1808" s="29"/>
    </row>
    <row r="1809" spans="11:15" ht="12.75">
      <c r="K1809" s="29"/>
      <c r="O1809" s="29"/>
    </row>
    <row r="1810" spans="11:15" ht="12.75">
      <c r="K1810" s="29"/>
      <c r="O1810" s="29"/>
    </row>
    <row r="1811" spans="11:15" ht="12.75">
      <c r="K1811" s="29"/>
      <c r="O1811" s="29"/>
    </row>
    <row r="1812" spans="11:15" ht="12.75">
      <c r="K1812" s="29"/>
      <c r="O1812" s="29"/>
    </row>
    <row r="1813" spans="11:15" ht="12.75">
      <c r="K1813" s="29"/>
      <c r="O1813" s="29"/>
    </row>
    <row r="1814" spans="11:15" ht="12.75">
      <c r="K1814" s="29"/>
      <c r="O1814" s="29"/>
    </row>
    <row r="1815" spans="11:15" ht="12.75">
      <c r="K1815" s="29"/>
      <c r="O1815" s="29"/>
    </row>
    <row r="1816" spans="11:15" ht="12.75">
      <c r="K1816" s="29"/>
      <c r="O1816" s="29"/>
    </row>
    <row r="1817" spans="11:15" ht="12.75">
      <c r="K1817" s="29"/>
      <c r="O1817" s="29"/>
    </row>
    <row r="1818" spans="11:15" ht="12.75">
      <c r="K1818" s="29"/>
      <c r="O1818" s="29"/>
    </row>
    <row r="1819" spans="11:15" ht="12.75">
      <c r="K1819" s="29"/>
      <c r="O1819" s="29"/>
    </row>
    <row r="1820" spans="11:15" ht="12.75">
      <c r="K1820" s="29"/>
      <c r="O1820" s="29"/>
    </row>
    <row r="1821" spans="11:15" ht="12.75">
      <c r="K1821" s="29"/>
      <c r="O1821" s="29"/>
    </row>
    <row r="1822" spans="11:15" ht="12.75">
      <c r="K1822" s="29"/>
      <c r="O1822" s="29"/>
    </row>
    <row r="1823" spans="11:15" ht="12.75">
      <c r="K1823" s="29"/>
      <c r="O1823" s="29"/>
    </row>
    <row r="1824" spans="11:15" ht="12.75">
      <c r="K1824" s="29"/>
      <c r="O1824" s="29"/>
    </row>
    <row r="1825" spans="11:15" ht="12.75">
      <c r="K1825" s="29"/>
      <c r="O1825" s="29"/>
    </row>
    <row r="1826" spans="11:15" ht="12.75">
      <c r="K1826" s="29"/>
      <c r="O1826" s="29"/>
    </row>
    <row r="1827" spans="11:15" ht="12.75">
      <c r="K1827" s="29"/>
      <c r="O1827" s="29"/>
    </row>
    <row r="1828" spans="11:15" ht="12.75">
      <c r="K1828" s="29"/>
      <c r="O1828" s="29"/>
    </row>
    <row r="1829" spans="11:15" ht="12.75">
      <c r="K1829" s="29"/>
      <c r="O1829" s="29"/>
    </row>
    <row r="1830" spans="11:15" ht="12.75">
      <c r="K1830" s="29"/>
      <c r="O1830" s="29"/>
    </row>
    <row r="1831" spans="11:15" ht="12.75">
      <c r="K1831" s="29"/>
      <c r="O1831" s="29"/>
    </row>
    <row r="1832" spans="11:15" ht="12.75">
      <c r="K1832" s="29"/>
      <c r="O1832" s="29"/>
    </row>
    <row r="1833" spans="11:15" ht="12.75">
      <c r="K1833" s="29"/>
      <c r="O1833" s="29"/>
    </row>
    <row r="1834" spans="11:15" ht="12.75">
      <c r="K1834" s="29"/>
      <c r="O1834" s="29"/>
    </row>
    <row r="1835" spans="11:15" ht="12.75">
      <c r="K1835" s="29"/>
      <c r="O1835" s="29"/>
    </row>
    <row r="1836" spans="11:15" ht="12.75">
      <c r="K1836" s="29"/>
      <c r="O1836" s="29"/>
    </row>
    <row r="1837" spans="11:15" ht="12.75">
      <c r="K1837" s="29"/>
      <c r="O1837" s="29"/>
    </row>
    <row r="1838" spans="11:15" ht="12.75">
      <c r="K1838" s="29"/>
      <c r="O1838" s="29"/>
    </row>
    <row r="1839" spans="11:15" ht="12.75">
      <c r="K1839" s="29"/>
      <c r="O1839" s="29"/>
    </row>
    <row r="1840" spans="11:15" ht="12.75">
      <c r="K1840" s="29"/>
      <c r="O1840" s="29"/>
    </row>
    <row r="1841" spans="11:15" ht="12.75">
      <c r="K1841" s="29"/>
      <c r="O1841" s="29"/>
    </row>
    <row r="1842" spans="11:15" ht="12.75">
      <c r="K1842" s="29"/>
      <c r="O1842" s="29"/>
    </row>
    <row r="1843" spans="11:15" ht="12.75">
      <c r="K1843" s="29"/>
      <c r="O1843" s="29"/>
    </row>
    <row r="1844" spans="11:15" ht="12.75">
      <c r="K1844" s="29"/>
      <c r="O1844" s="29"/>
    </row>
    <row r="1845" spans="11:15" ht="12.75">
      <c r="K1845" s="29"/>
      <c r="O1845" s="29"/>
    </row>
    <row r="1846" spans="11:15" ht="12.75">
      <c r="K1846" s="29"/>
      <c r="O1846" s="29"/>
    </row>
    <row r="1847" spans="11:15" ht="12.75">
      <c r="K1847" s="29"/>
      <c r="O1847" s="29"/>
    </row>
    <row r="1848" spans="11:15" ht="12.75">
      <c r="K1848" s="29"/>
      <c r="O1848" s="29"/>
    </row>
    <row r="1849" spans="11:15" ht="12.75">
      <c r="K1849" s="29"/>
      <c r="O1849" s="29"/>
    </row>
    <row r="1850" spans="11:15" ht="12.75">
      <c r="K1850" s="29"/>
      <c r="O1850" s="29"/>
    </row>
    <row r="1851" spans="11:15" ht="12.75">
      <c r="K1851" s="29"/>
      <c r="O1851" s="29"/>
    </row>
    <row r="1852" spans="11:15" ht="12.75">
      <c r="K1852" s="29"/>
      <c r="O1852" s="29"/>
    </row>
    <row r="1853" spans="11:15" ht="12.75">
      <c r="K1853" s="29"/>
      <c r="O1853" s="29"/>
    </row>
    <row r="1854" spans="11:15" ht="12.75">
      <c r="K1854" s="29"/>
      <c r="O1854" s="29"/>
    </row>
    <row r="1855" spans="11:15" ht="12.75">
      <c r="K1855" s="29"/>
      <c r="O1855" s="29"/>
    </row>
    <row r="1856" spans="11:15" ht="12.75">
      <c r="K1856" s="29"/>
      <c r="O1856" s="29"/>
    </row>
    <row r="1857" spans="11:15" ht="12.75">
      <c r="K1857" s="29"/>
      <c r="O1857" s="29"/>
    </row>
    <row r="1858" spans="11:15" ht="12.75">
      <c r="K1858" s="29"/>
      <c r="O1858" s="29"/>
    </row>
    <row r="1859" spans="11:15" ht="12.75">
      <c r="K1859" s="29"/>
      <c r="O1859" s="29"/>
    </row>
    <row r="1860" spans="11:15" ht="12.75">
      <c r="K1860" s="29"/>
      <c r="O1860" s="29"/>
    </row>
    <row r="1861" spans="11:15" ht="12.75">
      <c r="K1861" s="29"/>
      <c r="O1861" s="29"/>
    </row>
    <row r="1862" spans="11:15" ht="12.75">
      <c r="K1862" s="29"/>
      <c r="O1862" s="29"/>
    </row>
    <row r="1863" spans="11:15" ht="12.75">
      <c r="K1863" s="29"/>
      <c r="O1863" s="29"/>
    </row>
    <row r="1864" spans="11:15" ht="12.75">
      <c r="K1864" s="29"/>
      <c r="O1864" s="29"/>
    </row>
    <row r="1865" spans="11:15" ht="12.75">
      <c r="K1865" s="29"/>
      <c r="O1865" s="29"/>
    </row>
    <row r="1866" spans="11:15" ht="12.75">
      <c r="K1866" s="29"/>
      <c r="O1866" s="29"/>
    </row>
    <row r="1867" spans="11:15" ht="12.75">
      <c r="K1867" s="29"/>
      <c r="O1867" s="29"/>
    </row>
    <row r="1868" spans="11:15" ht="12.75">
      <c r="K1868" s="29"/>
      <c r="O1868" s="29"/>
    </row>
    <row r="1869" spans="11:15" ht="12.75">
      <c r="K1869" s="29"/>
      <c r="O1869" s="29"/>
    </row>
    <row r="1870" spans="11:15" ht="12.75">
      <c r="K1870" s="29"/>
      <c r="O1870" s="29"/>
    </row>
    <row r="1871" spans="11:15" ht="12.75">
      <c r="K1871" s="29"/>
      <c r="O1871" s="29"/>
    </row>
    <row r="1872" spans="11:15" ht="12.75">
      <c r="K1872" s="29"/>
      <c r="O1872" s="29"/>
    </row>
    <row r="1873" spans="11:15" ht="12.75">
      <c r="K1873" s="29"/>
      <c r="O1873" s="29"/>
    </row>
    <row r="1874" spans="11:15" ht="12.75">
      <c r="K1874" s="29"/>
      <c r="O1874" s="29"/>
    </row>
    <row r="1875" spans="11:15" ht="12.75">
      <c r="K1875" s="29"/>
      <c r="O1875" s="29"/>
    </row>
    <row r="1876" spans="11:15" ht="12.75">
      <c r="K1876" s="29"/>
      <c r="O1876" s="29"/>
    </row>
    <row r="1877" spans="11:15" ht="12.75">
      <c r="K1877" s="29"/>
      <c r="O1877" s="29"/>
    </row>
    <row r="1878" spans="11:15" ht="12.75">
      <c r="K1878" s="29"/>
      <c r="O1878" s="29"/>
    </row>
    <row r="1879" spans="11:15" ht="12.75">
      <c r="K1879" s="29"/>
      <c r="O1879" s="29"/>
    </row>
    <row r="1880" spans="11:15" ht="12.75">
      <c r="K1880" s="29"/>
      <c r="O1880" s="29"/>
    </row>
    <row r="1881" spans="11:15" ht="12.75">
      <c r="K1881" s="29"/>
      <c r="O1881" s="29"/>
    </row>
    <row r="1882" spans="11:15" ht="12.75">
      <c r="K1882" s="29"/>
      <c r="O1882" s="29"/>
    </row>
    <row r="1883" spans="11:15" ht="12.75">
      <c r="K1883" s="29"/>
      <c r="O1883" s="29"/>
    </row>
    <row r="1884" spans="11:15" ht="12.75">
      <c r="K1884" s="29"/>
      <c r="O1884" s="29"/>
    </row>
    <row r="1885" spans="11:15" ht="12.75">
      <c r="K1885" s="29"/>
      <c r="O1885" s="29"/>
    </row>
    <row r="1886" spans="11:15" ht="12.75">
      <c r="K1886" s="29"/>
      <c r="O1886" s="29"/>
    </row>
    <row r="1887" spans="11:15" ht="12.75">
      <c r="K1887" s="29"/>
      <c r="O1887" s="29"/>
    </row>
    <row r="1888" spans="11:15" ht="12.75">
      <c r="K1888" s="29"/>
      <c r="O1888" s="29"/>
    </row>
    <row r="1889" spans="11:15" ht="12.75">
      <c r="K1889" s="29"/>
      <c r="O1889" s="29"/>
    </row>
    <row r="1890" spans="11:15" ht="12.75">
      <c r="K1890" s="29"/>
      <c r="O1890" s="29"/>
    </row>
    <row r="1891" spans="11:15" ht="12.75">
      <c r="K1891" s="29"/>
      <c r="O1891" s="29"/>
    </row>
    <row r="1892" spans="11:15" ht="12.75">
      <c r="K1892" s="29"/>
      <c r="O1892" s="29"/>
    </row>
    <row r="1893" spans="11:15" ht="12.75">
      <c r="K1893" s="29"/>
      <c r="O1893" s="29"/>
    </row>
    <row r="1894" spans="11:15" ht="12.75">
      <c r="K1894" s="29"/>
      <c r="O1894" s="29"/>
    </row>
    <row r="1895" spans="11:15" ht="12.75">
      <c r="K1895" s="29"/>
      <c r="O1895" s="29"/>
    </row>
    <row r="1896" spans="11:15" ht="12.75">
      <c r="K1896" s="29"/>
      <c r="O1896" s="29"/>
    </row>
    <row r="1897" spans="11:15" ht="12.75">
      <c r="K1897" s="29"/>
      <c r="O1897" s="29"/>
    </row>
    <row r="1898" spans="11:15" ht="12.75">
      <c r="K1898" s="29"/>
      <c r="O1898" s="29"/>
    </row>
    <row r="1899" spans="11:15" ht="12.75">
      <c r="K1899" s="29"/>
      <c r="O1899" s="29"/>
    </row>
    <row r="1900" spans="11:15" ht="12.75">
      <c r="K1900" s="29"/>
      <c r="O1900" s="29"/>
    </row>
    <row r="1901" spans="11:15" ht="12.75">
      <c r="K1901" s="29"/>
      <c r="O1901" s="29"/>
    </row>
    <row r="1902" spans="11:15" ht="12.75">
      <c r="K1902" s="29"/>
      <c r="O1902" s="29"/>
    </row>
    <row r="1903" spans="11:15" ht="12.75">
      <c r="K1903" s="29"/>
      <c r="O1903" s="29"/>
    </row>
    <row r="1904" spans="11:15" ht="12.75">
      <c r="K1904" s="29"/>
      <c r="O1904" s="29"/>
    </row>
    <row r="1905" spans="11:15" ht="12.75">
      <c r="K1905" s="29"/>
      <c r="O1905" s="29"/>
    </row>
    <row r="1906" spans="11:15" ht="12.75">
      <c r="K1906" s="29"/>
      <c r="O1906" s="29"/>
    </row>
    <row r="1907" spans="11:15" ht="12.75">
      <c r="K1907" s="29"/>
      <c r="O1907" s="29"/>
    </row>
    <row r="1908" spans="11:15" ht="12.75">
      <c r="K1908" s="29"/>
      <c r="O1908" s="29"/>
    </row>
    <row r="1909" spans="11:15" ht="12.75">
      <c r="K1909" s="29"/>
      <c r="O1909" s="29"/>
    </row>
    <row r="1910" spans="11:15" ht="12.75">
      <c r="K1910" s="29"/>
      <c r="O1910" s="29"/>
    </row>
    <row r="1911" spans="11:15" ht="12.75">
      <c r="K1911" s="29"/>
      <c r="O1911" s="29"/>
    </row>
    <row r="1912" spans="11:15" ht="12.75">
      <c r="K1912" s="29"/>
      <c r="O1912" s="29"/>
    </row>
    <row r="1913" spans="11:15" ht="12.75">
      <c r="K1913" s="29"/>
      <c r="O1913" s="29"/>
    </row>
    <row r="1914" spans="11:15" ht="12.75">
      <c r="K1914" s="29"/>
      <c r="O1914" s="29"/>
    </row>
    <row r="1915" spans="11:15" ht="12.75">
      <c r="K1915" s="29"/>
      <c r="O1915" s="29"/>
    </row>
    <row r="1916" spans="11:15" ht="12.75">
      <c r="K1916" s="29"/>
      <c r="O1916" s="29"/>
    </row>
    <row r="1917" spans="11:15" ht="12.75">
      <c r="K1917" s="29"/>
      <c r="O1917" s="29"/>
    </row>
    <row r="1918" spans="11:15" ht="12.75">
      <c r="K1918" s="29"/>
      <c r="O1918" s="29"/>
    </row>
    <row r="1919" spans="11:15" ht="12.75">
      <c r="K1919" s="29"/>
      <c r="O1919" s="29"/>
    </row>
    <row r="1920" spans="11:15" ht="12.75">
      <c r="K1920" s="29"/>
      <c r="O1920" s="29"/>
    </row>
    <row r="1921" spans="11:15" ht="12.75">
      <c r="K1921" s="29"/>
      <c r="O1921" s="29"/>
    </row>
    <row r="1922" spans="11:15" ht="12.75">
      <c r="K1922" s="29"/>
      <c r="O1922" s="29"/>
    </row>
    <row r="1923" spans="11:15" ht="12.75">
      <c r="K1923" s="29"/>
      <c r="O1923" s="29"/>
    </row>
    <row r="1924" spans="11:15" ht="12.75">
      <c r="K1924" s="29"/>
      <c r="O1924" s="29"/>
    </row>
    <row r="1925" spans="11:15" ht="12.75">
      <c r="K1925" s="29"/>
      <c r="O1925" s="29"/>
    </row>
    <row r="1926" spans="11:15" ht="12.75">
      <c r="K1926" s="29"/>
      <c r="O1926" s="29"/>
    </row>
    <row r="1927" spans="11:15" ht="12.75">
      <c r="K1927" s="29"/>
      <c r="O1927" s="29"/>
    </row>
    <row r="1928" spans="11:15" ht="12.75">
      <c r="K1928" s="29"/>
      <c r="O1928" s="29"/>
    </row>
    <row r="1929" spans="11:15" ht="12.75">
      <c r="K1929" s="29"/>
      <c r="O1929" s="29"/>
    </row>
    <row r="1930" spans="11:15" ht="12.75">
      <c r="K1930" s="29"/>
      <c r="O1930" s="29"/>
    </row>
    <row r="1931" spans="11:15" ht="12.75">
      <c r="K1931" s="29"/>
      <c r="O1931" s="29"/>
    </row>
    <row r="1932" spans="11:15" ht="12.75">
      <c r="K1932" s="29"/>
      <c r="O1932" s="29"/>
    </row>
    <row r="1933" spans="11:15" ht="12.75">
      <c r="K1933" s="29"/>
      <c r="O1933" s="29"/>
    </row>
    <row r="1934" spans="11:15" ht="12.75">
      <c r="K1934" s="29"/>
      <c r="O1934" s="29"/>
    </row>
    <row r="1935" spans="11:15" ht="12.75">
      <c r="K1935" s="29"/>
      <c r="O1935" s="29"/>
    </row>
    <row r="1936" spans="11:15" ht="12.75">
      <c r="K1936" s="29"/>
      <c r="O1936" s="29"/>
    </row>
    <row r="1937" spans="11:15" ht="12.75">
      <c r="K1937" s="29"/>
      <c r="O1937" s="29"/>
    </row>
    <row r="1938" spans="11:15" ht="12.75">
      <c r="K1938" s="29"/>
      <c r="O1938" s="29"/>
    </row>
    <row r="1939" spans="11:15" ht="12.75">
      <c r="K1939" s="29"/>
      <c r="O1939" s="29"/>
    </row>
    <row r="1940" spans="11:15" ht="12.75">
      <c r="K1940" s="29"/>
      <c r="O1940" s="29"/>
    </row>
    <row r="1941" spans="11:15" ht="12.75">
      <c r="K1941" s="29"/>
      <c r="O1941" s="29"/>
    </row>
    <row r="1942" spans="11:15" ht="12.75">
      <c r="K1942" s="29"/>
      <c r="O1942" s="29"/>
    </row>
    <row r="1943" spans="11:15" ht="12.75">
      <c r="K1943" s="29"/>
      <c r="O1943" s="29"/>
    </row>
    <row r="1944" spans="11:15" ht="12.75">
      <c r="K1944" s="29"/>
      <c r="O1944" s="29"/>
    </row>
    <row r="1945" spans="11:15" ht="12.75">
      <c r="K1945" s="29"/>
      <c r="O1945" s="29"/>
    </row>
    <row r="1946" spans="11:15" ht="12.75">
      <c r="K1946" s="29"/>
      <c r="O1946" s="29"/>
    </row>
    <row r="1947" spans="11:15" ht="12.75">
      <c r="K1947" s="29"/>
      <c r="O1947" s="29"/>
    </row>
    <row r="1948" spans="11:15" ht="12.75">
      <c r="K1948" s="29"/>
      <c r="O1948" s="29"/>
    </row>
    <row r="1949" spans="11:15" ht="12.75">
      <c r="K1949" s="29"/>
      <c r="O1949" s="29"/>
    </row>
    <row r="1950" spans="11:15" ht="12.75">
      <c r="K1950" s="29"/>
      <c r="O1950" s="29"/>
    </row>
    <row r="1951" spans="11:15" ht="12.75">
      <c r="K1951" s="29"/>
      <c r="O1951" s="29"/>
    </row>
    <row r="1952" spans="11:15" ht="12.75">
      <c r="K1952" s="29"/>
      <c r="O1952" s="29"/>
    </row>
    <row r="1953" spans="11:15" ht="12.75">
      <c r="K1953" s="29"/>
      <c r="O1953" s="29"/>
    </row>
    <row r="1954" spans="11:15" ht="12.75">
      <c r="K1954" s="29"/>
      <c r="O1954" s="29"/>
    </row>
    <row r="1955" spans="11:15" ht="12.75">
      <c r="K1955" s="29"/>
      <c r="O1955" s="29"/>
    </row>
    <row r="1956" spans="11:15" ht="12.75">
      <c r="K1956" s="29"/>
      <c r="O1956" s="29"/>
    </row>
    <row r="1957" spans="11:15" ht="12.75">
      <c r="K1957" s="29"/>
      <c r="O1957" s="29"/>
    </row>
    <row r="1958" spans="11:15" ht="12.75">
      <c r="K1958" s="29"/>
      <c r="O1958" s="29"/>
    </row>
    <row r="1959" spans="11:15" ht="12.75">
      <c r="K1959" s="29"/>
      <c r="O1959" s="29"/>
    </row>
    <row r="1960" spans="11:15" ht="12.75">
      <c r="K1960" s="29"/>
      <c r="O1960" s="29"/>
    </row>
    <row r="1961" spans="11:15" ht="12.75">
      <c r="K1961" s="29"/>
      <c r="O1961" s="29"/>
    </row>
    <row r="1962" spans="11:15" ht="12.75">
      <c r="K1962" s="29"/>
      <c r="O1962" s="29"/>
    </row>
    <row r="1963" spans="11:15" ht="12.75">
      <c r="K1963" s="29"/>
      <c r="O1963" s="29"/>
    </row>
    <row r="1964" spans="11:15" ht="12.75">
      <c r="K1964" s="29"/>
      <c r="O1964" s="29"/>
    </row>
    <row r="1965" spans="11:15" ht="12.75">
      <c r="K1965" s="29"/>
      <c r="O1965" s="29"/>
    </row>
    <row r="1966" spans="11:15" ht="12.75">
      <c r="K1966" s="29"/>
      <c r="O1966" s="29"/>
    </row>
    <row r="1967" spans="11:15" ht="12.75">
      <c r="K1967" s="29"/>
      <c r="O1967" s="29"/>
    </row>
    <row r="1968" spans="11:15" ht="12.75">
      <c r="K1968" s="29"/>
      <c r="O1968" s="29"/>
    </row>
    <row r="1969" spans="11:15" ht="12.75">
      <c r="K1969" s="29"/>
      <c r="O1969" s="29"/>
    </row>
    <row r="1970" spans="11:15" ht="12.75">
      <c r="K1970" s="29"/>
      <c r="O1970" s="29"/>
    </row>
    <row r="1971" spans="11:15" ht="12.75">
      <c r="K1971" s="29"/>
      <c r="O1971" s="29"/>
    </row>
    <row r="1972" spans="11:15" ht="12.75">
      <c r="K1972" s="29"/>
      <c r="O1972" s="29"/>
    </row>
    <row r="1973" spans="11:15" ht="12.75">
      <c r="K1973" s="29"/>
      <c r="O1973" s="29"/>
    </row>
    <row r="1974" spans="11:15" ht="12.75">
      <c r="K1974" s="29"/>
      <c r="O1974" s="29"/>
    </row>
    <row r="1975" spans="11:15" ht="12.75">
      <c r="K1975" s="29"/>
      <c r="O1975" s="29"/>
    </row>
    <row r="1976" spans="11:15" ht="12.75">
      <c r="K1976" s="29"/>
      <c r="O1976" s="29"/>
    </row>
    <row r="1977" spans="11:15" ht="12.75">
      <c r="K1977" s="29"/>
      <c r="O1977" s="29"/>
    </row>
    <row r="1978" spans="11:15" ht="12.75">
      <c r="K1978" s="29"/>
      <c r="O1978" s="29"/>
    </row>
    <row r="1979" spans="11:15" ht="12.75">
      <c r="K1979" s="29"/>
      <c r="O1979" s="29"/>
    </row>
    <row r="1980" spans="11:15" ht="12.75">
      <c r="K1980" s="29"/>
      <c r="O1980" s="29"/>
    </row>
    <row r="1981" spans="11:15" ht="12.75">
      <c r="K1981" s="29"/>
      <c r="O1981" s="29"/>
    </row>
    <row r="1982" spans="11:15" ht="12.75">
      <c r="K1982" s="29"/>
      <c r="O1982" s="29"/>
    </row>
    <row r="1983" spans="11:15" ht="12.75">
      <c r="K1983" s="29"/>
      <c r="O1983" s="29"/>
    </row>
    <row r="1984" spans="11:15" ht="12.75">
      <c r="K1984" s="29"/>
      <c r="O1984" s="29"/>
    </row>
    <row r="1985" spans="11:15" ht="12.75">
      <c r="K1985" s="29"/>
      <c r="O1985" s="29"/>
    </row>
    <row r="1986" spans="11:15" ht="12.75">
      <c r="K1986" s="29"/>
      <c r="O1986" s="29"/>
    </row>
    <row r="1987" spans="11:15" ht="12.75">
      <c r="K1987" s="29"/>
      <c r="O1987" s="29"/>
    </row>
    <row r="1988" spans="11:15" ht="12.75">
      <c r="K1988" s="29"/>
      <c r="O1988" s="29"/>
    </row>
    <row r="1989" spans="11:15" ht="12.75">
      <c r="K1989" s="29"/>
      <c r="O1989" s="29"/>
    </row>
    <row r="1990" spans="11:15" ht="12.75">
      <c r="K1990" s="29"/>
      <c r="O1990" s="29"/>
    </row>
    <row r="1991" spans="11:15" ht="12.75">
      <c r="K1991" s="29"/>
      <c r="O1991" s="29"/>
    </row>
    <row r="1992" spans="11:15" ht="12.75">
      <c r="K1992" s="29"/>
      <c r="O1992" s="29"/>
    </row>
    <row r="1993" spans="11:15" ht="12.75">
      <c r="K1993" s="29"/>
      <c r="O1993" s="29"/>
    </row>
    <row r="1994" spans="11:15" ht="12.75">
      <c r="K1994" s="29"/>
      <c r="O1994" s="29"/>
    </row>
    <row r="1995" spans="11:15" ht="12.75">
      <c r="K1995" s="29"/>
      <c r="O1995" s="29"/>
    </row>
    <row r="1996" spans="11:15" ht="12.75">
      <c r="K1996" s="29"/>
      <c r="O1996" s="29"/>
    </row>
    <row r="1997" spans="11:15" ht="12.75">
      <c r="K1997" s="29"/>
      <c r="O1997" s="29"/>
    </row>
    <row r="1998" spans="11:15" ht="12.75">
      <c r="K1998" s="29"/>
      <c r="O1998" s="29"/>
    </row>
    <row r="1999" spans="11:15" ht="12.75">
      <c r="K1999" s="29"/>
      <c r="O1999" s="29"/>
    </row>
    <row r="2000" spans="11:15" ht="12.75">
      <c r="K2000" s="29"/>
      <c r="O2000" s="29"/>
    </row>
    <row r="2001" spans="11:15" ht="12.75">
      <c r="K2001" s="29"/>
      <c r="O2001" s="29"/>
    </row>
    <row r="2002" spans="11:15" ht="12.75">
      <c r="K2002" s="29"/>
      <c r="O2002" s="29"/>
    </row>
    <row r="2003" spans="11:15" ht="12.75">
      <c r="K2003" s="29"/>
      <c r="O2003" s="29"/>
    </row>
    <row r="2004" spans="11:15" ht="12.75">
      <c r="K2004" s="29"/>
      <c r="O2004" s="29"/>
    </row>
    <row r="2005" spans="11:15" ht="12.75">
      <c r="K2005" s="29"/>
      <c r="O2005" s="29"/>
    </row>
    <row r="2006" spans="11:15" ht="12.75">
      <c r="K2006" s="29"/>
      <c r="O2006" s="29"/>
    </row>
    <row r="2007" spans="11:15" ht="12.75">
      <c r="K2007" s="29"/>
      <c r="O2007" s="29"/>
    </row>
    <row r="2008" spans="11:15" ht="12.75">
      <c r="K2008" s="29"/>
      <c r="O2008" s="29"/>
    </row>
    <row r="2009" spans="11:15" ht="12.75">
      <c r="K2009" s="29"/>
      <c r="O2009" s="29"/>
    </row>
    <row r="2010" spans="11:15" ht="12.75">
      <c r="K2010" s="29"/>
      <c r="O2010" s="29"/>
    </row>
    <row r="2011" spans="11:15" ht="12.75">
      <c r="K2011" s="29"/>
      <c r="O2011" s="29"/>
    </row>
    <row r="2012" spans="11:15" ht="12.75">
      <c r="K2012" s="29"/>
      <c r="O2012" s="29"/>
    </row>
    <row r="2013" spans="11:15" ht="12.75">
      <c r="K2013" s="29"/>
      <c r="O2013" s="29"/>
    </row>
    <row r="2014" spans="11:15" ht="12.75">
      <c r="K2014" s="29"/>
      <c r="O2014" s="29"/>
    </row>
    <row r="2015" spans="11:15" ht="12.75">
      <c r="K2015" s="29"/>
      <c r="O2015" s="29"/>
    </row>
    <row r="2016" spans="11:15" ht="12.75">
      <c r="K2016" s="29"/>
      <c r="O2016" s="29"/>
    </row>
    <row r="2017" spans="11:15" ht="12.75">
      <c r="K2017" s="29"/>
      <c r="O2017" s="29"/>
    </row>
    <row r="2018" spans="11:15" ht="12.75">
      <c r="K2018" s="29"/>
      <c r="O2018" s="29"/>
    </row>
    <row r="2019" spans="11:15" ht="12.75">
      <c r="K2019" s="29"/>
      <c r="O2019" s="29"/>
    </row>
    <row r="2020" spans="11:15" ht="12.75">
      <c r="K2020" s="29"/>
      <c r="O2020" s="29"/>
    </row>
    <row r="2021" spans="11:15" ht="12.75">
      <c r="K2021" s="29"/>
      <c r="O2021" s="29"/>
    </row>
    <row r="2022" spans="11:15" ht="12.75">
      <c r="K2022" s="29"/>
      <c r="O2022" s="29"/>
    </row>
    <row r="2023" spans="11:15" ht="12.75">
      <c r="K2023" s="29"/>
      <c r="O2023" s="29"/>
    </row>
    <row r="2024" spans="11:15" ht="12.75">
      <c r="K2024" s="29"/>
      <c r="O2024" s="29"/>
    </row>
    <row r="2025" spans="11:15" ht="12.75">
      <c r="K2025" s="29"/>
      <c r="O2025" s="29"/>
    </row>
    <row r="2026" spans="11:15" ht="12.75">
      <c r="K2026" s="29"/>
      <c r="O2026" s="29"/>
    </row>
    <row r="2027" spans="11:15" ht="12.75">
      <c r="K2027" s="29"/>
      <c r="O2027" s="29"/>
    </row>
    <row r="2028" spans="11:15" ht="12.75">
      <c r="K2028" s="29"/>
      <c r="O2028" s="29"/>
    </row>
    <row r="2029" spans="11:15" ht="12.75">
      <c r="K2029" s="29"/>
      <c r="O2029" s="29"/>
    </row>
    <row r="2030" spans="11:15" ht="12.75">
      <c r="K2030" s="29"/>
      <c r="O2030" s="29"/>
    </row>
    <row r="2031" spans="11:15" ht="12.75">
      <c r="K2031" s="29"/>
      <c r="O2031" s="29"/>
    </row>
    <row r="2032" spans="11:15" ht="12.75">
      <c r="K2032" s="29"/>
      <c r="O2032" s="29"/>
    </row>
    <row r="2033" spans="11:15" ht="12.75">
      <c r="K2033" s="29"/>
      <c r="O2033" s="29"/>
    </row>
    <row r="2034" spans="11:15" ht="12.75">
      <c r="K2034" s="29"/>
      <c r="O2034" s="29"/>
    </row>
    <row r="2035" spans="11:15" ht="12.75">
      <c r="K2035" s="29"/>
      <c r="O2035" s="29"/>
    </row>
    <row r="2036" spans="11:15" ht="12.75">
      <c r="K2036" s="29"/>
      <c r="O2036" s="29"/>
    </row>
    <row r="2037" spans="11:15" ht="12.75">
      <c r="K2037" s="29"/>
      <c r="O2037" s="29"/>
    </row>
    <row r="2038" spans="11:15" ht="12.75">
      <c r="K2038" s="29"/>
      <c r="O2038" s="29"/>
    </row>
    <row r="2039" spans="11:15" ht="12.75">
      <c r="K2039" s="29"/>
      <c r="O2039" s="29"/>
    </row>
    <row r="2040" spans="11:15" ht="12.75">
      <c r="K2040" s="29"/>
      <c r="O2040" s="29"/>
    </row>
    <row r="2041" spans="11:15" ht="12.75">
      <c r="K2041" s="29"/>
      <c r="O2041" s="29"/>
    </row>
    <row r="2042" spans="11:15" ht="12.75">
      <c r="K2042" s="29"/>
      <c r="O2042" s="29"/>
    </row>
    <row r="2043" spans="11:15" ht="12.75">
      <c r="K2043" s="29"/>
      <c r="O2043" s="29"/>
    </row>
    <row r="2044" spans="11:15" ht="12.75">
      <c r="K2044" s="29"/>
      <c r="O2044" s="29"/>
    </row>
    <row r="2045" spans="11:15" ht="12.75">
      <c r="K2045" s="29"/>
      <c r="O2045" s="29"/>
    </row>
    <row r="2046" spans="11:15" ht="12.75">
      <c r="K2046" s="29"/>
      <c r="O2046" s="29"/>
    </row>
    <row r="2047" spans="11:15" ht="12.75">
      <c r="K2047" s="29"/>
      <c r="O2047" s="29"/>
    </row>
    <row r="2048" spans="11:15" ht="12.75">
      <c r="K2048" s="29"/>
      <c r="O2048" s="29"/>
    </row>
    <row r="2049" spans="11:15" ht="12.75">
      <c r="K2049" s="29"/>
      <c r="O2049" s="29"/>
    </row>
    <row r="2050" spans="11:15" ht="12.75">
      <c r="K2050" s="29"/>
      <c r="O2050" s="29"/>
    </row>
    <row r="2051" spans="11:15" ht="12.75">
      <c r="K2051" s="29"/>
      <c r="O2051" s="29"/>
    </row>
    <row r="2052" spans="11:15" ht="12.75">
      <c r="K2052" s="29"/>
      <c r="O2052" s="29"/>
    </row>
    <row r="2053" spans="11:15" ht="12.75">
      <c r="K2053" s="29"/>
      <c r="O2053" s="29"/>
    </row>
    <row r="2054" spans="11:15" ht="12.75">
      <c r="K2054" s="29"/>
      <c r="O2054" s="29"/>
    </row>
    <row r="2055" spans="11:15" ht="12.75">
      <c r="K2055" s="29"/>
      <c r="O2055" s="29"/>
    </row>
    <row r="2056" spans="11:15" ht="12.75">
      <c r="K2056" s="29"/>
      <c r="O2056" s="29"/>
    </row>
    <row r="2057" spans="11:15" ht="12.75">
      <c r="K2057" s="29"/>
      <c r="O2057" s="29"/>
    </row>
    <row r="2058" spans="11:15" ht="12.75">
      <c r="K2058" s="29"/>
      <c r="O2058" s="29"/>
    </row>
    <row r="2059" spans="11:15" ht="12.75">
      <c r="K2059" s="29"/>
      <c r="O2059" s="29"/>
    </row>
    <row r="2060" spans="11:15" ht="12.75">
      <c r="K2060" s="29"/>
      <c r="O2060" s="29"/>
    </row>
    <row r="2061" spans="11:15" ht="12.75">
      <c r="K2061" s="29"/>
      <c r="O2061" s="29"/>
    </row>
    <row r="2062" spans="11:15" ht="12.75">
      <c r="K2062" s="29"/>
      <c r="O2062" s="29"/>
    </row>
    <row r="2063" spans="11:15" ht="12.75">
      <c r="K2063" s="29"/>
      <c r="O2063" s="29"/>
    </row>
    <row r="2064" spans="11:15" ht="12.75">
      <c r="K2064" s="29"/>
      <c r="O2064" s="29"/>
    </row>
    <row r="2065" spans="11:15" ht="12.75">
      <c r="K2065" s="29"/>
      <c r="O2065" s="29"/>
    </row>
    <row r="2066" spans="11:15" ht="12.75">
      <c r="K2066" s="29"/>
      <c r="O2066" s="29"/>
    </row>
    <row r="2067" spans="11:15" ht="12.75">
      <c r="K2067" s="29"/>
      <c r="O2067" s="29"/>
    </row>
    <row r="2068" spans="11:15" ht="12.75">
      <c r="K2068" s="29"/>
      <c r="O2068" s="29"/>
    </row>
    <row r="2069" spans="11:15" ht="12.75">
      <c r="K2069" s="29"/>
      <c r="O2069" s="29"/>
    </row>
    <row r="2070" spans="11:15" ht="12.75">
      <c r="K2070" s="29"/>
      <c r="O2070" s="29"/>
    </row>
    <row r="2071" spans="11:15" ht="12.75">
      <c r="K2071" s="29"/>
      <c r="O2071" s="29"/>
    </row>
    <row r="2072" spans="11:15" ht="12.75">
      <c r="K2072" s="29"/>
      <c r="O2072" s="29"/>
    </row>
    <row r="2073" spans="11:15" ht="12.75">
      <c r="K2073" s="29"/>
      <c r="O2073" s="29"/>
    </row>
    <row r="2074" spans="11:15" ht="12.75">
      <c r="K2074" s="29"/>
      <c r="O2074" s="29"/>
    </row>
    <row r="2075" spans="11:15" ht="12.75">
      <c r="K2075" s="29"/>
      <c r="O2075" s="29"/>
    </row>
    <row r="2076" spans="11:15" ht="12.75">
      <c r="K2076" s="29"/>
      <c r="O2076" s="29"/>
    </row>
    <row r="2077" spans="11:15" ht="12.75">
      <c r="K2077" s="29"/>
      <c r="O2077" s="29"/>
    </row>
    <row r="2078" spans="11:15" ht="12.75">
      <c r="K2078" s="29"/>
      <c r="O2078" s="29"/>
    </row>
    <row r="2079" spans="11:15" ht="12.75">
      <c r="K2079" s="29"/>
      <c r="O2079" s="29"/>
    </row>
    <row r="2080" spans="11:15" ht="12.75">
      <c r="K2080" s="29"/>
      <c r="O2080" s="29"/>
    </row>
    <row r="2081" spans="11:15" ht="12.75">
      <c r="K2081" s="29"/>
      <c r="O2081" s="29"/>
    </row>
    <row r="2082" spans="11:15" ht="12.75">
      <c r="K2082" s="29"/>
      <c r="O2082" s="29"/>
    </row>
    <row r="2083" spans="11:15" ht="12.75">
      <c r="K2083" s="29"/>
      <c r="O2083" s="29"/>
    </row>
    <row r="2084" spans="11:15" ht="12.75">
      <c r="K2084" s="29"/>
      <c r="O2084" s="29"/>
    </row>
    <row r="2085" spans="11:15" ht="12.75">
      <c r="K2085" s="29"/>
      <c r="O2085" s="29"/>
    </row>
    <row r="2086" spans="11:15" ht="12.75">
      <c r="K2086" s="29"/>
      <c r="O2086" s="29"/>
    </row>
    <row r="2087" spans="11:15" ht="12.75">
      <c r="K2087" s="29"/>
      <c r="O2087" s="29"/>
    </row>
    <row r="2088" spans="11:15" ht="12.75">
      <c r="K2088" s="29"/>
      <c r="O2088" s="29"/>
    </row>
    <row r="2089" spans="11:15" ht="12.75">
      <c r="K2089" s="29"/>
      <c r="O2089" s="29"/>
    </row>
    <row r="2090" spans="11:15" ht="12.75">
      <c r="K2090" s="29"/>
      <c r="O2090" s="29"/>
    </row>
    <row r="2091" spans="11:15" ht="12.75">
      <c r="K2091" s="29"/>
      <c r="O2091" s="29"/>
    </row>
    <row r="2092" spans="11:15" ht="12.75">
      <c r="K2092" s="29"/>
      <c r="O2092" s="29"/>
    </row>
    <row r="2093" spans="11:15" ht="12.75">
      <c r="K2093" s="29"/>
      <c r="O2093" s="29"/>
    </row>
    <row r="2094" spans="11:15" ht="12.75">
      <c r="K2094" s="29"/>
      <c r="O2094" s="29"/>
    </row>
    <row r="2095" spans="11:15" ht="12.75">
      <c r="K2095" s="29"/>
      <c r="O2095" s="29"/>
    </row>
    <row r="2096" spans="11:15" ht="12.75">
      <c r="K2096" s="29"/>
      <c r="O2096" s="29"/>
    </row>
    <row r="2097" spans="11:15" ht="12.75">
      <c r="K2097" s="29"/>
      <c r="O2097" s="29"/>
    </row>
    <row r="2098" spans="11:15" ht="12.75">
      <c r="K2098" s="29"/>
      <c r="O2098" s="29"/>
    </row>
    <row r="2099" spans="11:15" ht="12.75">
      <c r="K2099" s="29"/>
      <c r="O2099" s="29"/>
    </row>
    <row r="2100" spans="11:15" ht="12.75">
      <c r="K2100" s="29"/>
      <c r="O2100" s="29"/>
    </row>
    <row r="2101" spans="11:15" ht="12.75">
      <c r="K2101" s="29"/>
      <c r="O2101" s="29"/>
    </row>
    <row r="2102" spans="11:15" ht="12.75">
      <c r="K2102" s="29"/>
      <c r="O2102" s="29"/>
    </row>
    <row r="2103" spans="11:15" ht="12.75">
      <c r="K2103" s="29"/>
      <c r="O2103" s="29"/>
    </row>
    <row r="2104" spans="11:15" ht="12.75">
      <c r="K2104" s="29"/>
      <c r="O2104" s="29"/>
    </row>
    <row r="2105" spans="11:15" ht="12.75">
      <c r="K2105" s="29"/>
      <c r="O2105" s="29"/>
    </row>
    <row r="2106" spans="11:15" ht="12.75">
      <c r="K2106" s="29"/>
      <c r="O2106" s="29"/>
    </row>
    <row r="2107" spans="11:15" ht="12.75">
      <c r="K2107" s="29"/>
      <c r="O2107" s="29"/>
    </row>
    <row r="2108" spans="11:15" ht="12.75">
      <c r="K2108" s="29"/>
      <c r="O2108" s="29"/>
    </row>
    <row r="2109" spans="11:15" ht="12.75">
      <c r="K2109" s="29"/>
      <c r="O2109" s="29"/>
    </row>
    <row r="2110" spans="11:15" ht="12.75">
      <c r="K2110" s="29"/>
      <c r="O2110" s="29"/>
    </row>
    <row r="2111" spans="11:15" ht="12.75">
      <c r="K2111" s="29"/>
      <c r="O2111" s="29"/>
    </row>
    <row r="2112" spans="11:15" ht="12.75">
      <c r="K2112" s="29"/>
      <c r="O2112" s="29"/>
    </row>
    <row r="2113" spans="11:15" ht="12.75">
      <c r="K2113" s="29"/>
      <c r="O2113" s="29"/>
    </row>
    <row r="2114" spans="11:15" ht="12.75">
      <c r="K2114" s="29"/>
      <c r="O2114" s="29"/>
    </row>
    <row r="2115" spans="11:15" ht="12.75">
      <c r="K2115" s="29"/>
      <c r="O2115" s="29"/>
    </row>
    <row r="2116" spans="11:15" ht="12.75">
      <c r="K2116" s="29"/>
      <c r="O2116" s="29"/>
    </row>
    <row r="2117" spans="11:15" ht="12.75">
      <c r="K2117" s="29"/>
      <c r="O2117" s="29"/>
    </row>
    <row r="2118" spans="11:15" ht="12.75">
      <c r="K2118" s="29"/>
      <c r="O2118" s="29"/>
    </row>
    <row r="2119" spans="11:15" ht="12.75">
      <c r="K2119" s="29"/>
      <c r="O2119" s="29"/>
    </row>
    <row r="2120" spans="11:15" ht="12.75">
      <c r="K2120" s="29"/>
      <c r="O2120" s="29"/>
    </row>
    <row r="2121" spans="11:15" ht="12.75">
      <c r="K2121" s="29"/>
      <c r="O2121" s="29"/>
    </row>
    <row r="2122" spans="11:15" ht="12.75">
      <c r="K2122" s="29"/>
      <c r="O2122" s="29"/>
    </row>
    <row r="2123" spans="11:15" ht="12.75">
      <c r="K2123" s="29"/>
      <c r="O2123" s="29"/>
    </row>
    <row r="2124" spans="11:15" ht="12.75">
      <c r="K2124" s="29"/>
      <c r="O2124" s="29"/>
    </row>
    <row r="2125" spans="11:15" ht="12.75">
      <c r="K2125" s="29"/>
      <c r="O2125" s="29"/>
    </row>
    <row r="2126" spans="11:15" ht="12.75">
      <c r="K2126" s="29"/>
      <c r="O2126" s="29"/>
    </row>
    <row r="2127" spans="11:15" ht="12.75">
      <c r="K2127" s="29"/>
      <c r="O2127" s="29"/>
    </row>
    <row r="2128" spans="11:15" ht="12.75">
      <c r="K2128" s="29"/>
      <c r="O2128" s="29"/>
    </row>
    <row r="2129" spans="11:15" ht="12.75">
      <c r="K2129" s="29"/>
      <c r="O2129" s="29"/>
    </row>
    <row r="2130" spans="11:15" ht="12.75">
      <c r="K2130" s="29"/>
      <c r="O2130" s="29"/>
    </row>
    <row r="2131" spans="11:15" ht="12.75">
      <c r="K2131" s="29"/>
      <c r="O2131" s="29"/>
    </row>
    <row r="2132" spans="11:15" ht="12.75">
      <c r="K2132" s="29"/>
      <c r="O2132" s="29"/>
    </row>
    <row r="2133" spans="11:15" ht="12.75">
      <c r="K2133" s="29"/>
      <c r="O2133" s="29"/>
    </row>
    <row r="2134" spans="11:15" ht="12.75">
      <c r="K2134" s="29"/>
      <c r="O2134" s="29"/>
    </row>
    <row r="2135" spans="11:15" ht="12.75">
      <c r="K2135" s="29"/>
      <c r="O2135" s="29"/>
    </row>
    <row r="2136" spans="11:15" ht="12.75">
      <c r="K2136" s="29"/>
      <c r="O2136" s="29"/>
    </row>
    <row r="2137" spans="11:15" ht="12.75">
      <c r="K2137" s="29"/>
      <c r="O2137" s="29"/>
    </row>
    <row r="2138" spans="11:15" ht="12.75">
      <c r="K2138" s="29"/>
      <c r="O2138" s="29"/>
    </row>
    <row r="2139" spans="11:15" ht="12.75">
      <c r="K2139" s="29"/>
      <c r="O2139" s="29"/>
    </row>
    <row r="2140" spans="11:15" ht="12.75">
      <c r="K2140" s="29"/>
      <c r="O2140" s="29"/>
    </row>
    <row r="2141" spans="11:15" ht="12.75">
      <c r="K2141" s="29"/>
      <c r="O2141" s="29"/>
    </row>
    <row r="2142" spans="11:15" ht="12.75">
      <c r="K2142" s="29"/>
      <c r="O2142" s="29"/>
    </row>
    <row r="2143" spans="11:15" ht="12.75">
      <c r="K2143" s="29"/>
      <c r="O2143" s="29"/>
    </row>
    <row r="2144" spans="11:15" ht="12.75">
      <c r="K2144" s="29"/>
      <c r="O2144" s="29"/>
    </row>
    <row r="2145" spans="11:15" ht="12.75">
      <c r="K2145" s="29"/>
      <c r="O2145" s="29"/>
    </row>
    <row r="2146" spans="11:15" ht="12.75">
      <c r="K2146" s="29"/>
      <c r="O2146" s="29"/>
    </row>
    <row r="2147" spans="11:15" ht="12.75">
      <c r="K2147" s="29"/>
      <c r="O2147" s="29"/>
    </row>
    <row r="2148" spans="11:15" ht="12.75">
      <c r="K2148" s="29"/>
      <c r="O2148" s="29"/>
    </row>
    <row r="2149" spans="11:15" ht="12.75">
      <c r="K2149" s="29"/>
      <c r="O2149" s="29"/>
    </row>
    <row r="2150" spans="11:15" ht="12.75">
      <c r="K2150" s="29"/>
      <c r="O2150" s="29"/>
    </row>
    <row r="2151" spans="11:15" ht="12.75">
      <c r="K2151" s="29"/>
      <c r="O2151" s="29"/>
    </row>
    <row r="2152" spans="11:15" ht="12.75">
      <c r="K2152" s="29"/>
      <c r="O2152" s="29"/>
    </row>
    <row r="2153" spans="11:15" ht="12.75">
      <c r="K2153" s="29"/>
      <c r="O2153" s="29"/>
    </row>
    <row r="2154" spans="11:15" ht="12.75">
      <c r="K2154" s="29"/>
      <c r="O2154" s="29"/>
    </row>
    <row r="2155" spans="11:15" ht="12.75">
      <c r="K2155" s="29"/>
      <c r="O2155" s="29"/>
    </row>
    <row r="2156" spans="11:15" ht="12.75">
      <c r="K2156" s="29"/>
      <c r="O2156" s="29"/>
    </row>
    <row r="2157" spans="11:15" ht="12.75">
      <c r="K2157" s="29"/>
      <c r="O2157" s="29"/>
    </row>
    <row r="2158" spans="11:15" ht="12.75">
      <c r="K2158" s="29"/>
      <c r="O2158" s="29"/>
    </row>
    <row r="2159" spans="11:15" ht="12.75">
      <c r="K2159" s="29"/>
      <c r="O2159" s="29"/>
    </row>
    <row r="2160" spans="11:15" ht="12.75">
      <c r="K2160" s="29"/>
      <c r="O2160" s="29"/>
    </row>
    <row r="2161" spans="11:15" ht="12.75">
      <c r="K2161" s="29"/>
      <c r="O2161" s="29"/>
    </row>
    <row r="2162" spans="11:15" ht="12.75">
      <c r="K2162" s="29"/>
      <c r="O2162" s="29"/>
    </row>
    <row r="2163" spans="11:15" ht="12.75">
      <c r="K2163" s="29"/>
      <c r="O2163" s="29"/>
    </row>
    <row r="2164" spans="11:15" ht="12.75">
      <c r="K2164" s="29"/>
      <c r="O2164" s="29"/>
    </row>
    <row r="2165" spans="11:15" ht="12.75">
      <c r="K2165" s="29"/>
      <c r="O2165" s="29"/>
    </row>
    <row r="2166" spans="11:15" ht="12.75">
      <c r="K2166" s="29"/>
      <c r="O2166" s="29"/>
    </row>
    <row r="2167" spans="11:15" ht="12.75">
      <c r="K2167" s="29"/>
      <c r="O2167" s="29"/>
    </row>
    <row r="2168" spans="11:15" ht="12.75">
      <c r="K2168" s="29"/>
      <c r="O2168" s="29"/>
    </row>
    <row r="2169" spans="11:15" ht="12.75">
      <c r="K2169" s="29"/>
      <c r="O2169" s="29"/>
    </row>
    <row r="2170" spans="11:15" ht="12.75">
      <c r="K2170" s="29"/>
      <c r="O2170" s="29"/>
    </row>
    <row r="2171" spans="11:15" ht="12.75">
      <c r="K2171" s="29"/>
      <c r="O2171" s="29"/>
    </row>
    <row r="2172" spans="11:15" ht="12.75">
      <c r="K2172" s="29"/>
      <c r="O2172" s="29"/>
    </row>
    <row r="2173" spans="11:15" ht="12.75">
      <c r="K2173" s="29"/>
      <c r="O2173" s="29"/>
    </row>
    <row r="2174" spans="11:15" ht="12.75">
      <c r="K2174" s="29"/>
      <c r="O2174" s="29"/>
    </row>
    <row r="2175" spans="11:15" ht="12.75">
      <c r="K2175" s="29"/>
      <c r="O2175" s="29"/>
    </row>
    <row r="2176" spans="11:15" ht="12.75">
      <c r="K2176" s="29"/>
      <c r="O2176" s="29"/>
    </row>
    <row r="2177" spans="11:15" ht="12.75">
      <c r="K2177" s="29"/>
      <c r="O2177" s="29"/>
    </row>
    <row r="2178" spans="11:15" ht="12.75">
      <c r="K2178" s="29"/>
      <c r="O2178" s="29"/>
    </row>
    <row r="2179" spans="11:15" ht="12.75">
      <c r="K2179" s="29"/>
      <c r="O2179" s="29"/>
    </row>
    <row r="2180" spans="11:15" ht="12.75">
      <c r="K2180" s="29"/>
      <c r="O2180" s="29"/>
    </row>
    <row r="2181" spans="11:15" ht="12.75">
      <c r="K2181" s="29"/>
      <c r="O2181" s="29"/>
    </row>
    <row r="2182" spans="11:15" ht="12.75">
      <c r="K2182" s="29"/>
      <c r="O2182" s="29"/>
    </row>
    <row r="2183" spans="11:15" ht="12.75">
      <c r="K2183" s="29"/>
      <c r="O2183" s="29"/>
    </row>
    <row r="2184" spans="11:15" ht="12.75">
      <c r="K2184" s="29"/>
      <c r="O2184" s="29"/>
    </row>
    <row r="2185" spans="11:15" ht="12.75">
      <c r="K2185" s="29"/>
      <c r="O2185" s="29"/>
    </row>
    <row r="2186" spans="11:15" ht="12.75">
      <c r="K2186" s="29"/>
      <c r="O2186" s="29"/>
    </row>
    <row r="2187" spans="11:15" ht="12.75">
      <c r="K2187" s="29"/>
      <c r="O2187" s="29"/>
    </row>
    <row r="2188" spans="11:15" ht="12.75">
      <c r="K2188" s="29"/>
      <c r="O2188" s="29"/>
    </row>
    <row r="2189" spans="11:15" ht="12.75">
      <c r="K2189" s="29"/>
      <c r="O2189" s="29"/>
    </row>
    <row r="2190" spans="11:15" ht="12.75">
      <c r="K2190" s="29"/>
      <c r="O2190" s="29"/>
    </row>
    <row r="2191" spans="11:15" ht="12.75">
      <c r="K2191" s="29"/>
      <c r="O2191" s="29"/>
    </row>
    <row r="2192" spans="11:15" ht="12.75">
      <c r="K2192" s="29"/>
      <c r="O2192" s="29"/>
    </row>
    <row r="2193" spans="11:15" ht="12.75">
      <c r="K2193" s="29"/>
      <c r="O2193" s="29"/>
    </row>
    <row r="2194" spans="11:15" ht="12.75">
      <c r="K2194" s="29"/>
      <c r="O2194" s="29"/>
    </row>
    <row r="2195" spans="11:15" ht="12.75">
      <c r="K2195" s="29"/>
      <c r="O2195" s="29"/>
    </row>
    <row r="2196" spans="11:15" ht="12.75">
      <c r="K2196" s="29"/>
      <c r="O2196" s="29"/>
    </row>
    <row r="2197" spans="11:15" ht="12.75">
      <c r="K2197" s="29"/>
      <c r="O2197" s="29"/>
    </row>
    <row r="2198" spans="11:15" ht="12.75">
      <c r="K2198" s="29"/>
      <c r="O2198" s="29"/>
    </row>
    <row r="2199" spans="11:15" ht="12.75">
      <c r="K2199" s="29"/>
      <c r="O2199" s="29"/>
    </row>
    <row r="2200" spans="11:15" ht="12.75">
      <c r="K2200" s="29"/>
      <c r="O2200" s="29"/>
    </row>
    <row r="2201" spans="11:15" ht="12.75">
      <c r="K2201" s="29"/>
      <c r="O2201" s="29"/>
    </row>
    <row r="2202" spans="11:15" ht="12.75">
      <c r="K2202" s="29"/>
      <c r="O2202" s="29"/>
    </row>
    <row r="2203" spans="11:15" ht="12.75">
      <c r="K2203" s="29"/>
      <c r="O2203" s="29"/>
    </row>
    <row r="2204" spans="11:15" ht="12.75">
      <c r="K2204" s="29"/>
      <c r="O2204" s="29"/>
    </row>
    <row r="2205" spans="11:15" ht="12.75">
      <c r="K2205" s="29"/>
      <c r="O2205" s="29"/>
    </row>
    <row r="2206" spans="11:15" ht="12.75">
      <c r="K2206" s="29"/>
      <c r="O2206" s="29"/>
    </row>
    <row r="2207" spans="11:15" ht="12.75">
      <c r="K2207" s="29"/>
      <c r="O2207" s="29"/>
    </row>
    <row r="2208" spans="11:15" ht="12.75">
      <c r="K2208" s="29"/>
      <c r="O2208" s="29"/>
    </row>
    <row r="2209" spans="11:15" ht="12.75">
      <c r="K2209" s="29"/>
      <c r="O2209" s="29"/>
    </row>
    <row r="2210" spans="11:15" ht="12.75">
      <c r="K2210" s="29"/>
      <c r="O2210" s="29"/>
    </row>
    <row r="2211" spans="11:15" ht="12.75">
      <c r="K2211" s="29"/>
      <c r="O2211" s="29"/>
    </row>
    <row r="2212" spans="11:15" ht="12.75">
      <c r="K2212" s="29"/>
      <c r="O2212" s="29"/>
    </row>
    <row r="2213" spans="11:15" ht="12.75">
      <c r="K2213" s="29"/>
      <c r="O2213" s="29"/>
    </row>
    <row r="2214" spans="11:15" ht="12.75">
      <c r="K2214" s="29"/>
      <c r="O2214" s="29"/>
    </row>
    <row r="2215" spans="11:15" ht="12.75">
      <c r="K2215" s="29"/>
      <c r="O2215" s="29"/>
    </row>
    <row r="2216" spans="11:15" ht="12.75">
      <c r="K2216" s="29"/>
      <c r="O2216" s="29"/>
    </row>
    <row r="2217" spans="11:15" ht="12.75">
      <c r="K2217" s="29"/>
      <c r="O2217" s="29"/>
    </row>
    <row r="2218" spans="11:15" ht="12.75">
      <c r="K2218" s="29"/>
      <c r="O2218" s="29"/>
    </row>
    <row r="2219" spans="11:15" ht="12.75">
      <c r="K2219" s="29"/>
      <c r="O2219" s="29"/>
    </row>
    <row r="2220" spans="11:15" ht="12.75">
      <c r="K2220" s="29"/>
      <c r="O2220" s="29"/>
    </row>
    <row r="2221" spans="11:15" ht="12.75">
      <c r="K2221" s="29"/>
      <c r="O2221" s="29"/>
    </row>
    <row r="2222" spans="11:15" ht="12.75">
      <c r="K2222" s="29"/>
      <c r="O2222" s="29"/>
    </row>
    <row r="2223" spans="11:15" ht="12.75">
      <c r="K2223" s="29"/>
      <c r="O2223" s="29"/>
    </row>
    <row r="2224" spans="11:15" ht="12.75">
      <c r="K2224" s="29"/>
      <c r="O2224" s="29"/>
    </row>
    <row r="2225" spans="11:15" ht="12.75">
      <c r="K2225" s="29"/>
      <c r="O2225" s="29"/>
    </row>
    <row r="2226" spans="11:15" ht="12.75">
      <c r="K2226" s="29"/>
      <c r="O2226" s="29"/>
    </row>
    <row r="2227" spans="11:15" ht="12.75">
      <c r="K2227" s="29"/>
      <c r="O2227" s="29"/>
    </row>
    <row r="2228" spans="11:15" ht="12.75">
      <c r="K2228" s="29"/>
      <c r="O2228" s="29"/>
    </row>
    <row r="2229" spans="11:15" ht="12.75">
      <c r="K2229" s="29"/>
      <c r="O2229" s="29"/>
    </row>
    <row r="2230" spans="11:15" ht="12.75">
      <c r="K2230" s="29"/>
      <c r="O2230" s="29"/>
    </row>
    <row r="2231" spans="11:15" ht="12.75">
      <c r="K2231" s="29"/>
      <c r="O2231" s="29"/>
    </row>
    <row r="2232" spans="11:15" ht="12.75">
      <c r="K2232" s="29"/>
      <c r="O2232" s="29"/>
    </row>
    <row r="2233" spans="11:15" ht="12.75">
      <c r="K2233" s="29"/>
      <c r="O2233" s="29"/>
    </row>
    <row r="2234" spans="11:15" ht="12.75">
      <c r="K2234" s="29"/>
      <c r="O2234" s="29"/>
    </row>
    <row r="2235" spans="11:15" ht="12.75">
      <c r="K2235" s="29"/>
      <c r="O2235" s="29"/>
    </row>
    <row r="2236" spans="11:15" ht="12.75">
      <c r="K2236" s="29"/>
      <c r="O2236" s="29"/>
    </row>
    <row r="2237" spans="11:15" ht="12.75">
      <c r="K2237" s="29"/>
      <c r="O2237" s="29"/>
    </row>
    <row r="2238" spans="11:15" ht="12.75">
      <c r="K2238" s="29"/>
      <c r="O2238" s="29"/>
    </row>
    <row r="2239" spans="11:15" ht="12.75">
      <c r="K2239" s="29"/>
      <c r="O2239" s="29"/>
    </row>
    <row r="2240" spans="11:15" ht="12.75">
      <c r="K2240" s="29"/>
      <c r="O2240" s="29"/>
    </row>
    <row r="2241" spans="11:15" ht="12.75">
      <c r="K2241" s="29"/>
      <c r="O2241" s="29"/>
    </row>
    <row r="2242" spans="11:15" ht="12.75">
      <c r="K2242" s="29"/>
      <c r="O2242" s="29"/>
    </row>
    <row r="2243" spans="11:15" ht="12.75">
      <c r="K2243" s="29"/>
      <c r="O2243" s="29"/>
    </row>
    <row r="2244" spans="11:15" ht="12.75">
      <c r="K2244" s="29"/>
      <c r="O2244" s="29"/>
    </row>
    <row r="2245" spans="11:15" ht="12.75">
      <c r="K2245" s="29"/>
      <c r="O2245" s="29"/>
    </row>
    <row r="2246" spans="11:15" ht="12.75">
      <c r="K2246" s="29"/>
      <c r="O2246" s="29"/>
    </row>
    <row r="2247" spans="11:15" ht="12.75">
      <c r="K2247" s="29"/>
      <c r="O2247" s="29"/>
    </row>
    <row r="2248" spans="11:15" ht="12.75">
      <c r="K2248" s="29"/>
      <c r="O2248" s="29"/>
    </row>
    <row r="2249" spans="11:15" ht="12.75">
      <c r="K2249" s="29"/>
      <c r="O2249" s="29"/>
    </row>
    <row r="2250" spans="11:15" ht="12.75">
      <c r="K2250" s="29"/>
      <c r="O2250" s="29"/>
    </row>
    <row r="2251" spans="11:15" ht="12.75">
      <c r="K2251" s="29"/>
      <c r="O2251" s="29"/>
    </row>
    <row r="2252" spans="11:15" ht="12.75">
      <c r="K2252" s="29"/>
      <c r="O2252" s="29"/>
    </row>
    <row r="2253" spans="11:15" ht="12.75">
      <c r="K2253" s="29"/>
      <c r="O2253" s="29"/>
    </row>
    <row r="2254" spans="11:15" ht="12.75">
      <c r="K2254" s="29"/>
      <c r="O2254" s="29"/>
    </row>
    <row r="2255" spans="11:15" ht="12.75">
      <c r="K2255" s="29"/>
      <c r="O2255" s="29"/>
    </row>
    <row r="2256" spans="11:15" ht="12.75">
      <c r="K2256" s="29"/>
      <c r="O2256" s="29"/>
    </row>
    <row r="2257" spans="11:15" ht="12.75">
      <c r="K2257" s="29"/>
      <c r="O2257" s="29"/>
    </row>
    <row r="2258" spans="11:15" ht="12.75">
      <c r="K2258" s="29"/>
      <c r="O2258" s="29"/>
    </row>
    <row r="2259" spans="11:15" ht="12.75">
      <c r="K2259" s="29"/>
      <c r="O2259" s="29"/>
    </row>
    <row r="2260" spans="11:15" ht="12.75">
      <c r="K2260" s="29"/>
      <c r="O2260" s="29"/>
    </row>
    <row r="2261" spans="11:15" ht="12.75">
      <c r="K2261" s="29"/>
      <c r="O2261" s="29"/>
    </row>
    <row r="2262" spans="11:15" ht="12.75">
      <c r="K2262" s="29"/>
      <c r="O2262" s="29"/>
    </row>
    <row r="2263" spans="11:15" ht="12.75">
      <c r="K2263" s="29"/>
      <c r="O2263" s="29"/>
    </row>
    <row r="2264" spans="11:15" ht="12.75">
      <c r="K2264" s="29"/>
      <c r="O2264" s="29"/>
    </row>
    <row r="2265" spans="11:15" ht="12.75">
      <c r="K2265" s="29"/>
      <c r="O2265" s="29"/>
    </row>
    <row r="2266" spans="11:15" ht="12.75">
      <c r="K2266" s="29"/>
      <c r="O2266" s="29"/>
    </row>
    <row r="2267" spans="11:15" ht="12.75">
      <c r="K2267" s="29"/>
      <c r="O2267" s="29"/>
    </row>
    <row r="2268" spans="11:15" ht="12.75">
      <c r="K2268" s="29"/>
      <c r="O2268" s="29"/>
    </row>
    <row r="2269" spans="11:15" ht="12.75">
      <c r="K2269" s="29"/>
      <c r="O2269" s="29"/>
    </row>
    <row r="2270" spans="11:15" ht="12.75">
      <c r="K2270" s="29"/>
      <c r="O2270" s="29"/>
    </row>
    <row r="2271" spans="11:15" ht="12.75">
      <c r="K2271" s="29"/>
      <c r="O2271" s="29"/>
    </row>
    <row r="2272" spans="11:15" ht="12.75">
      <c r="K2272" s="29"/>
      <c r="O2272" s="29"/>
    </row>
    <row r="2273" spans="11:15" ht="12.75">
      <c r="K2273" s="29"/>
      <c r="O2273" s="29"/>
    </row>
    <row r="2274" spans="11:15" ht="12.75">
      <c r="K2274" s="29"/>
      <c r="O2274" s="29"/>
    </row>
    <row r="2275" spans="11:15" ht="12.75">
      <c r="K2275" s="29"/>
      <c r="O2275" s="29"/>
    </row>
    <row r="2276" spans="11:15" ht="12.75">
      <c r="K2276" s="29"/>
      <c r="O2276" s="29"/>
    </row>
    <row r="2277" spans="11:15" ht="12.75">
      <c r="K2277" s="29"/>
      <c r="O2277" s="29"/>
    </row>
    <row r="2278" spans="11:15" ht="12.75">
      <c r="K2278" s="29"/>
      <c r="O2278" s="29"/>
    </row>
    <row r="2279" spans="11:15" ht="12.75">
      <c r="K2279" s="29"/>
      <c r="O2279" s="29"/>
    </row>
    <row r="2280" spans="11:15" ht="12.75">
      <c r="K2280" s="29"/>
      <c r="O2280" s="29"/>
    </row>
    <row r="2281" spans="11:15" ht="12.75">
      <c r="K2281" s="29"/>
      <c r="O2281" s="29"/>
    </row>
    <row r="2282" spans="11:15" ht="12.75">
      <c r="K2282" s="29"/>
      <c r="O2282" s="29"/>
    </row>
    <row r="2283" spans="11:15" ht="12.75">
      <c r="K2283" s="29"/>
      <c r="O2283" s="29"/>
    </row>
    <row r="2284" spans="11:15" ht="12.75">
      <c r="K2284" s="29"/>
      <c r="O2284" s="29"/>
    </row>
    <row r="2285" spans="11:15" ht="12.75">
      <c r="K2285" s="29"/>
      <c r="O2285" s="29"/>
    </row>
    <row r="2286" spans="11:15" ht="12.75">
      <c r="K2286" s="29"/>
      <c r="O2286" s="29"/>
    </row>
    <row r="2287" spans="11:15" ht="12.75">
      <c r="K2287" s="29"/>
      <c r="O2287" s="29"/>
    </row>
    <row r="2288" spans="11:15" ht="12.75">
      <c r="K2288" s="29"/>
      <c r="O2288" s="29"/>
    </row>
    <row r="2289" spans="11:15" ht="12.75">
      <c r="K2289" s="29"/>
      <c r="O2289" s="29"/>
    </row>
    <row r="2290" spans="11:15" ht="12.75">
      <c r="K2290" s="29"/>
      <c r="O2290" s="29"/>
    </row>
    <row r="2291" spans="11:15" ht="12.75">
      <c r="K2291" s="29"/>
      <c r="O2291" s="29"/>
    </row>
    <row r="2292" spans="11:15" ht="12.75">
      <c r="K2292" s="29"/>
      <c r="O2292" s="29"/>
    </row>
    <row r="2293" spans="11:15" ht="12.75">
      <c r="K2293" s="29"/>
      <c r="O2293" s="29"/>
    </row>
    <row r="2294" spans="11:15" ht="12.75">
      <c r="K2294" s="29"/>
      <c r="O2294" s="29"/>
    </row>
    <row r="2295" spans="11:15" ht="12.75">
      <c r="K2295" s="29"/>
      <c r="O2295" s="29"/>
    </row>
    <row r="2296" spans="11:15" ht="12.75">
      <c r="K2296" s="29"/>
      <c r="O2296" s="29"/>
    </row>
    <row r="2297" spans="11:15" ht="12.75">
      <c r="K2297" s="29"/>
      <c r="O2297" s="29"/>
    </row>
    <row r="2298" spans="11:15" ht="12.75">
      <c r="K2298" s="29"/>
      <c r="O2298" s="29"/>
    </row>
    <row r="2299" spans="11:15" ht="12.75">
      <c r="K2299" s="29"/>
      <c r="O2299" s="29"/>
    </row>
    <row r="2300" spans="11:15" ht="12.75">
      <c r="K2300" s="29"/>
      <c r="O2300" s="29"/>
    </row>
    <row r="2301" spans="11:15" ht="12.75">
      <c r="K2301" s="29"/>
      <c r="O2301" s="29"/>
    </row>
    <row r="2302" spans="11:15" ht="12.75">
      <c r="K2302" s="29"/>
      <c r="O2302" s="29"/>
    </row>
    <row r="2303" spans="11:15" ht="12.75">
      <c r="K2303" s="29"/>
      <c r="O2303" s="29"/>
    </row>
    <row r="2304" spans="11:15" ht="12.75">
      <c r="K2304" s="29"/>
      <c r="O2304" s="29"/>
    </row>
    <row r="2305" spans="11:15" ht="12.75">
      <c r="K2305" s="29"/>
      <c r="O2305" s="29"/>
    </row>
    <row r="2306" spans="11:15" ht="12.75">
      <c r="K2306" s="29"/>
      <c r="O2306" s="29"/>
    </row>
    <row r="2307" spans="11:15" ht="12.75">
      <c r="K2307" s="29"/>
      <c r="O2307" s="29"/>
    </row>
    <row r="2308" spans="11:15" ht="12.75">
      <c r="K2308" s="29"/>
      <c r="O2308" s="29"/>
    </row>
    <row r="2309" spans="11:15" ht="12.75">
      <c r="K2309" s="29"/>
      <c r="O2309" s="29"/>
    </row>
    <row r="2310" spans="11:15" ht="12.75">
      <c r="K2310" s="29"/>
      <c r="O2310" s="29"/>
    </row>
    <row r="2311" spans="11:15" ht="12.75">
      <c r="K2311" s="29"/>
      <c r="O2311" s="29"/>
    </row>
    <row r="2312" spans="11:15" ht="12.75">
      <c r="K2312" s="29"/>
      <c r="O2312" s="29"/>
    </row>
    <row r="2313" spans="11:15" ht="12.75">
      <c r="K2313" s="29"/>
      <c r="O2313" s="29"/>
    </row>
    <row r="2314" spans="11:15" ht="12.75">
      <c r="K2314" s="29"/>
      <c r="O2314" s="29"/>
    </row>
    <row r="2315" spans="11:15" ht="12.75">
      <c r="K2315" s="29"/>
      <c r="O2315" s="29"/>
    </row>
    <row r="2316" spans="11:15" ht="12.75">
      <c r="K2316" s="29"/>
      <c r="O2316" s="29"/>
    </row>
    <row r="2317" spans="11:15" ht="12.75">
      <c r="K2317" s="29"/>
      <c r="O2317" s="29"/>
    </row>
    <row r="2318" spans="11:15" ht="12.75">
      <c r="K2318" s="29"/>
      <c r="O2318" s="29"/>
    </row>
    <row r="2319" spans="11:15" ht="12.75">
      <c r="K2319" s="29"/>
      <c r="O2319" s="29"/>
    </row>
    <row r="2320" spans="11:15" ht="12.75">
      <c r="K2320" s="29"/>
      <c r="O2320" s="29"/>
    </row>
    <row r="2321" spans="11:15" ht="12.75">
      <c r="K2321" s="29"/>
      <c r="O2321" s="29"/>
    </row>
    <row r="2322" spans="11:15" ht="12.75">
      <c r="K2322" s="29"/>
      <c r="O2322" s="29"/>
    </row>
    <row r="2323" spans="11:15" ht="12.75">
      <c r="K2323" s="29"/>
      <c r="O2323" s="29"/>
    </row>
    <row r="2324" spans="11:15" ht="12.75">
      <c r="K2324" s="29"/>
      <c r="O2324" s="29"/>
    </row>
    <row r="2325" spans="11:15" ht="12.75">
      <c r="K2325" s="29"/>
      <c r="O2325" s="29"/>
    </row>
    <row r="2326" spans="11:15" ht="12.75">
      <c r="K2326" s="29"/>
      <c r="O2326" s="29"/>
    </row>
    <row r="2327" spans="11:15" ht="12.75">
      <c r="K2327" s="29"/>
      <c r="O2327" s="29"/>
    </row>
    <row r="2328" spans="11:15" ht="12.75">
      <c r="K2328" s="29"/>
      <c r="O2328" s="29"/>
    </row>
    <row r="2329" spans="11:15" ht="12.75">
      <c r="K2329" s="29"/>
      <c r="O2329" s="29"/>
    </row>
    <row r="2330" spans="11:15" ht="12.75">
      <c r="K2330" s="29"/>
      <c r="O2330" s="29"/>
    </row>
    <row r="2331" spans="11:15" ht="12.75">
      <c r="K2331" s="29"/>
      <c r="O2331" s="29"/>
    </row>
    <row r="2332" spans="11:15" ht="12.75">
      <c r="K2332" s="29"/>
      <c r="O2332" s="29"/>
    </row>
    <row r="2333" spans="11:15" ht="12.75">
      <c r="K2333" s="29"/>
      <c r="O2333" s="29"/>
    </row>
    <row r="2334" spans="11:15" ht="12.75">
      <c r="K2334" s="29"/>
      <c r="O2334" s="29"/>
    </row>
    <row r="2335" spans="11:15" ht="12.75">
      <c r="K2335" s="29"/>
      <c r="O2335" s="29"/>
    </row>
    <row r="2336" spans="11:15" ht="12.75">
      <c r="K2336" s="29"/>
      <c r="O2336" s="29"/>
    </row>
    <row r="2337" spans="11:15" ht="12.75">
      <c r="K2337" s="29"/>
      <c r="O2337" s="29"/>
    </row>
    <row r="2338" spans="11:15" ht="12.75">
      <c r="K2338" s="29"/>
      <c r="O2338" s="29"/>
    </row>
    <row r="2339" spans="11:15" ht="12.75">
      <c r="K2339" s="29"/>
      <c r="O2339" s="29"/>
    </row>
    <row r="2340" spans="11:15" ht="12.75">
      <c r="K2340" s="29"/>
      <c r="O2340" s="29"/>
    </row>
    <row r="2341" spans="11:15" ht="12.75">
      <c r="K2341" s="29"/>
      <c r="O2341" s="29"/>
    </row>
    <row r="2342" spans="11:15" ht="12.75">
      <c r="K2342" s="29"/>
      <c r="O2342" s="29"/>
    </row>
    <row r="2343" spans="11:15" ht="12.75">
      <c r="K2343" s="29"/>
      <c r="O2343" s="29"/>
    </row>
    <row r="2344" spans="11:15" ht="12.75">
      <c r="K2344" s="29"/>
      <c r="O2344" s="29"/>
    </row>
    <row r="2345" spans="11:15" ht="12.75">
      <c r="K2345" s="29"/>
      <c r="O2345" s="29"/>
    </row>
    <row r="2346" spans="11:15" ht="12.75">
      <c r="K2346" s="29"/>
      <c r="O2346" s="29"/>
    </row>
    <row r="2347" spans="11:15" ht="12.75">
      <c r="K2347" s="29"/>
      <c r="O2347" s="29"/>
    </row>
    <row r="2348" spans="11:15" ht="12.75">
      <c r="K2348" s="29"/>
      <c r="O2348" s="29"/>
    </row>
    <row r="2349" spans="11:15" ht="12.75">
      <c r="K2349" s="29"/>
      <c r="O2349" s="29"/>
    </row>
    <row r="2350" spans="11:15" ht="12.75">
      <c r="K2350" s="29"/>
      <c r="O2350" s="29"/>
    </row>
    <row r="2351" spans="11:15" ht="12.75">
      <c r="K2351" s="29"/>
      <c r="O2351" s="29"/>
    </row>
    <row r="2352" spans="11:15" ht="12.75">
      <c r="K2352" s="29"/>
      <c r="O2352" s="29"/>
    </row>
    <row r="2353" spans="11:15" ht="12.75">
      <c r="K2353" s="29"/>
      <c r="O2353" s="29"/>
    </row>
    <row r="2354" spans="11:15" ht="12.75">
      <c r="K2354" s="29"/>
      <c r="O2354" s="29"/>
    </row>
    <row r="2355" spans="11:15" ht="12.75">
      <c r="K2355" s="29"/>
      <c r="O2355" s="29"/>
    </row>
    <row r="2356" spans="11:15" ht="12.75">
      <c r="K2356" s="29"/>
      <c r="O2356" s="29"/>
    </row>
    <row r="2357" spans="11:15" ht="12.75">
      <c r="K2357" s="29"/>
      <c r="O2357" s="29"/>
    </row>
    <row r="2358" spans="11:15" ht="12.75">
      <c r="K2358" s="29"/>
      <c r="O2358" s="29"/>
    </row>
    <row r="2359" spans="11:15" ht="12.75">
      <c r="K2359" s="29"/>
      <c r="O2359" s="29"/>
    </row>
    <row r="2360" spans="11:15" ht="12.75">
      <c r="K2360" s="29"/>
      <c r="O2360" s="29"/>
    </row>
    <row r="2361" spans="11:15" ht="12.75">
      <c r="K2361" s="29"/>
      <c r="O2361" s="29"/>
    </row>
    <row r="2362" spans="11:15" ht="12.75">
      <c r="K2362" s="29"/>
      <c r="O2362" s="29"/>
    </row>
    <row r="2363" spans="11:15" ht="12.75">
      <c r="K2363" s="29"/>
      <c r="O2363" s="29"/>
    </row>
    <row r="2364" spans="11:15" ht="12.75">
      <c r="K2364" s="29"/>
      <c r="O2364" s="29"/>
    </row>
    <row r="2365" spans="11:15" ht="12.75">
      <c r="K2365" s="29"/>
      <c r="O2365" s="29"/>
    </row>
    <row r="2366" spans="11:15" ht="12.75">
      <c r="K2366" s="29"/>
      <c r="O2366" s="29"/>
    </row>
    <row r="2367" spans="11:15" ht="12.75">
      <c r="K2367" s="29"/>
      <c r="O2367" s="29"/>
    </row>
    <row r="2368" spans="11:15" ht="12.75">
      <c r="K2368" s="29"/>
      <c r="O2368" s="29"/>
    </row>
    <row r="2369" spans="11:15" ht="12.75">
      <c r="K2369" s="29"/>
      <c r="O2369" s="29"/>
    </row>
    <row r="2370" spans="11:15" ht="12.75">
      <c r="K2370" s="29"/>
      <c r="O2370" s="29"/>
    </row>
    <row r="2371" spans="11:15" ht="12.75">
      <c r="K2371" s="29"/>
      <c r="O2371" s="29"/>
    </row>
    <row r="2372" spans="11:15" ht="12.75">
      <c r="K2372" s="29"/>
      <c r="O2372" s="29"/>
    </row>
    <row r="2373" spans="11:15" ht="12.75">
      <c r="K2373" s="29"/>
      <c r="O2373" s="29"/>
    </row>
    <row r="2374" spans="11:15" ht="12.75">
      <c r="K2374" s="29"/>
      <c r="O2374" s="29"/>
    </row>
    <row r="2375" spans="11:15" ht="12.75">
      <c r="K2375" s="29"/>
      <c r="O2375" s="29"/>
    </row>
    <row r="2376" spans="11:15" ht="12.75">
      <c r="K2376" s="29"/>
      <c r="O2376" s="29"/>
    </row>
    <row r="2377" spans="11:15" ht="12.75">
      <c r="K2377" s="29"/>
      <c r="O2377" s="29"/>
    </row>
    <row r="2378" spans="11:15" ht="12.75">
      <c r="K2378" s="29"/>
      <c r="O2378" s="29"/>
    </row>
    <row r="2379" spans="11:15" ht="12.75">
      <c r="K2379" s="29"/>
      <c r="O2379" s="29"/>
    </row>
    <row r="2380" spans="11:15" ht="12.75">
      <c r="K2380" s="29"/>
      <c r="O2380" s="29"/>
    </row>
    <row r="2381" spans="11:15" ht="12.75">
      <c r="K2381" s="29"/>
      <c r="O2381" s="29"/>
    </row>
    <row r="2382" spans="11:15" ht="12.75">
      <c r="K2382" s="29"/>
      <c r="O2382" s="29"/>
    </row>
    <row r="2383" spans="11:15" ht="12.75">
      <c r="K2383" s="29"/>
      <c r="O2383" s="29"/>
    </row>
    <row r="2384" spans="11:15" ht="12.75">
      <c r="K2384" s="29"/>
      <c r="O2384" s="29"/>
    </row>
    <row r="2385" spans="11:15" ht="12.75">
      <c r="K2385" s="29"/>
      <c r="O2385" s="29"/>
    </row>
    <row r="2386" spans="11:15" ht="12.75">
      <c r="K2386" s="29"/>
      <c r="O2386" s="29"/>
    </row>
    <row r="2387" spans="11:15" ht="12.75">
      <c r="K2387" s="29"/>
      <c r="O2387" s="29"/>
    </row>
    <row r="2388" spans="11:15" ht="12.75">
      <c r="K2388" s="29"/>
      <c r="O2388" s="29"/>
    </row>
    <row r="2389" spans="11:15" ht="12.75">
      <c r="K2389" s="29"/>
      <c r="O2389" s="29"/>
    </row>
    <row r="2390" spans="11:15" ht="12.75">
      <c r="K2390" s="29"/>
      <c r="O2390" s="29"/>
    </row>
    <row r="2391" spans="11:15" ht="12.75">
      <c r="K2391" s="29"/>
      <c r="O2391" s="29"/>
    </row>
    <row r="2392" spans="11:15" ht="12.75">
      <c r="K2392" s="29"/>
      <c r="O2392" s="29"/>
    </row>
    <row r="2393" spans="11:15" ht="12.75">
      <c r="K2393" s="29"/>
      <c r="O2393" s="29"/>
    </row>
    <row r="2394" spans="11:15" ht="12.75">
      <c r="K2394" s="29"/>
      <c r="O2394" s="29"/>
    </row>
    <row r="2395" spans="11:15" ht="12.75">
      <c r="K2395" s="29"/>
      <c r="O2395" s="29"/>
    </row>
    <row r="2396" spans="11:15" ht="12.75">
      <c r="K2396" s="29"/>
      <c r="O2396" s="29"/>
    </row>
    <row r="2397" spans="11:15" ht="12.75">
      <c r="K2397" s="29"/>
      <c r="O2397" s="29"/>
    </row>
    <row r="2398" spans="11:15" ht="12.75">
      <c r="K2398" s="29"/>
      <c r="O2398" s="29"/>
    </row>
    <row r="2399" spans="11:15" ht="12.75">
      <c r="K2399" s="29"/>
      <c r="O2399" s="29"/>
    </row>
    <row r="2400" spans="11:15" ht="12.75">
      <c r="K2400" s="29"/>
      <c r="O2400" s="29"/>
    </row>
    <row r="2401" spans="11:15" ht="12.75">
      <c r="K2401" s="29"/>
      <c r="O2401" s="29"/>
    </row>
    <row r="2402" spans="11:15" ht="12.75">
      <c r="K2402" s="29"/>
      <c r="O2402" s="29"/>
    </row>
    <row r="2403" spans="11:15" ht="12.75">
      <c r="K2403" s="29"/>
      <c r="O2403" s="29"/>
    </row>
    <row r="2404" spans="11:15" ht="12.75">
      <c r="K2404" s="29"/>
      <c r="O2404" s="29"/>
    </row>
    <row r="2405" spans="11:15" ht="12.75">
      <c r="K2405" s="29"/>
      <c r="O2405" s="29"/>
    </row>
    <row r="2406" spans="11:15" ht="12.75">
      <c r="K2406" s="29"/>
      <c r="O2406" s="29"/>
    </row>
    <row r="2407" spans="11:15" ht="12.75">
      <c r="K2407" s="29"/>
      <c r="O2407" s="29"/>
    </row>
    <row r="2408" spans="11:15" ht="12.75">
      <c r="K2408" s="29"/>
      <c r="O2408" s="29"/>
    </row>
    <row r="2409" spans="11:15" ht="12.75">
      <c r="K2409" s="29"/>
      <c r="O2409" s="29"/>
    </row>
    <row r="2410" spans="11:15" ht="12.75">
      <c r="K2410" s="29"/>
      <c r="O2410" s="29"/>
    </row>
    <row r="2411" spans="11:15" ht="12.75">
      <c r="K2411" s="29"/>
      <c r="O2411" s="29"/>
    </row>
    <row r="2412" spans="11:15" ht="12.75">
      <c r="K2412" s="29"/>
      <c r="O2412" s="29"/>
    </row>
    <row r="2413" spans="11:15" ht="12.75">
      <c r="K2413" s="29"/>
      <c r="O2413" s="29"/>
    </row>
    <row r="2414" spans="11:15" ht="12.75">
      <c r="K2414" s="29"/>
      <c r="O2414" s="29"/>
    </row>
    <row r="2415" spans="11:15" ht="12.75">
      <c r="K2415" s="29"/>
      <c r="O2415" s="29"/>
    </row>
    <row r="2416" spans="11:15" ht="12.75">
      <c r="K2416" s="29"/>
      <c r="O2416" s="29"/>
    </row>
    <row r="2417" spans="11:15" ht="12.75">
      <c r="K2417" s="29"/>
      <c r="O2417" s="29"/>
    </row>
    <row r="2418" spans="11:15" ht="12.75">
      <c r="K2418" s="29"/>
      <c r="O2418" s="29"/>
    </row>
    <row r="2419" spans="11:15" ht="12.75">
      <c r="K2419" s="29"/>
      <c r="O2419" s="29"/>
    </row>
    <row r="2420" spans="11:15" ht="12.75">
      <c r="K2420" s="29"/>
      <c r="O2420" s="29"/>
    </row>
    <row r="2421" spans="11:15" ht="12.75">
      <c r="K2421" s="29"/>
      <c r="O2421" s="29"/>
    </row>
    <row r="2422" spans="11:15" ht="12.75">
      <c r="K2422" s="29"/>
      <c r="O2422" s="29"/>
    </row>
    <row r="2423" spans="11:15" ht="12.75">
      <c r="K2423" s="29"/>
      <c r="O2423" s="29"/>
    </row>
    <row r="2424" spans="11:15" ht="12.75">
      <c r="K2424" s="29"/>
      <c r="O2424" s="29"/>
    </row>
    <row r="2425" spans="11:15" ht="12.75">
      <c r="K2425" s="29"/>
      <c r="O2425" s="29"/>
    </row>
    <row r="2426" spans="11:15" ht="12.75">
      <c r="K2426" s="29"/>
      <c r="O2426" s="29"/>
    </row>
    <row r="2427" spans="11:15" ht="12.75">
      <c r="K2427" s="29"/>
      <c r="O2427" s="29"/>
    </row>
    <row r="2428" spans="11:15" ht="12.75">
      <c r="K2428" s="29"/>
      <c r="O2428" s="29"/>
    </row>
    <row r="2429" spans="11:15" ht="12.75">
      <c r="K2429" s="29"/>
      <c r="O2429" s="29"/>
    </row>
    <row r="2430" spans="11:15" ht="12.75">
      <c r="K2430" s="29"/>
      <c r="O2430" s="29"/>
    </row>
    <row r="2431" spans="11:15" ht="12.75">
      <c r="K2431" s="29"/>
      <c r="O2431" s="29"/>
    </row>
    <row r="2432" spans="11:15" ht="12.75">
      <c r="K2432" s="29"/>
      <c r="O2432" s="29"/>
    </row>
    <row r="2433" spans="11:15" ht="12.75">
      <c r="K2433" s="29"/>
      <c r="O2433" s="29"/>
    </row>
    <row r="2434" spans="11:15" ht="12.75">
      <c r="K2434" s="29"/>
      <c r="O2434" s="29"/>
    </row>
    <row r="2435" spans="11:15" ht="12.75">
      <c r="K2435" s="29"/>
      <c r="O2435" s="29"/>
    </row>
    <row r="2436" spans="11:15" ht="12.75">
      <c r="K2436" s="29"/>
      <c r="O2436" s="29"/>
    </row>
    <row r="2437" spans="11:15" ht="12.75">
      <c r="K2437" s="29"/>
      <c r="O2437" s="29"/>
    </row>
    <row r="2438" spans="11:15" ht="12.75">
      <c r="K2438" s="29"/>
      <c r="O2438" s="29"/>
    </row>
    <row r="2439" spans="11:15" ht="12.75">
      <c r="K2439" s="29"/>
      <c r="O2439" s="29"/>
    </row>
    <row r="2440" spans="11:15" ht="12.75">
      <c r="K2440" s="29"/>
      <c r="O2440" s="29"/>
    </row>
    <row r="2441" spans="11:15" ht="12.75">
      <c r="K2441" s="29"/>
      <c r="O2441" s="29"/>
    </row>
    <row r="2442" spans="11:15" ht="12.75">
      <c r="K2442" s="29"/>
      <c r="O2442" s="29"/>
    </row>
    <row r="2443" spans="11:15" ht="12.75">
      <c r="K2443" s="29"/>
      <c r="O2443" s="29"/>
    </row>
    <row r="2444" spans="11:15" ht="12.75">
      <c r="K2444" s="29"/>
      <c r="O2444" s="29"/>
    </row>
    <row r="2445" spans="11:15" ht="12.75">
      <c r="K2445" s="29"/>
      <c r="O2445" s="29"/>
    </row>
    <row r="2446" spans="11:15" ht="12.75">
      <c r="K2446" s="29"/>
      <c r="O2446" s="29"/>
    </row>
    <row r="2447" spans="11:15" ht="12.75">
      <c r="K2447" s="29"/>
      <c r="O2447" s="29"/>
    </row>
    <row r="2448" spans="11:15" ht="12.75">
      <c r="K2448" s="29"/>
      <c r="O2448" s="29"/>
    </row>
    <row r="2449" spans="11:15" ht="12.75">
      <c r="K2449" s="29"/>
      <c r="O2449" s="29"/>
    </row>
    <row r="2450" spans="11:15" ht="12.75">
      <c r="K2450" s="29"/>
      <c r="O2450" s="29"/>
    </row>
    <row r="2451" spans="11:15" ht="12.75">
      <c r="K2451" s="29"/>
      <c r="O2451" s="29"/>
    </row>
    <row r="2452" spans="11:15" ht="12.75">
      <c r="K2452" s="29"/>
      <c r="O2452" s="29"/>
    </row>
    <row r="2453" spans="11:15" ht="12.75">
      <c r="K2453" s="29"/>
      <c r="O2453" s="29"/>
    </row>
    <row r="2454" spans="11:15" ht="12.75">
      <c r="K2454" s="29"/>
      <c r="O2454" s="29"/>
    </row>
    <row r="2455" spans="11:15" ht="12.75">
      <c r="K2455" s="29"/>
      <c r="O2455" s="29"/>
    </row>
    <row r="2456" spans="11:15" ht="12.75">
      <c r="K2456" s="29"/>
      <c r="O2456" s="29"/>
    </row>
    <row r="2457" spans="11:15" ht="12.75">
      <c r="K2457" s="29"/>
      <c r="O2457" s="29"/>
    </row>
    <row r="2458" spans="11:15" ht="12.75">
      <c r="K2458" s="29"/>
      <c r="O2458" s="29"/>
    </row>
    <row r="2459" spans="11:15" ht="12.75">
      <c r="K2459" s="29"/>
      <c r="O2459" s="29"/>
    </row>
    <row r="2460" spans="11:15" ht="12.75">
      <c r="K2460" s="29"/>
      <c r="O2460" s="29"/>
    </row>
    <row r="2461" spans="11:15" ht="12.75">
      <c r="K2461" s="29"/>
      <c r="O2461" s="29"/>
    </row>
    <row r="2462" spans="11:15" ht="12.75">
      <c r="K2462" s="29"/>
      <c r="O2462" s="29"/>
    </row>
    <row r="2463" spans="11:15" ht="12.75">
      <c r="K2463" s="29"/>
      <c r="O2463" s="29"/>
    </row>
    <row r="2464" spans="11:15" ht="12.75">
      <c r="K2464" s="29"/>
      <c r="O2464" s="29"/>
    </row>
    <row r="2465" spans="11:15" ht="12.75">
      <c r="K2465" s="29"/>
      <c r="O2465" s="29"/>
    </row>
    <row r="2466" spans="11:15" ht="12.75">
      <c r="K2466" s="29"/>
      <c r="O2466" s="29"/>
    </row>
    <row r="2467" spans="11:15" ht="12.75">
      <c r="K2467" s="29"/>
      <c r="O2467" s="29"/>
    </row>
    <row r="2468" spans="11:15" ht="12.75">
      <c r="K2468" s="29"/>
      <c r="O2468" s="29"/>
    </row>
    <row r="2469" spans="11:15" ht="12.75">
      <c r="K2469" s="29"/>
      <c r="O2469" s="29"/>
    </row>
    <row r="2470" spans="11:15" ht="12.75">
      <c r="K2470" s="29"/>
      <c r="O2470" s="29"/>
    </row>
    <row r="2471" spans="11:15" ht="12.75">
      <c r="K2471" s="29"/>
      <c r="O2471" s="29"/>
    </row>
    <row r="2472" spans="11:15" ht="12.75">
      <c r="K2472" s="29"/>
      <c r="O2472" s="29"/>
    </row>
    <row r="2473" spans="11:15" ht="12.75">
      <c r="K2473" s="29"/>
      <c r="O2473" s="29"/>
    </row>
    <row r="2474" spans="11:15" ht="12.75">
      <c r="K2474" s="29"/>
      <c r="O2474" s="29"/>
    </row>
    <row r="2475" spans="11:15" ht="12.75">
      <c r="K2475" s="29"/>
      <c r="O2475" s="29"/>
    </row>
    <row r="2476" spans="11:15" ht="12.75">
      <c r="K2476" s="29"/>
      <c r="O2476" s="29"/>
    </row>
    <row r="2477" spans="11:15" ht="12.75">
      <c r="K2477" s="29"/>
      <c r="O2477" s="29"/>
    </row>
    <row r="2478" spans="11:15" ht="12.75">
      <c r="K2478" s="29"/>
      <c r="O2478" s="29"/>
    </row>
    <row r="2479" spans="11:15" ht="12.75">
      <c r="K2479" s="29"/>
      <c r="O2479" s="29"/>
    </row>
    <row r="2480" spans="11:15" ht="12.75">
      <c r="K2480" s="29"/>
      <c r="O2480" s="29"/>
    </row>
    <row r="2481" spans="11:15" ht="12.75">
      <c r="K2481" s="29"/>
      <c r="O2481" s="29"/>
    </row>
    <row r="2482" spans="11:15" ht="12.75">
      <c r="K2482" s="29"/>
      <c r="O2482" s="29"/>
    </row>
    <row r="2483" spans="11:15" ht="12.75">
      <c r="K2483" s="29"/>
      <c r="O2483" s="29"/>
    </row>
    <row r="2484" spans="11:15" ht="12.75">
      <c r="K2484" s="29"/>
      <c r="O2484" s="29"/>
    </row>
    <row r="2485" spans="11:15" ht="12.75">
      <c r="K2485" s="29"/>
      <c r="O2485" s="29"/>
    </row>
    <row r="2486" spans="11:15" ht="12.75">
      <c r="K2486" s="29"/>
      <c r="O2486" s="29"/>
    </row>
    <row r="2487" spans="11:15" ht="12.75">
      <c r="K2487" s="29"/>
      <c r="O2487" s="29"/>
    </row>
    <row r="2488" spans="11:15" ht="12.75">
      <c r="K2488" s="29"/>
      <c r="O2488" s="29"/>
    </row>
    <row r="2489" spans="11:15" ht="12.75">
      <c r="K2489" s="29"/>
      <c r="O2489" s="29"/>
    </row>
    <row r="2490" spans="11:15" ht="12.75">
      <c r="K2490" s="29"/>
      <c r="O2490" s="29"/>
    </row>
    <row r="2491" spans="11:15" ht="12.75">
      <c r="K2491" s="29"/>
      <c r="O2491" s="29"/>
    </row>
    <row r="2492" spans="11:15" ht="12.75">
      <c r="K2492" s="29"/>
      <c r="O2492" s="29"/>
    </row>
    <row r="2493" spans="11:15" ht="12.75">
      <c r="K2493" s="29"/>
      <c r="O2493" s="29"/>
    </row>
    <row r="2494" spans="11:15" ht="12.75">
      <c r="K2494" s="29"/>
      <c r="O2494" s="29"/>
    </row>
    <row r="2495" spans="11:15" ht="12.75">
      <c r="K2495" s="29"/>
      <c r="O2495" s="29"/>
    </row>
    <row r="2496" spans="11:15" ht="12.75">
      <c r="K2496" s="29"/>
      <c r="O2496" s="29"/>
    </row>
    <row r="2497" spans="11:15" ht="12.75">
      <c r="K2497" s="29"/>
      <c r="O2497" s="29"/>
    </row>
    <row r="2498" spans="11:15" ht="12.75">
      <c r="K2498" s="29"/>
      <c r="O2498" s="29"/>
    </row>
    <row r="2499" spans="11:15" ht="12.75">
      <c r="K2499" s="29"/>
      <c r="O2499" s="29"/>
    </row>
    <row r="2500" spans="11:15" ht="12.75">
      <c r="K2500" s="29"/>
      <c r="O2500" s="29"/>
    </row>
    <row r="2501" spans="11:15" ht="12.75">
      <c r="K2501" s="29"/>
      <c r="O2501" s="29"/>
    </row>
    <row r="2502" spans="11:15" ht="12.75">
      <c r="K2502" s="29"/>
      <c r="O2502" s="29"/>
    </row>
    <row r="2503" spans="11:15" ht="12.75">
      <c r="K2503" s="29"/>
      <c r="O2503" s="29"/>
    </row>
    <row r="2504" spans="11:15" ht="12.75">
      <c r="K2504" s="29"/>
      <c r="O2504" s="29"/>
    </row>
    <row r="2505" spans="11:15" ht="12.75">
      <c r="K2505" s="29"/>
      <c r="O2505" s="29"/>
    </row>
    <row r="2506" spans="11:15" ht="12.75">
      <c r="K2506" s="29"/>
      <c r="O2506" s="29"/>
    </row>
    <row r="2507" spans="11:15" ht="12.75">
      <c r="K2507" s="29"/>
      <c r="O2507" s="29"/>
    </row>
    <row r="2508" spans="11:15" ht="12.75">
      <c r="K2508" s="29"/>
      <c r="O2508" s="29"/>
    </row>
    <row r="2509" spans="11:15" ht="12.75">
      <c r="K2509" s="29"/>
      <c r="O2509" s="29"/>
    </row>
    <row r="2510" spans="11:15" ht="12.75">
      <c r="K2510" s="29"/>
      <c r="O2510" s="29"/>
    </row>
    <row r="2511" spans="11:15" ht="12.75">
      <c r="K2511" s="29"/>
      <c r="O2511" s="29"/>
    </row>
    <row r="2512" spans="11:15" ht="12.75">
      <c r="K2512" s="29"/>
      <c r="O2512" s="29"/>
    </row>
    <row r="2513" spans="11:15" ht="12.75">
      <c r="K2513" s="29"/>
      <c r="O2513" s="29"/>
    </row>
    <row r="2514" spans="11:15" ht="12.75">
      <c r="K2514" s="29"/>
      <c r="O2514" s="29"/>
    </row>
    <row r="2515" spans="11:15" ht="12.75">
      <c r="K2515" s="29"/>
      <c r="O2515" s="29"/>
    </row>
    <row r="2516" spans="11:15" ht="12.75">
      <c r="K2516" s="29"/>
      <c r="O2516" s="29"/>
    </row>
    <row r="2517" spans="11:15" ht="12.75">
      <c r="K2517" s="29"/>
      <c r="O2517" s="29"/>
    </row>
    <row r="2518" spans="11:15" ht="12.75">
      <c r="K2518" s="29"/>
      <c r="O2518" s="29"/>
    </row>
    <row r="2519" spans="11:15" ht="12.75">
      <c r="K2519" s="29"/>
      <c r="O2519" s="29"/>
    </row>
    <row r="2520" spans="11:15" ht="12.75">
      <c r="K2520" s="29"/>
      <c r="O2520" s="29"/>
    </row>
    <row r="2521" spans="11:15" ht="12.75">
      <c r="K2521" s="29"/>
      <c r="O2521" s="29"/>
    </row>
    <row r="2522" spans="11:15" ht="12.75">
      <c r="K2522" s="29"/>
      <c r="O2522" s="29"/>
    </row>
    <row r="2523" spans="11:15" ht="12.75">
      <c r="K2523" s="29"/>
      <c r="O2523" s="29"/>
    </row>
    <row r="2524" spans="11:15" ht="12.75">
      <c r="K2524" s="29"/>
      <c r="O2524" s="29"/>
    </row>
    <row r="2525" spans="11:15" ht="12.75">
      <c r="K2525" s="29"/>
      <c r="O2525" s="29"/>
    </row>
    <row r="2526" spans="11:15" ht="12.75">
      <c r="K2526" s="29"/>
      <c r="O2526" s="29"/>
    </row>
    <row r="2527" spans="11:15" ht="12.75">
      <c r="K2527" s="29"/>
      <c r="O2527" s="29"/>
    </row>
    <row r="2528" spans="11:15" ht="12.75">
      <c r="K2528" s="29"/>
      <c r="O2528" s="29"/>
    </row>
    <row r="2529" spans="11:15" ht="12.75">
      <c r="K2529" s="29"/>
      <c r="O2529" s="29"/>
    </row>
    <row r="2530" spans="11:15" ht="12.75">
      <c r="K2530" s="29"/>
      <c r="O2530" s="29"/>
    </row>
    <row r="2531" spans="11:15" ht="12.75">
      <c r="K2531" s="29"/>
      <c r="O2531" s="29"/>
    </row>
    <row r="2532" spans="11:15" ht="12.75">
      <c r="K2532" s="29"/>
      <c r="O2532" s="29"/>
    </row>
    <row r="2533" spans="11:15" ht="12.75">
      <c r="K2533" s="29"/>
      <c r="O2533" s="29"/>
    </row>
    <row r="2534" spans="11:15" ht="12.75">
      <c r="K2534" s="29"/>
      <c r="O2534" s="29"/>
    </row>
    <row r="2535" spans="11:15" ht="12.75">
      <c r="K2535" s="29"/>
      <c r="O2535" s="29"/>
    </row>
    <row r="2536" spans="11:15" ht="12.75">
      <c r="K2536" s="29"/>
      <c r="O2536" s="29"/>
    </row>
    <row r="2537" spans="11:15" ht="12.75">
      <c r="K2537" s="29"/>
      <c r="O2537" s="29"/>
    </row>
    <row r="2538" spans="11:15" ht="12.75">
      <c r="K2538" s="29"/>
      <c r="O2538" s="29"/>
    </row>
    <row r="2539" spans="11:15" ht="12.75">
      <c r="K2539" s="29"/>
      <c r="O2539" s="29"/>
    </row>
    <row r="2540" spans="11:15" ht="12.75">
      <c r="K2540" s="29"/>
      <c r="O2540" s="29"/>
    </row>
    <row r="2541" spans="11:15" ht="12.75">
      <c r="K2541" s="29"/>
      <c r="O2541" s="29"/>
    </row>
    <row r="2542" spans="11:15" ht="12.75">
      <c r="K2542" s="29"/>
      <c r="O2542" s="29"/>
    </row>
    <row r="2543" spans="11:15" ht="12.75">
      <c r="K2543" s="29"/>
      <c r="O2543" s="29"/>
    </row>
    <row r="2544" spans="11:15" ht="12.75">
      <c r="K2544" s="29"/>
      <c r="O2544" s="29"/>
    </row>
    <row r="2545" spans="11:15" ht="12.75">
      <c r="K2545" s="29"/>
      <c r="O2545" s="29"/>
    </row>
    <row r="2546" spans="11:15" ht="12.75">
      <c r="K2546" s="29"/>
      <c r="O2546" s="29"/>
    </row>
    <row r="2547" spans="11:15" ht="12.75">
      <c r="K2547" s="29"/>
      <c r="O2547" s="29"/>
    </row>
    <row r="2548" spans="11:15" ht="12.75">
      <c r="K2548" s="29"/>
      <c r="O2548" s="29"/>
    </row>
    <row r="2549" spans="11:15" ht="12.75">
      <c r="K2549" s="29"/>
      <c r="O2549" s="29"/>
    </row>
    <row r="2550" spans="11:15" ht="12.75">
      <c r="K2550" s="29"/>
      <c r="O2550" s="29"/>
    </row>
    <row r="2551" spans="11:15" ht="12.75">
      <c r="K2551" s="29"/>
      <c r="O2551" s="29"/>
    </row>
    <row r="2552" spans="11:15" ht="12.75">
      <c r="K2552" s="29"/>
      <c r="O2552" s="29"/>
    </row>
    <row r="2553" spans="11:15" ht="12.75">
      <c r="K2553" s="29"/>
      <c r="O2553" s="29"/>
    </row>
    <row r="2554" spans="11:15" ht="12.75">
      <c r="K2554" s="29"/>
      <c r="O2554" s="29"/>
    </row>
    <row r="2555" spans="11:15" ht="12.75">
      <c r="K2555" s="29"/>
      <c r="O2555" s="29"/>
    </row>
    <row r="2556" spans="11:15" ht="12.75">
      <c r="K2556" s="29"/>
      <c r="O2556" s="29"/>
    </row>
    <row r="2557" spans="11:15" ht="12.75">
      <c r="K2557" s="29"/>
      <c r="O2557" s="29"/>
    </row>
    <row r="2558" spans="11:15" ht="12.75">
      <c r="K2558" s="29"/>
      <c r="O2558" s="29"/>
    </row>
    <row r="2559" spans="11:15" ht="12.75">
      <c r="K2559" s="29"/>
      <c r="O2559" s="29"/>
    </row>
    <row r="2560" spans="11:15" ht="12.75">
      <c r="K2560" s="29"/>
      <c r="O2560" s="29"/>
    </row>
    <row r="2561" spans="11:15" ht="12.75">
      <c r="K2561" s="29"/>
      <c r="O2561" s="29"/>
    </row>
    <row r="2562" spans="11:15" ht="12.75">
      <c r="K2562" s="29"/>
      <c r="O2562" s="29"/>
    </row>
    <row r="2563" spans="11:15" ht="12.75">
      <c r="K2563" s="29"/>
      <c r="O2563" s="29"/>
    </row>
    <row r="2564" spans="11:15" ht="12.75">
      <c r="K2564" s="29"/>
      <c r="O2564" s="29"/>
    </row>
    <row r="2565" spans="11:15" ht="12.75">
      <c r="K2565" s="29"/>
      <c r="O2565" s="29"/>
    </row>
    <row r="2566" spans="11:15" ht="12.75">
      <c r="K2566" s="29"/>
      <c r="O2566" s="29"/>
    </row>
    <row r="2567" spans="11:15" ht="12.75">
      <c r="K2567" s="29"/>
      <c r="O2567" s="29"/>
    </row>
    <row r="2568" spans="11:15" ht="12.75">
      <c r="K2568" s="29"/>
      <c r="O2568" s="29"/>
    </row>
    <row r="2569" spans="11:15" ht="12.75">
      <c r="K2569" s="29"/>
      <c r="O2569" s="29"/>
    </row>
    <row r="2570" spans="11:15" ht="12.75">
      <c r="K2570" s="29"/>
      <c r="O2570" s="29"/>
    </row>
    <row r="2571" spans="11:15" ht="12.75">
      <c r="K2571" s="29"/>
      <c r="O2571" s="29"/>
    </row>
    <row r="2572" spans="11:15" ht="12.75">
      <c r="K2572" s="29"/>
      <c r="O2572" s="29"/>
    </row>
    <row r="2573" spans="11:15" ht="12.75">
      <c r="K2573" s="29"/>
      <c r="O2573" s="29"/>
    </row>
    <row r="2574" spans="11:15" ht="12.75">
      <c r="K2574" s="29"/>
      <c r="O2574" s="29"/>
    </row>
    <row r="2575" spans="11:15" ht="12.75">
      <c r="K2575" s="29"/>
      <c r="O2575" s="29"/>
    </row>
    <row r="2576" spans="11:15" ht="12.75">
      <c r="K2576" s="29"/>
      <c r="O2576" s="29"/>
    </row>
    <row r="2577" spans="11:15" ht="12.75">
      <c r="K2577" s="29"/>
      <c r="O2577" s="29"/>
    </row>
    <row r="2578" spans="11:15" ht="12.75">
      <c r="K2578" s="29"/>
      <c r="O2578" s="29"/>
    </row>
    <row r="2579" spans="11:15" ht="12.75">
      <c r="K2579" s="29"/>
      <c r="O2579" s="29"/>
    </row>
    <row r="2580" spans="11:15" ht="12.75">
      <c r="K2580" s="29"/>
      <c r="O2580" s="29"/>
    </row>
    <row r="2581" spans="11:15" ht="12.75">
      <c r="K2581" s="29"/>
      <c r="O2581" s="29"/>
    </row>
    <row r="2582" spans="11:15" ht="12.75">
      <c r="K2582" s="29"/>
      <c r="O2582" s="29"/>
    </row>
    <row r="2583" spans="11:15" ht="12.75">
      <c r="K2583" s="29"/>
      <c r="O2583" s="29"/>
    </row>
    <row r="2584" spans="11:15" ht="12.75">
      <c r="K2584" s="29"/>
      <c r="O2584" s="29"/>
    </row>
    <row r="2585" spans="11:15" ht="12.75">
      <c r="K2585" s="29"/>
      <c r="O2585" s="29"/>
    </row>
    <row r="2586" spans="11:15" ht="12.75">
      <c r="K2586" s="29"/>
      <c r="O2586" s="29"/>
    </row>
    <row r="2587" spans="11:15" ht="12.75">
      <c r="K2587" s="29"/>
      <c r="O2587" s="29"/>
    </row>
    <row r="2588" spans="11:15" ht="12.75">
      <c r="K2588" s="29"/>
      <c r="O2588" s="29"/>
    </row>
    <row r="2589" spans="11:15" ht="12.75">
      <c r="K2589" s="29"/>
      <c r="O2589" s="29"/>
    </row>
    <row r="2590" spans="11:15" ht="12.75">
      <c r="K2590" s="29"/>
      <c r="O2590" s="29"/>
    </row>
    <row r="2591" spans="11:15" ht="12.75">
      <c r="K2591" s="29"/>
      <c r="O2591" s="29"/>
    </row>
    <row r="2592" spans="11:15" ht="12.75">
      <c r="K2592" s="29"/>
      <c r="O2592" s="29"/>
    </row>
    <row r="2593" spans="11:15" ht="12.75">
      <c r="K2593" s="29"/>
      <c r="O2593" s="29"/>
    </row>
    <row r="2594" spans="11:15" ht="12.75">
      <c r="K2594" s="29"/>
      <c r="O2594" s="29"/>
    </row>
    <row r="2595" spans="11:15" ht="12.75">
      <c r="K2595" s="29"/>
      <c r="O2595" s="29"/>
    </row>
    <row r="2596" spans="11:15" ht="12.75">
      <c r="K2596" s="29"/>
      <c r="O2596" s="29"/>
    </row>
    <row r="2597" spans="11:15" ht="12.75">
      <c r="K2597" s="29"/>
      <c r="O2597" s="29"/>
    </row>
    <row r="2598" spans="11:15" ht="12.75">
      <c r="K2598" s="29"/>
      <c r="O2598" s="29"/>
    </row>
    <row r="2599" spans="11:15" ht="12.75">
      <c r="K2599" s="29"/>
      <c r="O2599" s="29"/>
    </row>
    <row r="2600" spans="11:15" ht="12.75">
      <c r="K2600" s="29"/>
      <c r="O2600" s="29"/>
    </row>
    <row r="2601" spans="11:15" ht="12.75">
      <c r="K2601" s="29"/>
      <c r="O2601" s="29"/>
    </row>
    <row r="2602" spans="11:15" ht="12.75">
      <c r="K2602" s="29"/>
      <c r="O2602" s="29"/>
    </row>
    <row r="2603" spans="11:15" ht="12.75">
      <c r="K2603" s="29"/>
      <c r="O2603" s="29"/>
    </row>
    <row r="2604" spans="11:15" ht="12.75">
      <c r="K2604" s="29"/>
      <c r="O2604" s="29"/>
    </row>
    <row r="2605" spans="11:15" ht="12.75">
      <c r="K2605" s="29"/>
      <c r="O2605" s="29"/>
    </row>
    <row r="2606" spans="11:15" ht="12.75">
      <c r="K2606" s="29"/>
      <c r="O2606" s="29"/>
    </row>
    <row r="2607" spans="11:15" ht="12.75">
      <c r="K2607" s="29"/>
      <c r="O2607" s="29"/>
    </row>
    <row r="2608" spans="11:15" ht="12.75">
      <c r="K2608" s="29"/>
      <c r="O2608" s="29"/>
    </row>
    <row r="2609" spans="11:15" ht="12.75">
      <c r="K2609" s="29"/>
      <c r="O2609" s="29"/>
    </row>
    <row r="2610" spans="11:15" ht="12.75">
      <c r="K2610" s="29"/>
      <c r="O2610" s="29"/>
    </row>
    <row r="2611" spans="11:15" ht="12.75">
      <c r="K2611" s="29"/>
      <c r="O2611" s="29"/>
    </row>
    <row r="2612" spans="11:15" ht="12.75">
      <c r="K2612" s="29"/>
      <c r="O2612" s="29"/>
    </row>
    <row r="2613" spans="11:15" ht="12.75">
      <c r="K2613" s="29"/>
      <c r="O2613" s="29"/>
    </row>
    <row r="2614" spans="11:15" ht="12.75">
      <c r="K2614" s="29"/>
      <c r="O2614" s="29"/>
    </row>
    <row r="2615" spans="11:15" ht="12.75">
      <c r="K2615" s="29"/>
      <c r="O2615" s="29"/>
    </row>
    <row r="2616" spans="11:15" ht="12.75">
      <c r="K2616" s="29"/>
      <c r="O2616" s="29"/>
    </row>
    <row r="2617" spans="11:15" ht="12.75">
      <c r="K2617" s="29"/>
      <c r="O2617" s="29"/>
    </row>
    <row r="2618" spans="11:15" ht="12.75">
      <c r="K2618" s="29"/>
      <c r="O2618" s="29"/>
    </row>
    <row r="2619" spans="11:15" ht="12.75">
      <c r="K2619" s="29"/>
      <c r="O2619" s="29"/>
    </row>
    <row r="2620" spans="11:15" ht="12.75">
      <c r="K2620" s="29"/>
      <c r="O2620" s="29"/>
    </row>
    <row r="2621" spans="11:15" ht="12.75">
      <c r="K2621" s="29"/>
      <c r="O2621" s="29"/>
    </row>
    <row r="2622" spans="11:15" ht="12.75">
      <c r="K2622" s="29"/>
      <c r="O2622" s="29"/>
    </row>
    <row r="2623" spans="11:15" ht="12.75">
      <c r="K2623" s="29"/>
      <c r="O2623" s="29"/>
    </row>
    <row r="2624" spans="11:15" ht="12.75">
      <c r="K2624" s="29"/>
      <c r="O2624" s="29"/>
    </row>
    <row r="2625" spans="11:15" ht="12.75">
      <c r="K2625" s="29"/>
      <c r="O2625" s="29"/>
    </row>
    <row r="2626" spans="11:15" ht="12.75">
      <c r="K2626" s="29"/>
      <c r="O2626" s="29"/>
    </row>
    <row r="2627" spans="11:15" ht="12.75">
      <c r="K2627" s="29"/>
      <c r="O2627" s="29"/>
    </row>
    <row r="2628" spans="11:15" ht="12.75">
      <c r="K2628" s="29"/>
      <c r="O2628" s="29"/>
    </row>
    <row r="2629" spans="11:15" ht="12.75">
      <c r="K2629" s="29"/>
      <c r="O2629" s="29"/>
    </row>
    <row r="2630" spans="11:15" ht="12.75">
      <c r="K2630" s="29"/>
      <c r="O2630" s="29"/>
    </row>
    <row r="2631" spans="11:15" ht="12.75">
      <c r="K2631" s="29"/>
      <c r="O2631" s="29"/>
    </row>
    <row r="2632" spans="11:15" ht="12.75">
      <c r="K2632" s="29"/>
      <c r="O2632" s="29"/>
    </row>
    <row r="2633" spans="11:15" ht="12.75">
      <c r="K2633" s="29"/>
      <c r="O2633" s="29"/>
    </row>
    <row r="2634" spans="11:15" ht="12.75">
      <c r="K2634" s="29"/>
      <c r="O2634" s="29"/>
    </row>
    <row r="2635" spans="11:15" ht="12.75">
      <c r="K2635" s="29"/>
      <c r="O2635" s="29"/>
    </row>
    <row r="2636" spans="11:15" ht="12.75">
      <c r="K2636" s="29"/>
      <c r="O2636" s="29"/>
    </row>
    <row r="2637" spans="11:15" ht="12.75">
      <c r="K2637" s="29"/>
      <c r="O2637" s="29"/>
    </row>
    <row r="2638" spans="11:15" ht="12.75">
      <c r="K2638" s="29"/>
      <c r="O2638" s="29"/>
    </row>
    <row r="2639" spans="11:15" ht="12.75">
      <c r="K2639" s="29"/>
      <c r="O2639" s="29"/>
    </row>
    <row r="2640" spans="11:15" ht="12.75">
      <c r="K2640" s="29"/>
      <c r="O2640" s="29"/>
    </row>
    <row r="2641" spans="11:15" ht="12.75">
      <c r="K2641" s="29"/>
      <c r="O2641" s="29"/>
    </row>
    <row r="2642" spans="11:15" ht="12.75">
      <c r="K2642" s="29"/>
      <c r="O2642" s="29"/>
    </row>
    <row r="2643" spans="11:15" ht="12.75">
      <c r="K2643" s="29"/>
      <c r="O2643" s="29"/>
    </row>
    <row r="2644" spans="11:15" ht="12.75">
      <c r="K2644" s="29"/>
      <c r="O2644" s="29"/>
    </row>
    <row r="2645" spans="11:15" ht="12.75">
      <c r="K2645" s="29"/>
      <c r="O2645" s="29"/>
    </row>
    <row r="2646" spans="11:15" ht="12.75">
      <c r="K2646" s="29"/>
      <c r="O2646" s="29"/>
    </row>
    <row r="2647" spans="11:15" ht="12.75">
      <c r="K2647" s="29"/>
      <c r="O2647" s="29"/>
    </row>
    <row r="2648" spans="11:15" ht="12.75">
      <c r="K2648" s="29"/>
      <c r="O2648" s="29"/>
    </row>
    <row r="2649" spans="11:15" ht="12.75">
      <c r="K2649" s="29"/>
      <c r="O2649" s="29"/>
    </row>
    <row r="2650" spans="11:15" ht="12.75">
      <c r="K2650" s="29"/>
      <c r="O2650" s="29"/>
    </row>
    <row r="2651" spans="11:15" ht="12.75">
      <c r="K2651" s="29"/>
      <c r="O2651" s="29"/>
    </row>
    <row r="2652" spans="11:15" ht="12.75">
      <c r="K2652" s="29"/>
      <c r="O2652" s="29"/>
    </row>
    <row r="2653" spans="11:15" ht="12.75">
      <c r="K2653" s="29"/>
      <c r="O2653" s="29"/>
    </row>
    <row r="2654" spans="11:15" ht="12.75">
      <c r="K2654" s="29"/>
      <c r="O2654" s="29"/>
    </row>
    <row r="2655" spans="11:15" ht="12.75">
      <c r="K2655" s="29"/>
      <c r="O2655" s="29"/>
    </row>
    <row r="2656" spans="11:15" ht="12.75">
      <c r="K2656" s="29"/>
      <c r="O2656" s="29"/>
    </row>
    <row r="2657" spans="11:15" ht="12.75">
      <c r="K2657" s="29"/>
      <c r="O2657" s="29"/>
    </row>
    <row r="2658" spans="11:15" ht="12.75">
      <c r="K2658" s="29"/>
      <c r="O2658" s="29"/>
    </row>
    <row r="2659" spans="11:15" ht="12.75">
      <c r="K2659" s="29"/>
      <c r="O2659" s="29"/>
    </row>
    <row r="2660" spans="11:15" ht="12.75">
      <c r="K2660" s="29"/>
      <c r="O2660" s="29"/>
    </row>
    <row r="2661" spans="11:15" ht="12.75">
      <c r="K2661" s="29"/>
      <c r="O2661" s="29"/>
    </row>
    <row r="2662" spans="11:15" ht="12.75">
      <c r="K2662" s="29"/>
      <c r="O2662" s="29"/>
    </row>
    <row r="2663" spans="11:15" ht="12.75">
      <c r="K2663" s="29"/>
      <c r="O2663" s="29"/>
    </row>
    <row r="2664" spans="11:15" ht="12.75">
      <c r="K2664" s="29"/>
      <c r="O2664" s="29"/>
    </row>
    <row r="2665" spans="11:15" ht="12.75">
      <c r="K2665" s="29"/>
      <c r="O2665" s="29"/>
    </row>
    <row r="2666" spans="11:15" ht="12.75">
      <c r="K2666" s="29"/>
      <c r="O2666" s="29"/>
    </row>
    <row r="2667" spans="11:15" ht="12.75">
      <c r="K2667" s="29"/>
      <c r="O2667" s="29"/>
    </row>
    <row r="2668" spans="11:15" ht="12.75">
      <c r="K2668" s="29"/>
      <c r="O2668" s="29"/>
    </row>
    <row r="2669" spans="11:15" ht="12.75">
      <c r="K2669" s="29"/>
      <c r="O2669" s="29"/>
    </row>
    <row r="2670" spans="11:15" ht="12.75">
      <c r="K2670" s="29"/>
      <c r="O2670" s="29"/>
    </row>
    <row r="2671" spans="11:15" ht="12.75">
      <c r="K2671" s="29"/>
      <c r="O2671" s="29"/>
    </row>
    <row r="2672" spans="11:15" ht="12.75">
      <c r="K2672" s="29"/>
      <c r="O2672" s="29"/>
    </row>
    <row r="2673" spans="11:15" ht="12.75">
      <c r="K2673" s="29"/>
      <c r="O2673" s="29"/>
    </row>
    <row r="2674" spans="11:15" ht="12.75">
      <c r="K2674" s="29"/>
      <c r="O2674" s="29"/>
    </row>
    <row r="2675" spans="11:15" ht="12.75">
      <c r="K2675" s="29"/>
      <c r="O2675" s="29"/>
    </row>
    <row r="2676" spans="11:15" ht="12.75">
      <c r="K2676" s="29"/>
      <c r="O2676" s="29"/>
    </row>
    <row r="2677" spans="11:15" ht="12.75">
      <c r="K2677" s="29"/>
      <c r="O2677" s="29"/>
    </row>
    <row r="2678" spans="11:15" ht="12.75">
      <c r="K2678" s="29"/>
      <c r="O2678" s="29"/>
    </row>
    <row r="2679" spans="11:15" ht="12.75">
      <c r="K2679" s="29"/>
      <c r="O2679" s="29"/>
    </row>
    <row r="2680" spans="11:15" ht="12.75">
      <c r="K2680" s="29"/>
      <c r="O2680" s="29"/>
    </row>
    <row r="2681" spans="11:15" ht="12.75">
      <c r="K2681" s="29"/>
      <c r="O2681" s="29"/>
    </row>
    <row r="2682" spans="11:15" ht="12.75">
      <c r="K2682" s="29"/>
      <c r="O2682" s="29"/>
    </row>
    <row r="2683" spans="11:15" ht="12.75">
      <c r="K2683" s="29"/>
      <c r="O2683" s="29"/>
    </row>
    <row r="2684" spans="11:15" ht="12.75">
      <c r="K2684" s="29"/>
      <c r="O2684" s="29"/>
    </row>
    <row r="2685" spans="11:15" ht="12.75">
      <c r="K2685" s="29"/>
      <c r="O2685" s="29"/>
    </row>
    <row r="2686" spans="11:15" ht="12.75">
      <c r="K2686" s="29"/>
      <c r="O2686" s="29"/>
    </row>
    <row r="2687" spans="11:15" ht="12.75">
      <c r="K2687" s="29"/>
      <c r="O2687" s="29"/>
    </row>
    <row r="2688" spans="11:15" ht="12.75">
      <c r="K2688" s="29"/>
      <c r="O2688" s="29"/>
    </row>
    <row r="2689" spans="11:15" ht="12.75">
      <c r="K2689" s="29"/>
      <c r="O2689" s="29"/>
    </row>
    <row r="2690" spans="11:15" ht="12.75">
      <c r="K2690" s="29"/>
      <c r="O2690" s="29"/>
    </row>
    <row r="2691" spans="11:15" ht="12.75">
      <c r="K2691" s="29"/>
      <c r="O2691" s="29"/>
    </row>
    <row r="2692" spans="11:15" ht="12.75">
      <c r="K2692" s="29"/>
      <c r="O2692" s="29"/>
    </row>
    <row r="2693" spans="11:15" ht="12.75">
      <c r="K2693" s="29"/>
      <c r="O2693" s="29"/>
    </row>
    <row r="2694" spans="11:15" ht="12.75">
      <c r="K2694" s="29"/>
      <c r="O2694" s="29"/>
    </row>
    <row r="2695" spans="11:15" ht="12.75">
      <c r="K2695" s="29"/>
      <c r="O2695" s="29"/>
    </row>
    <row r="2696" spans="11:15" ht="12.75">
      <c r="K2696" s="29"/>
      <c r="O2696" s="29"/>
    </row>
    <row r="2697" spans="11:15" ht="12.75">
      <c r="K2697" s="29"/>
      <c r="O2697" s="29"/>
    </row>
    <row r="2698" spans="11:15" ht="12.75">
      <c r="K2698" s="29"/>
      <c r="O2698" s="29"/>
    </row>
    <row r="2699" spans="11:15" ht="12.75">
      <c r="K2699" s="29"/>
      <c r="O2699" s="29"/>
    </row>
    <row r="2700" spans="11:15" ht="12.75">
      <c r="K2700" s="29"/>
      <c r="O2700" s="29"/>
    </row>
    <row r="2701" spans="11:15" ht="12.75">
      <c r="K2701" s="29"/>
      <c r="O2701" s="29"/>
    </row>
    <row r="2702" spans="11:15" ht="12.75">
      <c r="K2702" s="29"/>
      <c r="O2702" s="29"/>
    </row>
    <row r="2703" spans="11:15" ht="12.75">
      <c r="K2703" s="29"/>
      <c r="O2703" s="29"/>
    </row>
    <row r="2704" spans="11:15" ht="12.75">
      <c r="K2704" s="29"/>
      <c r="O2704" s="29"/>
    </row>
    <row r="2705" spans="11:15" ht="12.75">
      <c r="K2705" s="29"/>
      <c r="O2705" s="29"/>
    </row>
    <row r="2706" spans="11:15" ht="12.75">
      <c r="K2706" s="29"/>
      <c r="O2706" s="29"/>
    </row>
    <row r="2707" spans="11:15" ht="12.75">
      <c r="K2707" s="29"/>
      <c r="O2707" s="29"/>
    </row>
    <row r="2708" spans="11:15" ht="12.75">
      <c r="K2708" s="29"/>
      <c r="O2708" s="29"/>
    </row>
    <row r="2709" spans="11:15" ht="12.75">
      <c r="K2709" s="29"/>
      <c r="O2709" s="29"/>
    </row>
    <row r="2710" spans="11:15" ht="12.75">
      <c r="K2710" s="29"/>
      <c r="O2710" s="29"/>
    </row>
    <row r="2711" spans="11:15" ht="12.75">
      <c r="K2711" s="29"/>
      <c r="O2711" s="29"/>
    </row>
    <row r="2712" spans="11:15" ht="12.75">
      <c r="K2712" s="29"/>
      <c r="O2712" s="29"/>
    </row>
    <row r="2713" spans="11:15" ht="12.75">
      <c r="K2713" s="29"/>
      <c r="O2713" s="29"/>
    </row>
    <row r="2714" spans="11:15" ht="12.75">
      <c r="K2714" s="29"/>
      <c r="O2714" s="29"/>
    </row>
    <row r="2715" spans="11:15" ht="12.75">
      <c r="K2715" s="29"/>
      <c r="O2715" s="29"/>
    </row>
    <row r="2716" spans="11:15" ht="12.75">
      <c r="K2716" s="29"/>
      <c r="O2716" s="29"/>
    </row>
    <row r="2717" spans="11:15" ht="12.75">
      <c r="K2717" s="29"/>
      <c r="O2717" s="29"/>
    </row>
    <row r="2718" spans="11:15" ht="12.75">
      <c r="K2718" s="29"/>
      <c r="O2718" s="29"/>
    </row>
    <row r="2719" spans="11:15" ht="12.75">
      <c r="K2719" s="29"/>
      <c r="O2719" s="29"/>
    </row>
    <row r="2720" spans="11:15" ht="12.75">
      <c r="K2720" s="29"/>
      <c r="O2720" s="29"/>
    </row>
    <row r="2721" spans="11:15" ht="12.75">
      <c r="K2721" s="29"/>
      <c r="O2721" s="29"/>
    </row>
    <row r="2722" spans="11:15" ht="12.75">
      <c r="K2722" s="29"/>
      <c r="O2722" s="29"/>
    </row>
    <row r="2723" spans="11:15" ht="12.75">
      <c r="K2723" s="29"/>
      <c r="O2723" s="29"/>
    </row>
    <row r="2724" spans="11:15" ht="12.75">
      <c r="K2724" s="29"/>
      <c r="O2724" s="29"/>
    </row>
    <row r="2725" spans="11:15" ht="12.75">
      <c r="K2725" s="29"/>
      <c r="O2725" s="29"/>
    </row>
    <row r="2726" spans="11:15" ht="12.75">
      <c r="K2726" s="29"/>
      <c r="O2726" s="29"/>
    </row>
    <row r="2727" spans="11:15" ht="12.75">
      <c r="K2727" s="29"/>
      <c r="O2727" s="29"/>
    </row>
    <row r="2728" spans="11:15" ht="12.75">
      <c r="K2728" s="29"/>
      <c r="O2728" s="29"/>
    </row>
    <row r="2729" spans="11:15" ht="12.75">
      <c r="K2729" s="29"/>
      <c r="O2729" s="29"/>
    </row>
    <row r="2730" spans="11:15" ht="12.75">
      <c r="K2730" s="29"/>
      <c r="O2730" s="29"/>
    </row>
    <row r="2731" spans="11:15" ht="12.75">
      <c r="K2731" s="29"/>
      <c r="O2731" s="29"/>
    </row>
    <row r="2732" spans="11:15" ht="12.75">
      <c r="K2732" s="29"/>
      <c r="O2732" s="29"/>
    </row>
    <row r="2733" spans="11:15" ht="12.75">
      <c r="K2733" s="29"/>
      <c r="O2733" s="29"/>
    </row>
    <row r="2734" spans="11:15" ht="12.75">
      <c r="K2734" s="29"/>
      <c r="O2734" s="29"/>
    </row>
    <row r="2735" spans="11:15" ht="12.75">
      <c r="K2735" s="29"/>
      <c r="O2735" s="29"/>
    </row>
    <row r="2736" spans="11:15" ht="12.75">
      <c r="K2736" s="29"/>
      <c r="O2736" s="29"/>
    </row>
    <row r="2737" spans="11:15" ht="12.75">
      <c r="K2737" s="29"/>
      <c r="O2737" s="29"/>
    </row>
    <row r="2738" spans="11:15" ht="12.75">
      <c r="K2738" s="29"/>
      <c r="O2738" s="29"/>
    </row>
    <row r="2739" spans="11:15" ht="12.75">
      <c r="K2739" s="29"/>
      <c r="O2739" s="29"/>
    </row>
    <row r="2740" spans="11:15" ht="12.75">
      <c r="K2740" s="29"/>
      <c r="O2740" s="29"/>
    </row>
    <row r="2741" spans="11:15" ht="12.75">
      <c r="K2741" s="29"/>
      <c r="O2741" s="29"/>
    </row>
    <row r="2742" spans="11:15" ht="12.75">
      <c r="K2742" s="29"/>
      <c r="O2742" s="29"/>
    </row>
    <row r="2743" spans="11:15" ht="12.75">
      <c r="K2743" s="29"/>
      <c r="O2743" s="29"/>
    </row>
    <row r="2744" spans="11:15" ht="12.75">
      <c r="K2744" s="29"/>
      <c r="O2744" s="29"/>
    </row>
    <row r="2745" spans="11:15" ht="12.75">
      <c r="K2745" s="29"/>
      <c r="O2745" s="29"/>
    </row>
    <row r="2746" spans="11:15" ht="12.75">
      <c r="K2746" s="29"/>
      <c r="O2746" s="29"/>
    </row>
    <row r="2747" spans="11:15" ht="12.75">
      <c r="K2747" s="29"/>
      <c r="O2747" s="29"/>
    </row>
    <row r="2748" spans="11:15" ht="12.75">
      <c r="K2748" s="29"/>
      <c r="O2748" s="29"/>
    </row>
    <row r="2749" spans="11:15" ht="12.75">
      <c r="K2749" s="29"/>
      <c r="O2749" s="29"/>
    </row>
    <row r="2750" spans="11:15" ht="12.75">
      <c r="K2750" s="29"/>
      <c r="O2750" s="29"/>
    </row>
    <row r="2751" spans="11:15" ht="12.75">
      <c r="K2751" s="29"/>
      <c r="O2751" s="29"/>
    </row>
    <row r="2752" spans="11:15" ht="12.75">
      <c r="K2752" s="29"/>
      <c r="O2752" s="29"/>
    </row>
    <row r="2753" spans="11:15" ht="12.75">
      <c r="K2753" s="29"/>
      <c r="O2753" s="29"/>
    </row>
    <row r="2754" spans="11:15" ht="12.75">
      <c r="K2754" s="29"/>
      <c r="O2754" s="29"/>
    </row>
    <row r="2755" spans="11:15" ht="12.75">
      <c r="K2755" s="29"/>
      <c r="O2755" s="29"/>
    </row>
    <row r="2756" spans="11:15" ht="12.75">
      <c r="K2756" s="29"/>
      <c r="O2756" s="29"/>
    </row>
    <row r="2757" spans="11:15" ht="12.75">
      <c r="K2757" s="29"/>
      <c r="O2757" s="29"/>
    </row>
    <row r="2758" spans="11:15" ht="12.75">
      <c r="K2758" s="29"/>
      <c r="O2758" s="29"/>
    </row>
    <row r="2759" spans="11:15" ht="12.75">
      <c r="K2759" s="29"/>
      <c r="O2759" s="29"/>
    </row>
    <row r="2760" spans="11:15" ht="12.75">
      <c r="K2760" s="29"/>
      <c r="O2760" s="29"/>
    </row>
    <row r="2761" spans="11:15" ht="12.75">
      <c r="K2761" s="29"/>
      <c r="O2761" s="29"/>
    </row>
    <row r="2762" spans="11:15" ht="12.75">
      <c r="K2762" s="29"/>
      <c r="O2762" s="29"/>
    </row>
    <row r="2763" spans="11:15" ht="12.75">
      <c r="K2763" s="29"/>
      <c r="O2763" s="29"/>
    </row>
    <row r="2764" spans="11:15" ht="12.75">
      <c r="K2764" s="29"/>
      <c r="O2764" s="29"/>
    </row>
    <row r="2765" spans="11:15" ht="12.75">
      <c r="K2765" s="29"/>
      <c r="O2765" s="29"/>
    </row>
    <row r="2766" spans="11:15" ht="12.75">
      <c r="K2766" s="29"/>
      <c r="O2766" s="29"/>
    </row>
    <row r="2767" spans="11:15" ht="12.75">
      <c r="K2767" s="29"/>
      <c r="O2767" s="29"/>
    </row>
    <row r="2768" spans="11:15" ht="12.75">
      <c r="K2768" s="29"/>
      <c r="O2768" s="29"/>
    </row>
    <row r="2769" spans="11:15" ht="12.75">
      <c r="K2769" s="29"/>
      <c r="O2769" s="29"/>
    </row>
    <row r="2770" spans="11:15" ht="12.75">
      <c r="K2770" s="29"/>
      <c r="O2770" s="29"/>
    </row>
    <row r="2771" spans="11:15" ht="12.75">
      <c r="K2771" s="29"/>
      <c r="O2771" s="29"/>
    </row>
    <row r="2772" spans="11:15" ht="12.75">
      <c r="K2772" s="29"/>
      <c r="O2772" s="29"/>
    </row>
    <row r="2773" spans="11:15" ht="12.75">
      <c r="K2773" s="29"/>
      <c r="O2773" s="29"/>
    </row>
    <row r="2774" spans="11:15" ht="12.75">
      <c r="K2774" s="29"/>
      <c r="O2774" s="29"/>
    </row>
    <row r="2775" spans="11:15" ht="12.75">
      <c r="K2775" s="29"/>
      <c r="O2775" s="29"/>
    </row>
    <row r="2776" spans="11:15" ht="12.75">
      <c r="K2776" s="29"/>
      <c r="O2776" s="29"/>
    </row>
    <row r="2777" spans="11:15" ht="12.75">
      <c r="K2777" s="29"/>
      <c r="O2777" s="29"/>
    </row>
    <row r="2778" spans="11:15" ht="12.75">
      <c r="K2778" s="29"/>
      <c r="O2778" s="29"/>
    </row>
    <row r="2779" spans="11:15" ht="12.75">
      <c r="K2779" s="29"/>
      <c r="O2779" s="29"/>
    </row>
    <row r="2780" spans="11:15" ht="12.75">
      <c r="K2780" s="29"/>
      <c r="O2780" s="29"/>
    </row>
    <row r="2781" spans="11:15" ht="12.75">
      <c r="K2781" s="29"/>
      <c r="O2781" s="29"/>
    </row>
    <row r="2782" spans="11:15" ht="12.75">
      <c r="K2782" s="29"/>
      <c r="O2782" s="29"/>
    </row>
    <row r="2783" spans="11:15" ht="12.75">
      <c r="K2783" s="29"/>
      <c r="O2783" s="29"/>
    </row>
    <row r="2784" spans="11:15" ht="12.75">
      <c r="K2784" s="29"/>
      <c r="O2784" s="29"/>
    </row>
    <row r="2785" spans="11:15" ht="12.75">
      <c r="K2785" s="29"/>
      <c r="O2785" s="29"/>
    </row>
    <row r="2786" spans="11:15" ht="12.75">
      <c r="K2786" s="29"/>
      <c r="O2786" s="29"/>
    </row>
    <row r="2787" spans="11:15" ht="12.75">
      <c r="K2787" s="29"/>
      <c r="O2787" s="29"/>
    </row>
    <row r="2788" spans="11:15" ht="12.75">
      <c r="K2788" s="29"/>
      <c r="O2788" s="29"/>
    </row>
    <row r="2789" spans="11:15" ht="12.75">
      <c r="K2789" s="29"/>
      <c r="O2789" s="29"/>
    </row>
    <row r="2790" spans="11:15" ht="12.75">
      <c r="K2790" s="29"/>
      <c r="O2790" s="29"/>
    </row>
    <row r="2791" spans="11:15" ht="12.75">
      <c r="K2791" s="29"/>
      <c r="O2791" s="29"/>
    </row>
    <row r="2792" spans="11:15" ht="12.75">
      <c r="K2792" s="29"/>
      <c r="O2792" s="29"/>
    </row>
    <row r="2793" spans="11:15" ht="12.75">
      <c r="K2793" s="29"/>
      <c r="O2793" s="29"/>
    </row>
    <row r="2794" spans="11:15" ht="12.75">
      <c r="K2794" s="29"/>
      <c r="O2794" s="29"/>
    </row>
    <row r="2795" spans="11:15" ht="12.75">
      <c r="K2795" s="29"/>
      <c r="O2795" s="29"/>
    </row>
    <row r="2796" spans="11:15" ht="12.75">
      <c r="K2796" s="29"/>
      <c r="O2796" s="29"/>
    </row>
    <row r="2797" spans="11:15" ht="12.75">
      <c r="K2797" s="29"/>
      <c r="O2797" s="29"/>
    </row>
    <row r="2798" spans="11:15" ht="12.75">
      <c r="K2798" s="29"/>
      <c r="O2798" s="29"/>
    </row>
    <row r="2799" spans="11:15" ht="12.75">
      <c r="K2799" s="29"/>
      <c r="O2799" s="29"/>
    </row>
    <row r="2800" spans="11:15" ht="12.75">
      <c r="K2800" s="29"/>
      <c r="O2800" s="29"/>
    </row>
    <row r="2801" spans="11:15" ht="12.75">
      <c r="K2801" s="29"/>
      <c r="O2801" s="29"/>
    </row>
    <row r="2802" spans="11:15" ht="12.75">
      <c r="K2802" s="29"/>
      <c r="O2802" s="29"/>
    </row>
    <row r="2803" spans="11:15" ht="12.75">
      <c r="K2803" s="29"/>
      <c r="O2803" s="29"/>
    </row>
    <row r="2804" spans="11:15" ht="12.75">
      <c r="K2804" s="29"/>
      <c r="O2804" s="29"/>
    </row>
    <row r="2805" spans="11:15" ht="12.75">
      <c r="K2805" s="29"/>
      <c r="O2805" s="29"/>
    </row>
    <row r="2806" spans="11:15" ht="12.75">
      <c r="K2806" s="29"/>
      <c r="O2806" s="29"/>
    </row>
    <row r="2807" spans="11:15" ht="12.75">
      <c r="K2807" s="29"/>
      <c r="O2807" s="29"/>
    </row>
    <row r="2808" spans="11:15" ht="12.75">
      <c r="K2808" s="29"/>
      <c r="O2808" s="29"/>
    </row>
    <row r="2809" spans="11:15" ht="12.75">
      <c r="K2809" s="29"/>
      <c r="O2809" s="29"/>
    </row>
    <row r="2810" spans="11:15" ht="12.75">
      <c r="K2810" s="29"/>
      <c r="O2810" s="29"/>
    </row>
    <row r="2811" spans="11:15" ht="12.75">
      <c r="K2811" s="29"/>
      <c r="O2811" s="29"/>
    </row>
    <row r="2812" spans="11:15" ht="12.75">
      <c r="K2812" s="29"/>
      <c r="O2812" s="29"/>
    </row>
    <row r="2813" spans="11:15" ht="12.75">
      <c r="K2813" s="29"/>
      <c r="O2813" s="29"/>
    </row>
    <row r="2814" spans="11:15" ht="12.75">
      <c r="K2814" s="29"/>
      <c r="O2814" s="29"/>
    </row>
    <row r="2815" spans="11:15" ht="12.75">
      <c r="K2815" s="29"/>
      <c r="O2815" s="29"/>
    </row>
    <row r="2816" spans="11:15" ht="12.75">
      <c r="K2816" s="29"/>
      <c r="O2816" s="29"/>
    </row>
    <row r="2817" spans="11:15" ht="12.75">
      <c r="K2817" s="29"/>
      <c r="O2817" s="29"/>
    </row>
    <row r="2818" spans="11:15" ht="12.75">
      <c r="K2818" s="29"/>
      <c r="O2818" s="29"/>
    </row>
    <row r="2819" spans="11:15" ht="12.75">
      <c r="K2819" s="29"/>
      <c r="O2819" s="29"/>
    </row>
    <row r="2820" spans="11:15" ht="12.75">
      <c r="K2820" s="29"/>
      <c r="O2820" s="29"/>
    </row>
    <row r="2821" spans="11:15" ht="12.75">
      <c r="K2821" s="29"/>
      <c r="O2821" s="29"/>
    </row>
    <row r="2822" spans="11:15" ht="12.75">
      <c r="K2822" s="29"/>
      <c r="O2822" s="29"/>
    </row>
    <row r="2823" spans="11:15" ht="12.75">
      <c r="K2823" s="29"/>
      <c r="O2823" s="29"/>
    </row>
    <row r="2824" spans="11:15" ht="12.75">
      <c r="K2824" s="29"/>
      <c r="O2824" s="29"/>
    </row>
    <row r="2825" spans="11:15" ht="12.75">
      <c r="K2825" s="29"/>
      <c r="O2825" s="29"/>
    </row>
    <row r="2826" spans="11:15" ht="12.75">
      <c r="K2826" s="29"/>
      <c r="O2826" s="29"/>
    </row>
    <row r="2827" spans="11:15" ht="12.75">
      <c r="K2827" s="29"/>
      <c r="O2827" s="29"/>
    </row>
    <row r="2828" spans="11:15" ht="12.75">
      <c r="K2828" s="29"/>
      <c r="O2828" s="29"/>
    </row>
    <row r="2829" spans="11:15" ht="12.75">
      <c r="K2829" s="29"/>
      <c r="O2829" s="29"/>
    </row>
    <row r="2830" spans="11:15" ht="12.75">
      <c r="K2830" s="29"/>
      <c r="O2830" s="29"/>
    </row>
    <row r="2831" spans="11:15" ht="12.75">
      <c r="K2831" s="29"/>
      <c r="O2831" s="29"/>
    </row>
    <row r="2832" spans="11:15" ht="12.75">
      <c r="K2832" s="29"/>
      <c r="O2832" s="29"/>
    </row>
    <row r="2833" spans="11:15" ht="12.75">
      <c r="K2833" s="29"/>
      <c r="O2833" s="29"/>
    </row>
    <row r="2834" spans="11:15" ht="12.75">
      <c r="K2834" s="29"/>
      <c r="O2834" s="29"/>
    </row>
    <row r="2835" spans="11:15" ht="12.75">
      <c r="K2835" s="29"/>
      <c r="O2835" s="29"/>
    </row>
    <row r="2836" spans="11:15" ht="12.75">
      <c r="K2836" s="29"/>
      <c r="O2836" s="29"/>
    </row>
    <row r="2837" spans="11:15" ht="12.75">
      <c r="K2837" s="29"/>
      <c r="O2837" s="29"/>
    </row>
    <row r="2838" spans="11:15" ht="12.75">
      <c r="K2838" s="29"/>
      <c r="O2838" s="29"/>
    </row>
    <row r="2839" spans="11:15" ht="12.75">
      <c r="K2839" s="29"/>
      <c r="O2839" s="29"/>
    </row>
    <row r="2840" spans="11:15" ht="12.75">
      <c r="K2840" s="29"/>
      <c r="O2840" s="29"/>
    </row>
    <row r="2841" spans="11:15" ht="12.75">
      <c r="K2841" s="29"/>
      <c r="O2841" s="29"/>
    </row>
    <row r="2842" spans="11:15" ht="12.75">
      <c r="K2842" s="29"/>
      <c r="O2842" s="29"/>
    </row>
    <row r="2843" spans="11:15" ht="12.75">
      <c r="K2843" s="29"/>
      <c r="O2843" s="29"/>
    </row>
    <row r="2844" spans="11:15" ht="12.75">
      <c r="K2844" s="29"/>
      <c r="O2844" s="29"/>
    </row>
    <row r="2845" spans="11:15" ht="12.75">
      <c r="K2845" s="29"/>
      <c r="O2845" s="29"/>
    </row>
    <row r="2846" spans="11:15" ht="12.75">
      <c r="K2846" s="29"/>
      <c r="O2846" s="29"/>
    </row>
    <row r="2847" spans="11:15" ht="12.75">
      <c r="K2847" s="29"/>
      <c r="O2847" s="29"/>
    </row>
    <row r="2848" spans="11:15" ht="12.75">
      <c r="K2848" s="29"/>
      <c r="O2848" s="29"/>
    </row>
    <row r="2849" spans="11:15" ht="12.75">
      <c r="K2849" s="29"/>
      <c r="O2849" s="29"/>
    </row>
    <row r="2850" spans="11:15" ht="12.75">
      <c r="K2850" s="29"/>
      <c r="O2850" s="29"/>
    </row>
    <row r="2851" spans="11:15" ht="12.75">
      <c r="K2851" s="29"/>
      <c r="O2851" s="29"/>
    </row>
    <row r="2852" spans="11:15" ht="12.75">
      <c r="K2852" s="29"/>
      <c r="O2852" s="29"/>
    </row>
    <row r="2853" spans="11:15" ht="12.75">
      <c r="K2853" s="29"/>
      <c r="O2853" s="29"/>
    </row>
    <row r="2854" spans="11:15" ht="12.75">
      <c r="K2854" s="29"/>
      <c r="O2854" s="29"/>
    </row>
    <row r="2855" spans="11:15" ht="12.75">
      <c r="K2855" s="29"/>
      <c r="O2855" s="29"/>
    </row>
    <row r="2856" spans="11:15" ht="12.75">
      <c r="K2856" s="29"/>
      <c r="O2856" s="29"/>
    </row>
    <row r="2857" spans="11:15" ht="12.75">
      <c r="K2857" s="29"/>
      <c r="O2857" s="29"/>
    </row>
    <row r="2858" spans="11:15" ht="12.75">
      <c r="K2858" s="29"/>
      <c r="O2858" s="29"/>
    </row>
    <row r="2859" spans="11:15" ht="12.75">
      <c r="K2859" s="29"/>
      <c r="O2859" s="29"/>
    </row>
    <row r="2860" spans="11:15" ht="12.75">
      <c r="K2860" s="29"/>
      <c r="O2860" s="29"/>
    </row>
    <row r="2861" spans="11:15" ht="12.75">
      <c r="K2861" s="29"/>
      <c r="O2861" s="29"/>
    </row>
    <row r="2862" spans="11:15" ht="12.75">
      <c r="K2862" s="29"/>
      <c r="O2862" s="29"/>
    </row>
    <row r="2863" spans="11:15" ht="12.75">
      <c r="K2863" s="29"/>
      <c r="O2863" s="29"/>
    </row>
    <row r="2864" spans="11:15" ht="12.75">
      <c r="K2864" s="29"/>
      <c r="O2864" s="29"/>
    </row>
    <row r="2865" spans="11:15" ht="12.75">
      <c r="K2865" s="29"/>
      <c r="O2865" s="29"/>
    </row>
    <row r="2866" spans="11:15" ht="12.75">
      <c r="K2866" s="29"/>
      <c r="O2866" s="29"/>
    </row>
    <row r="2867" spans="11:15" ht="12.75">
      <c r="K2867" s="29"/>
      <c r="O2867" s="29"/>
    </row>
    <row r="2868" spans="11:15" ht="12.75">
      <c r="K2868" s="29"/>
      <c r="O2868" s="29"/>
    </row>
    <row r="2869" spans="11:15" ht="12.75">
      <c r="K2869" s="29"/>
      <c r="O2869" s="29"/>
    </row>
    <row r="2870" spans="11:15" ht="12.75">
      <c r="K2870" s="29"/>
      <c r="O2870" s="29"/>
    </row>
    <row r="2871" spans="11:15" ht="12.75">
      <c r="K2871" s="29"/>
      <c r="O2871" s="29"/>
    </row>
    <row r="2872" spans="11:15" ht="12.75">
      <c r="K2872" s="29"/>
      <c r="O2872" s="29"/>
    </row>
    <row r="2873" spans="11:15" ht="12.75">
      <c r="K2873" s="29"/>
      <c r="O2873" s="29"/>
    </row>
    <row r="2874" spans="11:15" ht="12.75">
      <c r="K2874" s="29"/>
      <c r="O2874" s="29"/>
    </row>
    <row r="2875" spans="11:15" ht="12.75">
      <c r="K2875" s="29"/>
      <c r="O2875" s="29"/>
    </row>
    <row r="2876" spans="11:15" ht="12.75">
      <c r="K2876" s="29"/>
      <c r="O2876" s="29"/>
    </row>
    <row r="2877" spans="11:15" ht="12.75">
      <c r="K2877" s="29"/>
      <c r="O2877" s="29"/>
    </row>
    <row r="2878" spans="11:15" ht="12.75">
      <c r="K2878" s="29"/>
      <c r="O2878" s="29"/>
    </row>
    <row r="2879" spans="11:15" ht="12.75">
      <c r="K2879" s="29"/>
      <c r="O2879" s="29"/>
    </row>
    <row r="2880" spans="11:15" ht="12.75">
      <c r="K2880" s="29"/>
      <c r="O2880" s="29"/>
    </row>
    <row r="2881" spans="11:15" ht="12.75">
      <c r="K2881" s="29"/>
      <c r="O2881" s="29"/>
    </row>
    <row r="2882" spans="11:15" ht="12.75">
      <c r="K2882" s="29"/>
      <c r="O2882" s="29"/>
    </row>
    <row r="2883" spans="11:15" ht="12.75">
      <c r="K2883" s="29"/>
      <c r="O2883" s="29"/>
    </row>
    <row r="2884" spans="11:15" ht="12.75">
      <c r="K2884" s="29"/>
      <c r="O2884" s="29"/>
    </row>
    <row r="2885" spans="11:15" ht="12.75">
      <c r="K2885" s="29"/>
      <c r="O2885" s="29"/>
    </row>
    <row r="2886" spans="11:15" ht="12.75">
      <c r="K2886" s="29"/>
      <c r="O2886" s="29"/>
    </row>
    <row r="2887" spans="11:15" ht="12.75">
      <c r="K2887" s="29"/>
      <c r="O2887" s="29"/>
    </row>
    <row r="2888" spans="11:15" ht="12.75">
      <c r="K2888" s="29"/>
      <c r="O2888" s="29"/>
    </row>
    <row r="2889" spans="11:15" ht="12.75">
      <c r="K2889" s="29"/>
      <c r="O2889" s="29"/>
    </row>
    <row r="2890" spans="11:15" ht="12.75">
      <c r="K2890" s="29"/>
      <c r="O2890" s="29"/>
    </row>
    <row r="2891" spans="11:15" ht="12.75">
      <c r="K2891" s="29"/>
      <c r="O2891" s="29"/>
    </row>
    <row r="2892" spans="11:15" ht="12.75">
      <c r="K2892" s="29"/>
      <c r="O2892" s="29"/>
    </row>
    <row r="2893" spans="11:15" ht="12.75">
      <c r="K2893" s="29"/>
      <c r="O2893" s="29"/>
    </row>
    <row r="2894" spans="11:15" ht="12.75">
      <c r="K2894" s="29"/>
      <c r="O2894" s="29"/>
    </row>
    <row r="2895" spans="11:15" ht="12.75">
      <c r="K2895" s="29"/>
      <c r="O2895" s="29"/>
    </row>
    <row r="2896" spans="11:15" ht="12.75">
      <c r="K2896" s="29"/>
      <c r="O2896" s="29"/>
    </row>
    <row r="2897" spans="11:15" ht="12.75">
      <c r="K2897" s="29"/>
      <c r="O2897" s="29"/>
    </row>
    <row r="2898" spans="11:15" ht="12.75">
      <c r="K2898" s="29"/>
      <c r="O2898" s="29"/>
    </row>
    <row r="2899" spans="11:15" ht="12.75">
      <c r="K2899" s="29"/>
      <c r="O2899" s="29"/>
    </row>
    <row r="2900" spans="11:15" ht="12.75">
      <c r="K2900" s="29"/>
      <c r="O2900" s="29"/>
    </row>
    <row r="2901" spans="11:15" ht="12.75">
      <c r="K2901" s="29"/>
      <c r="O2901" s="29"/>
    </row>
    <row r="2902" spans="11:15" ht="12.75">
      <c r="K2902" s="29"/>
      <c r="O2902" s="29"/>
    </row>
    <row r="2903" spans="11:15" ht="12.75">
      <c r="K2903" s="29"/>
      <c r="O2903" s="29"/>
    </row>
    <row r="2904" spans="11:15" ht="12.75">
      <c r="K2904" s="29"/>
      <c r="O2904" s="29"/>
    </row>
    <row r="2905" spans="11:15" ht="12.75">
      <c r="K2905" s="29"/>
      <c r="O2905" s="29"/>
    </row>
    <row r="2906" spans="11:15" ht="12.75">
      <c r="K2906" s="29"/>
      <c r="O2906" s="29"/>
    </row>
    <row r="2907" spans="11:15" ht="12.75">
      <c r="K2907" s="29"/>
      <c r="O2907" s="29"/>
    </row>
    <row r="2908" spans="11:15" ht="12.75">
      <c r="K2908" s="29"/>
      <c r="O2908" s="29"/>
    </row>
    <row r="2909" spans="11:15" ht="12.75">
      <c r="K2909" s="29"/>
      <c r="O2909" s="29"/>
    </row>
    <row r="2910" spans="11:15" ht="12.75">
      <c r="K2910" s="29"/>
      <c r="O2910" s="29"/>
    </row>
    <row r="2911" spans="11:15" ht="12.75">
      <c r="K2911" s="29"/>
      <c r="O2911" s="29"/>
    </row>
    <row r="2912" spans="11:15" ht="12.75">
      <c r="K2912" s="29"/>
      <c r="O2912" s="29"/>
    </row>
    <row r="2913" spans="11:15" ht="12.75">
      <c r="K2913" s="29"/>
      <c r="O2913" s="29"/>
    </row>
    <row r="2914" spans="11:15" ht="12.75">
      <c r="K2914" s="29"/>
      <c r="O2914" s="29"/>
    </row>
    <row r="2915" spans="11:15" ht="12.75">
      <c r="K2915" s="29"/>
      <c r="O2915" s="29"/>
    </row>
    <row r="2916" spans="11:15" ht="12.75">
      <c r="K2916" s="29"/>
      <c r="O2916" s="29"/>
    </row>
    <row r="2917" spans="11:15" ht="12.75">
      <c r="K2917" s="29"/>
      <c r="O2917" s="29"/>
    </row>
    <row r="2918" spans="11:15" ht="12.75">
      <c r="K2918" s="29"/>
      <c r="O2918" s="29"/>
    </row>
    <row r="2919" spans="11:15" ht="12.75">
      <c r="K2919" s="29"/>
      <c r="O2919" s="29"/>
    </row>
    <row r="2920" spans="11:15" ht="12.75">
      <c r="K2920" s="29"/>
      <c r="O2920" s="29"/>
    </row>
    <row r="2921" spans="11:15" ht="12.75">
      <c r="K2921" s="29"/>
      <c r="O2921" s="29"/>
    </row>
    <row r="2922" spans="11:15" ht="12.75">
      <c r="K2922" s="29"/>
      <c r="O2922" s="29"/>
    </row>
    <row r="2923" spans="11:15" ht="12.75">
      <c r="K2923" s="29"/>
      <c r="O2923" s="29"/>
    </row>
    <row r="2924" spans="11:15" ht="12.75">
      <c r="K2924" s="29"/>
      <c r="O2924" s="29"/>
    </row>
    <row r="2925" spans="11:15" ht="12.75">
      <c r="K2925" s="29"/>
      <c r="O2925" s="29"/>
    </row>
    <row r="2926" spans="11:15" ht="12.75">
      <c r="K2926" s="29"/>
      <c r="O2926" s="29"/>
    </row>
    <row r="2927" spans="11:15" ht="12.75">
      <c r="K2927" s="29"/>
      <c r="O2927" s="29"/>
    </row>
    <row r="2928" spans="11:15" ht="12.75">
      <c r="K2928" s="29"/>
      <c r="O2928" s="29"/>
    </row>
    <row r="2929" spans="11:15" ht="12.75">
      <c r="K2929" s="29"/>
      <c r="O2929" s="29"/>
    </row>
    <row r="2930" spans="11:15" ht="12.75">
      <c r="K2930" s="29"/>
      <c r="O2930" s="29"/>
    </row>
    <row r="2931" spans="11:15" ht="12.75">
      <c r="K2931" s="29"/>
      <c r="O2931" s="29"/>
    </row>
    <row r="2932" spans="11:15" ht="12.75">
      <c r="K2932" s="29"/>
      <c r="O2932" s="29"/>
    </row>
    <row r="2933" spans="11:15" ht="12.75">
      <c r="K2933" s="29"/>
      <c r="O2933" s="29"/>
    </row>
    <row r="2934" spans="11:15" ht="12.75">
      <c r="K2934" s="29"/>
      <c r="O2934" s="29"/>
    </row>
    <row r="2935" spans="11:15" ht="12.75">
      <c r="K2935" s="29"/>
      <c r="O2935" s="29"/>
    </row>
    <row r="2936" spans="11:15" ht="12.75">
      <c r="K2936" s="29"/>
      <c r="O2936" s="29"/>
    </row>
    <row r="2937" spans="11:15" ht="12.75">
      <c r="K2937" s="29"/>
      <c r="O2937" s="29"/>
    </row>
    <row r="2938" spans="11:15" ht="12.75">
      <c r="K2938" s="29"/>
      <c r="O2938" s="29"/>
    </row>
    <row r="2939" spans="11:15" ht="12.75">
      <c r="K2939" s="29"/>
      <c r="O2939" s="29"/>
    </row>
    <row r="2940" spans="11:15" ht="12.75">
      <c r="K2940" s="29"/>
      <c r="O2940" s="29"/>
    </row>
    <row r="2941" spans="11:15" ht="12.75">
      <c r="K2941" s="29"/>
      <c r="O2941" s="29"/>
    </row>
    <row r="2942" spans="11:15" ht="12.75">
      <c r="K2942" s="29"/>
      <c r="O2942" s="29"/>
    </row>
    <row r="2943" spans="11:15" ht="12.75">
      <c r="K2943" s="29"/>
      <c r="O2943" s="29"/>
    </row>
    <row r="2944" spans="11:15" ht="12.75">
      <c r="K2944" s="29"/>
      <c r="O2944" s="29"/>
    </row>
    <row r="2945" spans="11:15" ht="12.75">
      <c r="K2945" s="29"/>
      <c r="O2945" s="29"/>
    </row>
    <row r="2946" spans="11:15" ht="12.75">
      <c r="K2946" s="29"/>
      <c r="O2946" s="29"/>
    </row>
    <row r="2947" spans="11:15" ht="12.75">
      <c r="K2947" s="29"/>
      <c r="O2947" s="29"/>
    </row>
    <row r="2948" spans="11:15" ht="12.75">
      <c r="K2948" s="29"/>
      <c r="O2948" s="29"/>
    </row>
    <row r="2949" spans="11:15" ht="12.75">
      <c r="K2949" s="29"/>
      <c r="O2949" s="29"/>
    </row>
    <row r="2950" spans="11:15" ht="12.75">
      <c r="K2950" s="29"/>
      <c r="O2950" s="29"/>
    </row>
    <row r="2951" spans="11:15" ht="12.75">
      <c r="K2951" s="29"/>
      <c r="O2951" s="29"/>
    </row>
    <row r="2952" spans="11:15" ht="12.75">
      <c r="K2952" s="29"/>
      <c r="O2952" s="29"/>
    </row>
    <row r="2953" spans="11:15" ht="12.75">
      <c r="K2953" s="29"/>
      <c r="O2953" s="29"/>
    </row>
    <row r="2954" spans="11:15" ht="12.75">
      <c r="K2954" s="29"/>
      <c r="O2954" s="29"/>
    </row>
    <row r="2955" spans="11:15" ht="12.75">
      <c r="K2955" s="29"/>
      <c r="O2955" s="29"/>
    </row>
    <row r="2956" spans="11:15" ht="12.75">
      <c r="K2956" s="29"/>
      <c r="O2956" s="29"/>
    </row>
    <row r="2957" spans="11:15" ht="12.75">
      <c r="K2957" s="29"/>
      <c r="O2957" s="29"/>
    </row>
    <row r="2958" spans="11:15" ht="12.75">
      <c r="K2958" s="29"/>
      <c r="O2958" s="29"/>
    </row>
    <row r="2959" spans="11:15" ht="12.75">
      <c r="K2959" s="29"/>
      <c r="O2959" s="29"/>
    </row>
    <row r="2960" spans="11:15" ht="12.75">
      <c r="K2960" s="29"/>
      <c r="O2960" s="29"/>
    </row>
    <row r="2961" spans="11:15" ht="12.75">
      <c r="K2961" s="29"/>
      <c r="O2961" s="29"/>
    </row>
    <row r="2962" spans="11:15" ht="12.75">
      <c r="K2962" s="29"/>
      <c r="O2962" s="29"/>
    </row>
    <row r="2963" spans="11:15" ht="12.75">
      <c r="K2963" s="29"/>
      <c r="O2963" s="29"/>
    </row>
    <row r="2964" spans="11:15" ht="12.75">
      <c r="K2964" s="29"/>
      <c r="O2964" s="29"/>
    </row>
    <row r="2965" spans="11:15" ht="12.75">
      <c r="K2965" s="29"/>
      <c r="O2965" s="29"/>
    </row>
    <row r="2966" spans="11:15" ht="12.75">
      <c r="K2966" s="29"/>
      <c r="O2966" s="29"/>
    </row>
    <row r="2967" spans="11:15" ht="12.75">
      <c r="K2967" s="29"/>
      <c r="O2967" s="29"/>
    </row>
    <row r="2968" spans="11:15" ht="12.75">
      <c r="K2968" s="29"/>
      <c r="O2968" s="29"/>
    </row>
    <row r="2969" spans="11:15" ht="12.75">
      <c r="K2969" s="29"/>
      <c r="O2969" s="29"/>
    </row>
    <row r="2970" spans="11:15" ht="12.75">
      <c r="K2970" s="29"/>
      <c r="O2970" s="29"/>
    </row>
    <row r="2971" spans="11:15" ht="12.75">
      <c r="K2971" s="29"/>
      <c r="O2971" s="29"/>
    </row>
    <row r="2972" spans="11:15" ht="12.75">
      <c r="K2972" s="29"/>
      <c r="O2972" s="29"/>
    </row>
    <row r="2973" spans="11:15" ht="12.75">
      <c r="K2973" s="29"/>
      <c r="O2973" s="29"/>
    </row>
    <row r="2974" spans="11:15" ht="12.75">
      <c r="K2974" s="29"/>
      <c r="O2974" s="29"/>
    </row>
    <row r="2975" spans="11:15" ht="12.75">
      <c r="K2975" s="29"/>
      <c r="O2975" s="29"/>
    </row>
    <row r="2976" spans="11:15" ht="12.75">
      <c r="K2976" s="29"/>
      <c r="O2976" s="29"/>
    </row>
    <row r="2977" spans="11:15" ht="12.75">
      <c r="K2977" s="29"/>
      <c r="O2977" s="29"/>
    </row>
    <row r="2978" spans="11:15" ht="12.75">
      <c r="K2978" s="29"/>
      <c r="O2978" s="29"/>
    </row>
    <row r="2979" spans="11:15" ht="12.75">
      <c r="K2979" s="29"/>
      <c r="O2979" s="29"/>
    </row>
    <row r="2980" spans="11:15" ht="12.75">
      <c r="K2980" s="29"/>
      <c r="O2980" s="29"/>
    </row>
    <row r="2981" spans="11:15" ht="12.75">
      <c r="K2981" s="29"/>
      <c r="O2981" s="29"/>
    </row>
    <row r="2982" spans="11:15" ht="12.75">
      <c r="K2982" s="29"/>
      <c r="O2982" s="29"/>
    </row>
    <row r="2983" spans="11:15" ht="12.75">
      <c r="K2983" s="29"/>
      <c r="O2983" s="29"/>
    </row>
    <row r="2984" spans="11:15" ht="12.75">
      <c r="K2984" s="29"/>
      <c r="O2984" s="29"/>
    </row>
    <row r="2985" spans="11:15" ht="12.75">
      <c r="K2985" s="29"/>
      <c r="O2985" s="29"/>
    </row>
    <row r="2986" spans="11:15" ht="12.75">
      <c r="K2986" s="29"/>
      <c r="O2986" s="29"/>
    </row>
    <row r="2987" spans="11:15" ht="12.75">
      <c r="K2987" s="29"/>
      <c r="O2987" s="29"/>
    </row>
    <row r="2988" spans="11:15" ht="12.75">
      <c r="K2988" s="29"/>
      <c r="O2988" s="29"/>
    </row>
    <row r="2989" spans="11:15" ht="12.75">
      <c r="K2989" s="29"/>
      <c r="O2989" s="29"/>
    </row>
    <row r="2990" spans="11:15" ht="12.75">
      <c r="K2990" s="29"/>
      <c r="O2990" s="29"/>
    </row>
    <row r="2991" spans="11:15" ht="12.75">
      <c r="K2991" s="29"/>
      <c r="O2991" s="29"/>
    </row>
    <row r="2992" spans="11:15" ht="12.75">
      <c r="K2992" s="29"/>
      <c r="O2992" s="29"/>
    </row>
    <row r="2993" spans="11:15" ht="12.75">
      <c r="K2993" s="29"/>
      <c r="O2993" s="29"/>
    </row>
    <row r="2994" spans="11:15" ht="12.75">
      <c r="K2994" s="29"/>
      <c r="O2994" s="29"/>
    </row>
    <row r="2995" spans="11:15" ht="12.75">
      <c r="K2995" s="29"/>
      <c r="O2995" s="29"/>
    </row>
    <row r="2996" spans="11:15" ht="12.75">
      <c r="K2996" s="29"/>
      <c r="O2996" s="29"/>
    </row>
    <row r="2997" spans="11:15" ht="12.75">
      <c r="K2997" s="29"/>
      <c r="O2997" s="29"/>
    </row>
    <row r="2998" spans="11:15" ht="12.75">
      <c r="K2998" s="29"/>
      <c r="O2998" s="29"/>
    </row>
    <row r="2999" spans="11:15" ht="12.75">
      <c r="K2999" s="29"/>
      <c r="O2999" s="29"/>
    </row>
    <row r="3000" spans="11:15" ht="12.75">
      <c r="K3000" s="29"/>
      <c r="O3000" s="29"/>
    </row>
    <row r="3001" spans="11:15" ht="12.75">
      <c r="K3001" s="29"/>
      <c r="O3001" s="29"/>
    </row>
    <row r="3002" spans="11:15" ht="12.75">
      <c r="K3002" s="29"/>
      <c r="O3002" s="29"/>
    </row>
    <row r="3003" spans="11:15" ht="12.75">
      <c r="K3003" s="29"/>
      <c r="O3003" s="29"/>
    </row>
    <row r="3004" spans="11:15" ht="12.75">
      <c r="K3004" s="29"/>
      <c r="O3004" s="29"/>
    </row>
    <row r="3005" spans="11:15" ht="12.75">
      <c r="K3005" s="29"/>
      <c r="O3005" s="29"/>
    </row>
    <row r="3006" spans="11:15" ht="12.75">
      <c r="K3006" s="29"/>
      <c r="O3006" s="29"/>
    </row>
    <row r="3007" spans="11:15" ht="12.75">
      <c r="K3007" s="29"/>
      <c r="O3007" s="29"/>
    </row>
    <row r="3008" spans="11:15" ht="12.75">
      <c r="K3008" s="29"/>
      <c r="O3008" s="29"/>
    </row>
    <row r="3009" spans="11:15" ht="12.75">
      <c r="K3009" s="29"/>
      <c r="O3009" s="29"/>
    </row>
    <row r="3010" spans="11:15" ht="12.75">
      <c r="K3010" s="29"/>
      <c r="O3010" s="29"/>
    </row>
    <row r="3011" spans="11:15" ht="12.75">
      <c r="K3011" s="29"/>
      <c r="O3011" s="29"/>
    </row>
    <row r="3012" spans="11:15" ht="12.75">
      <c r="K3012" s="29"/>
      <c r="O3012" s="29"/>
    </row>
    <row r="3013" spans="11:15" ht="12.75">
      <c r="K3013" s="29"/>
      <c r="O3013" s="29"/>
    </row>
    <row r="3014" spans="11:15" ht="12.75">
      <c r="K3014" s="29"/>
      <c r="O3014" s="29"/>
    </row>
    <row r="3015" spans="11:15" ht="12.75">
      <c r="K3015" s="29"/>
      <c r="O3015" s="29"/>
    </row>
    <row r="3016" spans="11:15" ht="12.75">
      <c r="K3016" s="29"/>
      <c r="O3016" s="29"/>
    </row>
    <row r="3017" spans="11:15" ht="12.75">
      <c r="K3017" s="29"/>
      <c r="O3017" s="29"/>
    </row>
    <row r="3018" spans="11:15" ht="12.75">
      <c r="K3018" s="29"/>
      <c r="O3018" s="29"/>
    </row>
    <row r="3019" spans="11:15" ht="12.75">
      <c r="K3019" s="29"/>
      <c r="O3019" s="29"/>
    </row>
    <row r="3020" spans="11:15" ht="12.75">
      <c r="K3020" s="29"/>
      <c r="O3020" s="29"/>
    </row>
    <row r="3021" spans="11:15" ht="12.75">
      <c r="K3021" s="29"/>
      <c r="O3021" s="29"/>
    </row>
    <row r="3022" spans="11:15" ht="12.75">
      <c r="K3022" s="29"/>
      <c r="O3022" s="29"/>
    </row>
    <row r="3023" spans="11:15" ht="12.75">
      <c r="K3023" s="29"/>
      <c r="O3023" s="29"/>
    </row>
    <row r="3024" spans="11:15" ht="12.75">
      <c r="K3024" s="29"/>
      <c r="O3024" s="29"/>
    </row>
    <row r="3025" spans="11:15" ht="12.75">
      <c r="K3025" s="29"/>
      <c r="O3025" s="29"/>
    </row>
    <row r="3026" spans="11:15" ht="12.75">
      <c r="K3026" s="29"/>
      <c r="O3026" s="29"/>
    </row>
    <row r="3027" spans="11:15" ht="12.75">
      <c r="K3027" s="29"/>
      <c r="O3027" s="29"/>
    </row>
    <row r="3028" spans="11:15" ht="12.75">
      <c r="K3028" s="29"/>
      <c r="O3028" s="29"/>
    </row>
    <row r="3029" spans="11:15" ht="12.75">
      <c r="K3029" s="29"/>
      <c r="O3029" s="29"/>
    </row>
    <row r="3030" spans="11:15" ht="12.75">
      <c r="K3030" s="29"/>
      <c r="O3030" s="29"/>
    </row>
    <row r="3031" spans="11:15" ht="12.75">
      <c r="K3031" s="29"/>
      <c r="O3031" s="29"/>
    </row>
    <row r="3032" spans="11:15" ht="12.75">
      <c r="K3032" s="29"/>
      <c r="O3032" s="29"/>
    </row>
    <row r="3033" spans="11:15" ht="12.75">
      <c r="K3033" s="29"/>
      <c r="O3033" s="29"/>
    </row>
    <row r="3034" spans="11:15" ht="12.75">
      <c r="K3034" s="29"/>
      <c r="O3034" s="29"/>
    </row>
    <row r="3035" spans="11:15" ht="12.75">
      <c r="K3035" s="29"/>
      <c r="O3035" s="29"/>
    </row>
    <row r="3036" spans="11:15" ht="12.75">
      <c r="K3036" s="29"/>
      <c r="O3036" s="29"/>
    </row>
    <row r="3037" spans="11:15" ht="12.75">
      <c r="K3037" s="29"/>
      <c r="O3037" s="29"/>
    </row>
    <row r="3038" spans="11:15" ht="12.75">
      <c r="K3038" s="29"/>
      <c r="O3038" s="29"/>
    </row>
    <row r="3039" spans="11:15" ht="12.75">
      <c r="K3039" s="29"/>
      <c r="O3039" s="29"/>
    </row>
    <row r="3040" spans="11:15" ht="12.75">
      <c r="K3040" s="29"/>
      <c r="O3040" s="29"/>
    </row>
    <row r="3041" spans="11:15" ht="12.75">
      <c r="K3041" s="29"/>
      <c r="O3041" s="29"/>
    </row>
    <row r="3042" spans="11:15" ht="12.75">
      <c r="K3042" s="29"/>
      <c r="O3042" s="29"/>
    </row>
    <row r="3043" spans="11:15" ht="12.75">
      <c r="K3043" s="29"/>
      <c r="O3043" s="29"/>
    </row>
    <row r="3044" spans="11:15" ht="12.75">
      <c r="K3044" s="29"/>
      <c r="O3044" s="29"/>
    </row>
    <row r="3045" spans="11:15" ht="12.75">
      <c r="K3045" s="29"/>
      <c r="O3045" s="29"/>
    </row>
    <row r="3046" spans="11:15" ht="12.75">
      <c r="K3046" s="29"/>
      <c r="O3046" s="29"/>
    </row>
    <row r="3047" spans="11:15" ht="12.75">
      <c r="K3047" s="29"/>
      <c r="O3047" s="29"/>
    </row>
    <row r="3048" spans="11:15" ht="12.75">
      <c r="K3048" s="29"/>
      <c r="O3048" s="29"/>
    </row>
    <row r="3049" spans="11:15" ht="12.75">
      <c r="K3049" s="29"/>
      <c r="O3049" s="29"/>
    </row>
    <row r="3050" spans="11:15" ht="12.75">
      <c r="K3050" s="29"/>
      <c r="O3050" s="29"/>
    </row>
    <row r="3051" spans="11:15" ht="12.75">
      <c r="K3051" s="29"/>
      <c r="O3051" s="29"/>
    </row>
    <row r="3052" spans="11:15" ht="12.75">
      <c r="K3052" s="29"/>
      <c r="O3052" s="29"/>
    </row>
    <row r="3053" spans="11:15" ht="12.75">
      <c r="K3053" s="29"/>
      <c r="O3053" s="29"/>
    </row>
    <row r="3054" spans="11:15" ht="12.75">
      <c r="K3054" s="29"/>
      <c r="O3054" s="29"/>
    </row>
    <row r="3055" spans="11:15" ht="12.75">
      <c r="K3055" s="29"/>
      <c r="O3055" s="29"/>
    </row>
    <row r="3056" spans="11:15" ht="12.75">
      <c r="K3056" s="29"/>
      <c r="O3056" s="29"/>
    </row>
    <row r="3057" spans="11:15" ht="12.75">
      <c r="K3057" s="29"/>
      <c r="O3057" s="29"/>
    </row>
    <row r="3058" spans="11:15" ht="12.75">
      <c r="K3058" s="29"/>
      <c r="O3058" s="29"/>
    </row>
    <row r="3059" spans="11:15" ht="12.75">
      <c r="K3059" s="29"/>
      <c r="O3059" s="29"/>
    </row>
    <row r="3060" spans="11:15" ht="12.75">
      <c r="K3060" s="29"/>
      <c r="O3060" s="29"/>
    </row>
    <row r="3061" spans="11:15" ht="12.75">
      <c r="K3061" s="29"/>
      <c r="O3061" s="29"/>
    </row>
    <row r="3062" spans="11:15" ht="12.75">
      <c r="K3062" s="29"/>
      <c r="O3062" s="29"/>
    </row>
    <row r="3063" spans="11:15" ht="12.75">
      <c r="K3063" s="29"/>
      <c r="O3063" s="29"/>
    </row>
    <row r="3064" spans="11:15" ht="12.75">
      <c r="K3064" s="29"/>
      <c r="O3064" s="29"/>
    </row>
    <row r="3065" spans="11:15" ht="12.75">
      <c r="K3065" s="29"/>
      <c r="O3065" s="29"/>
    </row>
    <row r="3066" spans="11:15" ht="12.75">
      <c r="K3066" s="29"/>
      <c r="O3066" s="29"/>
    </row>
    <row r="3067" spans="11:15" ht="12.75">
      <c r="K3067" s="29"/>
      <c r="O3067" s="29"/>
    </row>
    <row r="3068" spans="11:15" ht="12.75">
      <c r="K3068" s="29"/>
      <c r="O3068" s="29"/>
    </row>
    <row r="3069" spans="11:15" ht="12.75">
      <c r="K3069" s="29"/>
      <c r="O3069" s="29"/>
    </row>
    <row r="3070" spans="11:15" ht="12.75">
      <c r="K3070" s="29"/>
      <c r="O3070" s="29"/>
    </row>
    <row r="3071" spans="11:15" ht="12.75">
      <c r="K3071" s="29"/>
      <c r="O3071" s="29"/>
    </row>
    <row r="3072" spans="11:15" ht="12.75">
      <c r="K3072" s="29"/>
      <c r="O3072" s="29"/>
    </row>
    <row r="3073" spans="11:15" ht="12.75">
      <c r="K3073" s="29"/>
      <c r="O3073" s="29"/>
    </row>
    <row r="3074" spans="11:15" ht="12.75">
      <c r="K3074" s="29"/>
      <c r="O3074" s="29"/>
    </row>
    <row r="3075" spans="11:15" ht="12.75">
      <c r="K3075" s="29"/>
      <c r="O3075" s="29"/>
    </row>
    <row r="3076" spans="11:15" ht="12.75">
      <c r="K3076" s="29"/>
      <c r="O3076" s="29"/>
    </row>
    <row r="3077" spans="11:15" ht="12.75">
      <c r="K3077" s="29"/>
      <c r="O3077" s="29"/>
    </row>
    <row r="3078" spans="11:15" ht="12.75">
      <c r="K3078" s="29"/>
      <c r="O3078" s="29"/>
    </row>
    <row r="3079" spans="11:15" ht="12.75">
      <c r="K3079" s="29"/>
      <c r="O3079" s="29"/>
    </row>
    <row r="3080" spans="11:15" ht="12.75">
      <c r="K3080" s="29"/>
      <c r="O3080" s="29"/>
    </row>
    <row r="3081" spans="11:15" ht="12.75">
      <c r="K3081" s="29"/>
      <c r="O3081" s="29"/>
    </row>
    <row r="3082" spans="11:15" ht="12.75">
      <c r="K3082" s="29"/>
      <c r="O3082" s="29"/>
    </row>
    <row r="3083" spans="11:15" ht="12.75">
      <c r="K3083" s="29"/>
      <c r="O3083" s="29"/>
    </row>
    <row r="3084" spans="11:15" ht="12.75">
      <c r="K3084" s="29"/>
      <c r="O3084" s="29"/>
    </row>
    <row r="3085" spans="11:15" ht="12.75">
      <c r="K3085" s="29"/>
      <c r="O3085" s="29"/>
    </row>
    <row r="3086" spans="11:15" ht="12.75">
      <c r="K3086" s="29"/>
      <c r="O3086" s="29"/>
    </row>
    <row r="3087" spans="11:15" ht="12.75">
      <c r="K3087" s="29"/>
      <c r="O3087" s="29"/>
    </row>
    <row r="3088" spans="11:15" ht="12.75">
      <c r="K3088" s="29"/>
      <c r="O3088" s="29"/>
    </row>
    <row r="3089" spans="11:15" ht="12.75">
      <c r="K3089" s="29"/>
      <c r="O3089" s="29"/>
    </row>
    <row r="3090" spans="11:15" ht="12.75">
      <c r="K3090" s="29"/>
      <c r="O3090" s="29"/>
    </row>
    <row r="3091" spans="11:15" ht="12.75">
      <c r="K3091" s="29"/>
      <c r="O3091" s="29"/>
    </row>
    <row r="3092" spans="11:15" ht="12.75">
      <c r="K3092" s="29"/>
      <c r="O3092" s="29"/>
    </row>
    <row r="3093" spans="11:15" ht="12.75">
      <c r="K3093" s="29"/>
      <c r="O3093" s="29"/>
    </row>
    <row r="3094" spans="11:15" ht="12.75">
      <c r="K3094" s="29"/>
      <c r="O3094" s="29"/>
    </row>
    <row r="3095" spans="11:15" ht="12.75">
      <c r="K3095" s="29"/>
      <c r="O3095" s="29"/>
    </row>
    <row r="3096" spans="11:15" ht="12.75">
      <c r="K3096" s="29"/>
      <c r="O3096" s="29"/>
    </row>
    <row r="3097" spans="11:15" ht="12.75">
      <c r="K3097" s="29"/>
      <c r="O3097" s="29"/>
    </row>
    <row r="3098" spans="11:15" ht="12.75">
      <c r="K3098" s="29"/>
      <c r="O3098" s="29"/>
    </row>
    <row r="3099" spans="11:15" ht="12.75">
      <c r="K3099" s="29"/>
      <c r="O3099" s="29"/>
    </row>
    <row r="3100" spans="11:15" ht="12.75">
      <c r="K3100" s="29"/>
      <c r="O3100" s="29"/>
    </row>
    <row r="3101" spans="11:15" ht="12.75">
      <c r="K3101" s="29"/>
      <c r="O3101" s="29"/>
    </row>
    <row r="3102" spans="11:15" ht="12.75">
      <c r="K3102" s="29"/>
      <c r="O3102" s="29"/>
    </row>
    <row r="3103" spans="11:15" ht="12.75">
      <c r="K3103" s="29"/>
      <c r="O3103" s="29"/>
    </row>
    <row r="3104" spans="11:15" ht="12.75">
      <c r="K3104" s="29"/>
      <c r="O3104" s="29"/>
    </row>
    <row r="3105" spans="11:15" ht="12.75">
      <c r="K3105" s="29"/>
      <c r="O3105" s="29"/>
    </row>
    <row r="3106" spans="11:15" ht="12.75">
      <c r="K3106" s="29"/>
      <c r="O3106" s="29"/>
    </row>
    <row r="3107" spans="11:15" ht="12.75">
      <c r="K3107" s="29"/>
      <c r="O3107" s="29"/>
    </row>
    <row r="3108" spans="11:15" ht="12.75">
      <c r="K3108" s="29"/>
      <c r="O3108" s="29"/>
    </row>
    <row r="3109" spans="11:15" ht="12.75">
      <c r="K3109" s="29"/>
      <c r="O3109" s="29"/>
    </row>
    <row r="3110" spans="11:15" ht="12.75">
      <c r="K3110" s="29"/>
      <c r="O3110" s="29"/>
    </row>
    <row r="3111" spans="11:15" ht="12.75">
      <c r="K3111" s="29"/>
      <c r="O3111" s="29"/>
    </row>
    <row r="3112" spans="11:15" ht="12.75">
      <c r="K3112" s="29"/>
      <c r="O3112" s="29"/>
    </row>
    <row r="3113" spans="11:15" ht="12.75">
      <c r="K3113" s="29"/>
      <c r="O3113" s="29"/>
    </row>
    <row r="3114" spans="11:15" ht="12.75">
      <c r="K3114" s="29"/>
      <c r="O3114" s="29"/>
    </row>
    <row r="3115" spans="11:15" ht="12.75">
      <c r="K3115" s="29"/>
      <c r="O3115" s="29"/>
    </row>
    <row r="3116" spans="11:15" ht="12.75">
      <c r="K3116" s="29"/>
      <c r="O3116" s="29"/>
    </row>
    <row r="3117" spans="11:15" ht="12.75">
      <c r="K3117" s="29"/>
      <c r="O3117" s="29"/>
    </row>
    <row r="3118" spans="11:15" ht="12.75">
      <c r="K3118" s="29"/>
      <c r="O3118" s="29"/>
    </row>
    <row r="3119" spans="11:15" ht="12.75">
      <c r="K3119" s="29"/>
      <c r="O3119" s="29"/>
    </row>
    <row r="3120" spans="11:15" ht="12.75">
      <c r="K3120" s="29"/>
      <c r="O3120" s="29"/>
    </row>
    <row r="3121" spans="11:15" ht="12.75">
      <c r="K3121" s="29"/>
      <c r="O3121" s="29"/>
    </row>
    <row r="3122" spans="11:15" ht="12.75">
      <c r="K3122" s="29"/>
      <c r="O3122" s="29"/>
    </row>
    <row r="3123" spans="11:15" ht="12.75">
      <c r="K3123" s="29"/>
      <c r="O3123" s="29"/>
    </row>
    <row r="3124" spans="11:15" ht="12.75">
      <c r="K3124" s="29"/>
      <c r="O3124" s="29"/>
    </row>
    <row r="3125" spans="11:15" ht="12.75">
      <c r="K3125" s="29"/>
      <c r="O3125" s="29"/>
    </row>
    <row r="3126" spans="11:15" ht="12.75">
      <c r="K3126" s="29"/>
      <c r="O3126" s="29"/>
    </row>
    <row r="3127" spans="11:15" ht="12.75">
      <c r="K3127" s="29"/>
      <c r="O3127" s="29"/>
    </row>
    <row r="3128" spans="11:15" ht="12.75">
      <c r="K3128" s="29"/>
      <c r="O3128" s="29"/>
    </row>
    <row r="3129" spans="11:15" ht="12.75">
      <c r="K3129" s="29"/>
      <c r="O3129" s="29"/>
    </row>
    <row r="3130" spans="11:15" ht="12.75">
      <c r="K3130" s="29"/>
      <c r="O3130" s="29"/>
    </row>
    <row r="3131" spans="11:15" ht="12.75">
      <c r="K3131" s="29"/>
      <c r="O3131" s="29"/>
    </row>
    <row r="3132" spans="11:15" ht="12.75">
      <c r="K3132" s="29"/>
      <c r="O3132" s="29"/>
    </row>
    <row r="3133" spans="11:15" ht="12.75">
      <c r="K3133" s="29"/>
      <c r="O3133" s="29"/>
    </row>
    <row r="3134" spans="11:15" ht="12.75">
      <c r="K3134" s="29"/>
      <c r="O3134" s="29"/>
    </row>
    <row r="3135" spans="11:15" ht="12.75">
      <c r="K3135" s="29"/>
      <c r="O3135" s="29"/>
    </row>
    <row r="3136" spans="11:15" ht="12.75">
      <c r="K3136" s="29"/>
      <c r="O3136" s="29"/>
    </row>
    <row r="3137" spans="11:15" ht="12.75">
      <c r="K3137" s="29"/>
      <c r="O3137" s="29"/>
    </row>
    <row r="3138" spans="11:15" ht="12.75">
      <c r="K3138" s="29"/>
      <c r="O3138" s="29"/>
    </row>
    <row r="3139" spans="11:15" ht="12.75">
      <c r="K3139" s="29"/>
      <c r="O3139" s="29"/>
    </row>
    <row r="3140" spans="11:15" ht="12.75">
      <c r="K3140" s="29"/>
      <c r="O3140" s="29"/>
    </row>
    <row r="3141" spans="11:15" ht="12.75">
      <c r="K3141" s="29"/>
      <c r="O3141" s="29"/>
    </row>
    <row r="3142" spans="11:15" ht="12.75">
      <c r="K3142" s="29"/>
      <c r="O3142" s="29"/>
    </row>
    <row r="3143" spans="11:15" ht="12.75">
      <c r="K3143" s="29"/>
      <c r="O3143" s="29"/>
    </row>
    <row r="3144" spans="11:15" ht="12.75">
      <c r="K3144" s="29"/>
      <c r="O3144" s="29"/>
    </row>
    <row r="3145" spans="11:15" ht="12.75">
      <c r="K3145" s="29"/>
      <c r="O3145" s="29"/>
    </row>
    <row r="3146" spans="11:15" ht="12.75">
      <c r="K3146" s="29"/>
      <c r="O3146" s="29"/>
    </row>
    <row r="3147" spans="11:15" ht="12.75">
      <c r="K3147" s="29"/>
      <c r="O3147" s="29"/>
    </row>
    <row r="3148" spans="11:15" ht="12.75">
      <c r="K3148" s="29"/>
      <c r="O3148" s="29"/>
    </row>
    <row r="3149" spans="11:15" ht="12.75">
      <c r="K3149" s="29"/>
      <c r="O3149" s="29"/>
    </row>
    <row r="3150" spans="11:15" ht="12.75">
      <c r="K3150" s="29"/>
      <c r="O3150" s="29"/>
    </row>
    <row r="3151" spans="11:15" ht="12.75">
      <c r="K3151" s="29"/>
      <c r="O3151" s="29"/>
    </row>
    <row r="3152" spans="11:15" ht="12.75">
      <c r="K3152" s="29"/>
      <c r="O3152" s="29"/>
    </row>
    <row r="3153" spans="11:15" ht="12.75">
      <c r="K3153" s="29"/>
      <c r="O3153" s="29"/>
    </row>
    <row r="3154" spans="11:15" ht="12.75">
      <c r="K3154" s="29"/>
      <c r="O3154" s="29"/>
    </row>
    <row r="3155" spans="11:15" ht="12.75">
      <c r="K3155" s="29"/>
      <c r="O3155" s="29"/>
    </row>
    <row r="3156" spans="11:15" ht="12.75">
      <c r="K3156" s="29"/>
      <c r="O3156" s="29"/>
    </row>
    <row r="3157" spans="11:15" ht="12.75">
      <c r="K3157" s="29"/>
      <c r="O3157" s="29"/>
    </row>
    <row r="3158" spans="11:15" ht="12.75">
      <c r="K3158" s="29"/>
      <c r="O3158" s="29"/>
    </row>
    <row r="3159" spans="11:15" ht="12.75">
      <c r="K3159" s="29"/>
      <c r="O3159" s="29"/>
    </row>
    <row r="3160" spans="11:15" ht="12.75">
      <c r="K3160" s="29"/>
      <c r="O3160" s="29"/>
    </row>
    <row r="3161" spans="11:15" ht="12.75">
      <c r="K3161" s="29"/>
      <c r="O3161" s="29"/>
    </row>
    <row r="3162" spans="11:15" ht="12.75">
      <c r="K3162" s="29"/>
      <c r="O3162" s="29"/>
    </row>
    <row r="3163" spans="11:15" ht="12.75">
      <c r="K3163" s="29"/>
      <c r="O3163" s="29"/>
    </row>
    <row r="3164" spans="11:15" ht="12.75">
      <c r="K3164" s="29"/>
      <c r="O3164" s="29"/>
    </row>
    <row r="3165" spans="11:15" ht="12.75">
      <c r="K3165" s="29"/>
      <c r="O3165" s="29"/>
    </row>
    <row r="3166" spans="11:15" ht="12.75">
      <c r="K3166" s="29"/>
      <c r="O3166" s="29"/>
    </row>
    <row r="3167" spans="11:15" ht="12.75">
      <c r="K3167" s="29"/>
      <c r="O3167" s="29"/>
    </row>
    <row r="3168" spans="11:15" ht="12.75">
      <c r="K3168" s="29"/>
      <c r="O3168" s="29"/>
    </row>
    <row r="3169" spans="11:15" ht="12.75">
      <c r="K3169" s="29"/>
      <c r="O3169" s="29"/>
    </row>
    <row r="3170" spans="11:15" ht="12.75">
      <c r="K3170" s="29"/>
      <c r="O3170" s="29"/>
    </row>
    <row r="3171" spans="11:15" ht="12.75">
      <c r="K3171" s="29"/>
      <c r="O3171" s="29"/>
    </row>
    <row r="3172" spans="11:15" ht="12.75">
      <c r="K3172" s="29"/>
      <c r="O3172" s="29"/>
    </row>
    <row r="3173" spans="11:15" ht="12.75">
      <c r="K3173" s="29"/>
      <c r="O3173" s="29"/>
    </row>
    <row r="3174" spans="11:15" ht="12.75">
      <c r="K3174" s="29"/>
      <c r="O3174" s="29"/>
    </row>
    <row r="3175" spans="11:15" ht="12.75">
      <c r="K3175" s="29"/>
      <c r="O3175" s="29"/>
    </row>
    <row r="3176" spans="11:15" ht="12.75">
      <c r="K3176" s="29"/>
      <c r="O3176" s="29"/>
    </row>
    <row r="3177" spans="11:15" ht="12.75">
      <c r="K3177" s="29"/>
      <c r="O3177" s="29"/>
    </row>
    <row r="3178" spans="11:15" ht="12.75">
      <c r="K3178" s="29"/>
      <c r="O3178" s="29"/>
    </row>
    <row r="3179" spans="11:15" ht="12.75">
      <c r="K3179" s="29"/>
      <c r="O3179" s="29"/>
    </row>
    <row r="3180" spans="11:15" ht="12.75">
      <c r="K3180" s="29"/>
      <c r="O3180" s="29"/>
    </row>
    <row r="3181" spans="11:15" ht="12.75">
      <c r="K3181" s="29"/>
      <c r="O3181" s="29"/>
    </row>
    <row r="3182" spans="11:15" ht="12.75">
      <c r="K3182" s="29"/>
      <c r="O3182" s="29"/>
    </row>
    <row r="3183" spans="11:15" ht="12.75">
      <c r="K3183" s="29"/>
      <c r="O3183" s="29"/>
    </row>
    <row r="3184" spans="11:15" ht="12.75">
      <c r="K3184" s="29"/>
      <c r="O3184" s="29"/>
    </row>
    <row r="3185" spans="11:15" ht="12.75">
      <c r="K3185" s="29"/>
      <c r="O3185" s="29"/>
    </row>
    <row r="3186" spans="11:15" ht="12.75">
      <c r="K3186" s="29"/>
      <c r="O3186" s="29"/>
    </row>
    <row r="3187" spans="11:15" ht="12.75">
      <c r="K3187" s="29"/>
      <c r="O3187" s="29"/>
    </row>
    <row r="3188" spans="11:15" ht="12.75">
      <c r="K3188" s="29"/>
      <c r="O3188" s="29"/>
    </row>
    <row r="3189" spans="11:15" ht="12.75">
      <c r="K3189" s="29"/>
      <c r="O3189" s="29"/>
    </row>
    <row r="3190" spans="11:15" ht="12.75">
      <c r="K3190" s="29"/>
      <c r="O3190" s="29"/>
    </row>
    <row r="3191" spans="11:15" ht="12.75">
      <c r="K3191" s="29"/>
      <c r="O3191" s="29"/>
    </row>
    <row r="3192" spans="11:15" ht="12.75">
      <c r="K3192" s="29"/>
      <c r="O3192" s="29"/>
    </row>
    <row r="3193" spans="11:15" ht="12.75">
      <c r="K3193" s="29"/>
      <c r="O3193" s="29"/>
    </row>
    <row r="3194" spans="11:15" ht="12.75">
      <c r="K3194" s="29"/>
      <c r="O3194" s="29"/>
    </row>
    <row r="3195" spans="11:15" ht="12.75">
      <c r="K3195" s="29"/>
      <c r="O3195" s="29"/>
    </row>
    <row r="3196" spans="11:15" ht="12.75">
      <c r="K3196" s="29"/>
      <c r="O3196" s="29"/>
    </row>
    <row r="3197" spans="11:15" ht="12.75">
      <c r="K3197" s="29"/>
      <c r="O3197" s="29"/>
    </row>
    <row r="3198" spans="11:15" ht="12.75">
      <c r="K3198" s="29"/>
      <c r="O3198" s="29"/>
    </row>
    <row r="3199" spans="11:15" ht="12.75">
      <c r="K3199" s="29"/>
      <c r="O3199" s="29"/>
    </row>
    <row r="3200" spans="11:15" ht="12.75">
      <c r="K3200" s="29"/>
      <c r="O3200" s="29"/>
    </row>
    <row r="3201" spans="11:15" ht="12.75">
      <c r="K3201" s="29"/>
      <c r="O3201" s="29"/>
    </row>
    <row r="3202" spans="11:15" ht="12.75">
      <c r="K3202" s="29"/>
      <c r="O3202" s="29"/>
    </row>
    <row r="3203" spans="11:15" ht="12.75">
      <c r="K3203" s="29"/>
      <c r="O3203" s="29"/>
    </row>
    <row r="3204" spans="11:15" ht="12.75">
      <c r="K3204" s="29"/>
      <c r="O3204" s="29"/>
    </row>
    <row r="3205" spans="11:15" ht="12.75">
      <c r="K3205" s="29"/>
      <c r="O3205" s="29"/>
    </row>
    <row r="3206" spans="11:15" ht="12.75">
      <c r="K3206" s="29"/>
      <c r="O3206" s="29"/>
    </row>
    <row r="3207" spans="11:15" ht="12.75">
      <c r="K3207" s="29"/>
      <c r="O3207" s="29"/>
    </row>
    <row r="3208" spans="11:15" ht="12.75">
      <c r="K3208" s="29"/>
      <c r="O3208" s="29"/>
    </row>
    <row r="3209" spans="11:15" ht="12.75">
      <c r="K3209" s="29"/>
      <c r="O3209" s="29"/>
    </row>
    <row r="3210" spans="11:15" ht="12.75">
      <c r="K3210" s="29"/>
      <c r="O3210" s="29"/>
    </row>
    <row r="3211" spans="11:15" ht="12.75">
      <c r="K3211" s="29"/>
      <c r="O3211" s="29"/>
    </row>
    <row r="3212" spans="11:15" ht="12.75">
      <c r="K3212" s="29"/>
      <c r="O3212" s="29"/>
    </row>
    <row r="3213" spans="11:15" ht="12.75">
      <c r="K3213" s="29"/>
      <c r="O3213" s="29"/>
    </row>
    <row r="3214" spans="11:15" ht="12.75">
      <c r="K3214" s="29"/>
      <c r="O3214" s="29"/>
    </row>
    <row r="3215" spans="11:15" ht="12.75">
      <c r="K3215" s="29"/>
      <c r="O3215" s="29"/>
    </row>
    <row r="3216" spans="11:15" ht="12.75">
      <c r="K3216" s="29"/>
      <c r="O3216" s="29"/>
    </row>
    <row r="3217" spans="11:15" ht="12.75">
      <c r="K3217" s="29"/>
      <c r="O3217" s="29"/>
    </row>
    <row r="3218" spans="11:15" ht="12.75">
      <c r="K3218" s="29"/>
      <c r="O3218" s="29"/>
    </row>
    <row r="3219" spans="11:15" ht="12.75">
      <c r="K3219" s="29"/>
      <c r="O3219" s="29"/>
    </row>
    <row r="3220" spans="11:15" ht="12.75">
      <c r="K3220" s="29"/>
      <c r="O3220" s="29"/>
    </row>
    <row r="3221" spans="11:15" ht="12.75">
      <c r="K3221" s="29"/>
      <c r="O3221" s="29"/>
    </row>
    <row r="3222" spans="11:15" ht="12.75">
      <c r="K3222" s="29"/>
      <c r="O3222" s="29"/>
    </row>
    <row r="3223" spans="11:15" ht="12.75">
      <c r="K3223" s="29"/>
      <c r="O3223" s="29"/>
    </row>
    <row r="3224" spans="11:15" ht="12.75">
      <c r="K3224" s="29"/>
      <c r="O3224" s="29"/>
    </row>
    <row r="3225" spans="11:15" ht="12.75">
      <c r="K3225" s="29"/>
      <c r="O3225" s="29"/>
    </row>
    <row r="3226" spans="11:15" ht="12.75">
      <c r="K3226" s="29"/>
      <c r="O3226" s="29"/>
    </row>
    <row r="3227" spans="11:15" ht="12.75">
      <c r="K3227" s="29"/>
      <c r="O3227" s="29"/>
    </row>
    <row r="3228" spans="11:15" ht="12.75">
      <c r="K3228" s="29"/>
      <c r="O3228" s="29"/>
    </row>
    <row r="3229" spans="11:15" ht="12.75">
      <c r="K3229" s="29"/>
      <c r="O3229" s="29"/>
    </row>
    <row r="3230" spans="11:15" ht="12.75">
      <c r="K3230" s="29"/>
      <c r="O3230" s="29"/>
    </row>
    <row r="3231" spans="11:15" ht="12.75">
      <c r="K3231" s="29"/>
      <c r="O3231" s="29"/>
    </row>
    <row r="3232" spans="11:15" ht="12.75">
      <c r="K3232" s="29"/>
      <c r="O3232" s="29"/>
    </row>
    <row r="3233" spans="11:15" ht="12.75">
      <c r="K3233" s="29"/>
      <c r="O3233" s="29"/>
    </row>
    <row r="3234" spans="11:15" ht="12.75">
      <c r="K3234" s="29"/>
      <c r="O3234" s="29"/>
    </row>
    <row r="3235" spans="11:15" ht="12.75">
      <c r="K3235" s="29"/>
      <c r="O3235" s="29"/>
    </row>
    <row r="3236" spans="11:15" ht="12.75">
      <c r="K3236" s="29"/>
      <c r="O3236" s="29"/>
    </row>
    <row r="3237" spans="11:15" ht="12.75">
      <c r="K3237" s="29"/>
      <c r="O3237" s="29"/>
    </row>
    <row r="3238" spans="11:15" ht="12.75">
      <c r="K3238" s="29"/>
      <c r="O3238" s="29"/>
    </row>
    <row r="3239" spans="11:15" ht="12.75">
      <c r="K3239" s="29"/>
      <c r="O3239" s="29"/>
    </row>
    <row r="3240" spans="11:15" ht="12.75">
      <c r="K3240" s="29"/>
      <c r="O3240" s="29"/>
    </row>
    <row r="3241" spans="11:15" ht="12.75">
      <c r="K3241" s="29"/>
      <c r="O3241" s="29"/>
    </row>
    <row r="3242" spans="11:15" ht="12.75">
      <c r="K3242" s="29"/>
      <c r="O3242" s="29"/>
    </row>
    <row r="3243" spans="11:15" ht="12.75">
      <c r="K3243" s="29"/>
      <c r="O3243" s="29"/>
    </row>
    <row r="3244" spans="11:15" ht="12.75">
      <c r="K3244" s="29"/>
      <c r="O3244" s="29"/>
    </row>
    <row r="3245" spans="11:15" ht="12.75">
      <c r="K3245" s="29"/>
      <c r="O3245" s="29"/>
    </row>
    <row r="3246" spans="11:15" ht="12.75">
      <c r="K3246" s="29"/>
      <c r="O3246" s="29"/>
    </row>
    <row r="3247" spans="11:15" ht="12.75">
      <c r="K3247" s="29"/>
      <c r="O3247" s="29"/>
    </row>
    <row r="3248" spans="11:15" ht="12.75">
      <c r="K3248" s="29"/>
      <c r="O3248" s="29"/>
    </row>
    <row r="3249" spans="11:15" ht="12.75">
      <c r="K3249" s="29"/>
      <c r="O3249" s="29"/>
    </row>
    <row r="3250" spans="11:15" ht="12.75">
      <c r="K3250" s="29"/>
      <c r="O3250" s="29"/>
    </row>
    <row r="3251" spans="11:15" ht="12.75">
      <c r="K3251" s="29"/>
      <c r="O3251" s="29"/>
    </row>
    <row r="3252" spans="11:15" ht="12.75">
      <c r="K3252" s="29"/>
      <c r="O3252" s="29"/>
    </row>
    <row r="3253" spans="11:15" ht="12.75">
      <c r="K3253" s="29"/>
      <c r="O3253" s="29"/>
    </row>
    <row r="3254" spans="11:15" ht="12.75">
      <c r="K3254" s="29"/>
      <c r="O3254" s="29"/>
    </row>
    <row r="3255" spans="11:15" ht="12.75">
      <c r="K3255" s="29"/>
      <c r="O3255" s="29"/>
    </row>
    <row r="3256" spans="11:15" ht="12.75">
      <c r="K3256" s="29"/>
      <c r="O3256" s="29"/>
    </row>
    <row r="3257" spans="11:15" ht="12.75">
      <c r="K3257" s="29"/>
      <c r="O3257" s="29"/>
    </row>
    <row r="3258" spans="11:15" ht="12.75">
      <c r="K3258" s="29"/>
      <c r="O3258" s="29"/>
    </row>
    <row r="3259" spans="11:15" ht="12.75">
      <c r="K3259" s="29"/>
      <c r="O3259" s="29"/>
    </row>
    <row r="3260" spans="11:15" ht="12.75">
      <c r="K3260" s="29"/>
      <c r="O3260" s="29"/>
    </row>
    <row r="3261" spans="11:15" ht="12.75">
      <c r="K3261" s="29"/>
      <c r="O3261" s="29"/>
    </row>
    <row r="3262" spans="11:15" ht="12.75">
      <c r="K3262" s="29"/>
      <c r="O3262" s="29"/>
    </row>
    <row r="3263" spans="11:15" ht="12.75">
      <c r="K3263" s="29"/>
      <c r="O3263" s="29"/>
    </row>
    <row r="3264" spans="11:15" ht="12.75">
      <c r="K3264" s="29"/>
      <c r="O3264" s="29"/>
    </row>
    <row r="3265" spans="11:15" ht="12.75">
      <c r="K3265" s="29"/>
      <c r="O3265" s="29"/>
    </row>
    <row r="3266" spans="11:15" ht="12.75">
      <c r="K3266" s="29"/>
      <c r="O3266" s="29"/>
    </row>
    <row r="3267" spans="11:15" ht="12.75">
      <c r="K3267" s="29"/>
      <c r="O3267" s="29"/>
    </row>
    <row r="3268" spans="11:15" ht="12.75">
      <c r="K3268" s="29"/>
      <c r="O3268" s="29"/>
    </row>
    <row r="3269" spans="11:15" ht="12.75">
      <c r="K3269" s="29"/>
      <c r="O3269" s="29"/>
    </row>
    <row r="3270" spans="11:15" ht="12.75">
      <c r="K3270" s="29"/>
      <c r="O3270" s="29"/>
    </row>
    <row r="3271" spans="11:15" ht="12.75">
      <c r="K3271" s="29"/>
      <c r="O3271" s="29"/>
    </row>
    <row r="3272" spans="11:15" ht="12.75">
      <c r="K3272" s="29"/>
      <c r="O3272" s="29"/>
    </row>
    <row r="3273" spans="11:15" ht="12.75">
      <c r="K3273" s="29"/>
      <c r="O3273" s="29"/>
    </row>
    <row r="3274" spans="11:15" ht="12.75">
      <c r="K3274" s="29"/>
      <c r="O3274" s="29"/>
    </row>
    <row r="3275" spans="11:15" ht="12.75">
      <c r="K3275" s="29"/>
      <c r="O3275" s="29"/>
    </row>
    <row r="3276" spans="11:15" ht="12.75">
      <c r="K3276" s="29"/>
      <c r="O3276" s="29"/>
    </row>
    <row r="3277" spans="11:15" ht="12.75">
      <c r="K3277" s="29"/>
      <c r="O3277" s="29"/>
    </row>
    <row r="3278" spans="11:15" ht="12.75">
      <c r="K3278" s="29"/>
      <c r="O3278" s="29"/>
    </row>
    <row r="3279" spans="11:15" ht="12.75">
      <c r="K3279" s="29"/>
      <c r="O3279" s="29"/>
    </row>
    <row r="3280" spans="11:15" ht="12.75">
      <c r="K3280" s="29"/>
      <c r="O3280" s="29"/>
    </row>
    <row r="3281" spans="11:15" ht="12.75">
      <c r="K3281" s="29"/>
      <c r="O3281" s="29"/>
    </row>
    <row r="3282" spans="11:15" ht="12.75">
      <c r="K3282" s="29"/>
      <c r="O3282" s="29"/>
    </row>
    <row r="3283" spans="11:15" ht="12.75">
      <c r="K3283" s="29"/>
      <c r="O3283" s="29"/>
    </row>
    <row r="3284" spans="11:15" ht="12.75">
      <c r="K3284" s="29"/>
      <c r="O3284" s="29"/>
    </row>
    <row r="3285" spans="11:15" ht="12.75">
      <c r="K3285" s="29"/>
      <c r="O3285" s="29"/>
    </row>
    <row r="3286" spans="11:15" ht="12.75">
      <c r="K3286" s="29"/>
      <c r="O3286" s="29"/>
    </row>
    <row r="3287" spans="11:15" ht="12.75">
      <c r="K3287" s="29"/>
      <c r="O3287" s="29"/>
    </row>
    <row r="3288" spans="11:15" ht="12.75">
      <c r="K3288" s="29"/>
      <c r="O3288" s="29"/>
    </row>
    <row r="3289" spans="11:15" ht="12.75">
      <c r="K3289" s="29"/>
      <c r="O3289" s="29"/>
    </row>
    <row r="3290" spans="11:15" ht="12.75">
      <c r="K3290" s="29"/>
      <c r="O3290" s="29"/>
    </row>
    <row r="3291" spans="11:15" ht="12.75">
      <c r="K3291" s="29"/>
      <c r="O3291" s="29"/>
    </row>
    <row r="3292" spans="11:15" ht="12.75">
      <c r="K3292" s="29"/>
      <c r="O3292" s="29"/>
    </row>
    <row r="3293" spans="11:15" ht="12.75">
      <c r="K3293" s="29"/>
      <c r="O3293" s="29"/>
    </row>
    <row r="3294" spans="11:15" ht="12.75">
      <c r="K3294" s="29"/>
      <c r="O3294" s="29"/>
    </row>
    <row r="3295" spans="11:15" ht="12.75">
      <c r="K3295" s="29"/>
      <c r="O3295" s="29"/>
    </row>
    <row r="3296" spans="11:15" ht="12.75">
      <c r="K3296" s="29"/>
      <c r="O3296" s="29"/>
    </row>
    <row r="3297" spans="11:15" ht="12.75">
      <c r="K3297" s="29"/>
      <c r="O3297" s="29"/>
    </row>
    <row r="3298" spans="11:15" ht="12.75">
      <c r="K3298" s="29"/>
      <c r="O3298" s="29"/>
    </row>
    <row r="3299" spans="11:15" ht="12.75">
      <c r="K3299" s="29"/>
      <c r="O3299" s="29"/>
    </row>
    <row r="3300" spans="11:15" ht="12.75">
      <c r="K3300" s="29"/>
      <c r="O3300" s="29"/>
    </row>
    <row r="3301" spans="11:15" ht="12.75">
      <c r="K3301" s="29"/>
      <c r="O3301" s="29"/>
    </row>
    <row r="3302" spans="11:15" ht="12.75">
      <c r="K3302" s="29"/>
      <c r="O3302" s="29"/>
    </row>
    <row r="3303" spans="11:15" ht="12.75">
      <c r="K3303" s="29"/>
      <c r="O3303" s="29"/>
    </row>
    <row r="3304" spans="11:15" ht="12.75">
      <c r="K3304" s="29"/>
      <c r="O3304" s="29"/>
    </row>
    <row r="3305" spans="11:15" ht="12.75">
      <c r="K3305" s="29"/>
      <c r="O3305" s="29"/>
    </row>
    <row r="3306" spans="11:15" ht="12.75">
      <c r="K3306" s="29"/>
      <c r="O3306" s="29"/>
    </row>
    <row r="3307" spans="11:15" ht="12.75">
      <c r="K3307" s="29"/>
      <c r="O3307" s="29"/>
    </row>
    <row r="3308" spans="11:15" ht="12.75">
      <c r="K3308" s="29"/>
      <c r="O3308" s="29"/>
    </row>
    <row r="3309" spans="11:15" ht="12.75">
      <c r="K3309" s="29"/>
      <c r="O3309" s="29"/>
    </row>
    <row r="3310" spans="11:15" ht="12.75">
      <c r="K3310" s="29"/>
      <c r="O3310" s="29"/>
    </row>
    <row r="3311" spans="11:15" ht="12.75">
      <c r="K3311" s="29"/>
      <c r="O3311" s="29"/>
    </row>
    <row r="3312" spans="11:15" ht="12.75">
      <c r="K3312" s="29"/>
      <c r="O3312" s="29"/>
    </row>
    <row r="3313" spans="11:15" ht="12.75">
      <c r="K3313" s="29"/>
      <c r="O3313" s="29"/>
    </row>
    <row r="3314" spans="11:15" ht="12.75">
      <c r="K3314" s="29"/>
      <c r="O3314" s="29"/>
    </row>
    <row r="3315" spans="11:15" ht="12.75">
      <c r="K3315" s="29"/>
      <c r="O3315" s="29"/>
    </row>
    <row r="3316" spans="11:15" ht="12.75">
      <c r="K3316" s="29"/>
      <c r="O3316" s="29"/>
    </row>
    <row r="3317" spans="11:15" ht="12.75">
      <c r="K3317" s="29"/>
      <c r="O3317" s="29"/>
    </row>
    <row r="3318" spans="11:15" ht="12.75">
      <c r="K3318" s="29"/>
      <c r="O3318" s="29"/>
    </row>
    <row r="3319" spans="11:15" ht="12.75">
      <c r="K3319" s="29"/>
      <c r="O3319" s="29"/>
    </row>
    <row r="3320" spans="11:15" ht="12.75">
      <c r="K3320" s="29"/>
      <c r="O3320" s="29"/>
    </row>
    <row r="3321" spans="11:15" ht="12.75">
      <c r="K3321" s="29"/>
      <c r="O3321" s="29"/>
    </row>
    <row r="3322" spans="11:15" ht="12.75">
      <c r="K3322" s="29"/>
      <c r="O3322" s="29"/>
    </row>
    <row r="3323" spans="11:15" ht="12.75">
      <c r="K3323" s="29"/>
      <c r="O3323" s="29"/>
    </row>
    <row r="3324" spans="11:15" ht="12.75">
      <c r="K3324" s="29"/>
      <c r="O3324" s="29"/>
    </row>
    <row r="3325" spans="11:15" ht="12.75">
      <c r="K3325" s="29"/>
      <c r="O3325" s="29"/>
    </row>
    <row r="3326" spans="11:15" ht="12.75">
      <c r="K3326" s="29"/>
      <c r="O3326" s="29"/>
    </row>
    <row r="3327" spans="11:15" ht="12.75">
      <c r="K3327" s="29"/>
      <c r="O3327" s="29"/>
    </row>
    <row r="3328" spans="11:15" ht="12.75">
      <c r="K3328" s="29"/>
      <c r="O3328" s="29"/>
    </row>
    <row r="3329" spans="11:15" ht="12.75">
      <c r="K3329" s="29"/>
      <c r="O3329" s="29"/>
    </row>
    <row r="3330" spans="11:15" ht="12.75">
      <c r="K3330" s="29"/>
      <c r="O3330" s="29"/>
    </row>
    <row r="3331" spans="11:15" ht="12.75">
      <c r="K3331" s="29"/>
      <c r="O3331" s="29"/>
    </row>
    <row r="3332" spans="11:15" ht="12.75">
      <c r="K3332" s="29"/>
      <c r="O3332" s="29"/>
    </row>
    <row r="3333" spans="11:15" ht="12.75">
      <c r="K3333" s="29"/>
      <c r="O3333" s="29"/>
    </row>
    <row r="3334" spans="11:15" ht="12.75">
      <c r="K3334" s="29"/>
      <c r="O3334" s="29"/>
    </row>
    <row r="3335" spans="11:15" ht="12.75">
      <c r="K3335" s="29"/>
      <c r="O3335" s="29"/>
    </row>
    <row r="3336" spans="11:15" ht="12.75">
      <c r="K3336" s="29"/>
      <c r="O3336" s="29"/>
    </row>
    <row r="3337" spans="11:15" ht="12.75">
      <c r="K3337" s="29"/>
      <c r="O3337" s="29"/>
    </row>
    <row r="3338" spans="11:15" ht="12.75">
      <c r="K3338" s="29"/>
      <c r="O3338" s="29"/>
    </row>
    <row r="3339" spans="11:15" ht="12.75">
      <c r="K3339" s="29"/>
      <c r="O3339" s="29"/>
    </row>
    <row r="3340" spans="11:15" ht="12.75">
      <c r="K3340" s="29"/>
      <c r="O3340" s="29"/>
    </row>
    <row r="3341" spans="11:15" ht="12.75">
      <c r="K3341" s="29"/>
      <c r="O3341" s="29"/>
    </row>
    <row r="3342" spans="11:15" ht="12.75">
      <c r="K3342" s="29"/>
      <c r="O3342" s="29"/>
    </row>
    <row r="3343" spans="11:15" ht="12.75">
      <c r="K3343" s="29"/>
      <c r="O3343" s="29"/>
    </row>
    <row r="3344" spans="11:15" ht="12.75">
      <c r="K3344" s="29"/>
      <c r="O3344" s="29"/>
    </row>
    <row r="3345" spans="11:15" ht="12.75">
      <c r="K3345" s="29"/>
      <c r="O3345" s="29"/>
    </row>
    <row r="3346" spans="11:15" ht="12.75">
      <c r="K3346" s="29"/>
      <c r="O3346" s="29"/>
    </row>
    <row r="3347" spans="11:15" ht="12.75">
      <c r="K3347" s="29"/>
      <c r="O3347" s="29"/>
    </row>
    <row r="3348" spans="11:15" ht="12.75">
      <c r="K3348" s="29"/>
      <c r="O3348" s="29"/>
    </row>
    <row r="3349" spans="11:15" ht="12.75">
      <c r="K3349" s="29"/>
      <c r="O3349" s="29"/>
    </row>
    <row r="3350" spans="11:15" ht="12.75">
      <c r="K3350" s="29"/>
      <c r="O3350" s="29"/>
    </row>
    <row r="3351" spans="11:15" ht="12.75">
      <c r="K3351" s="29"/>
      <c r="O3351" s="29"/>
    </row>
    <row r="3352" spans="11:15" ht="12.75">
      <c r="K3352" s="29"/>
      <c r="O3352" s="29"/>
    </row>
    <row r="3353" spans="11:15" ht="12.75">
      <c r="K3353" s="29"/>
      <c r="O3353" s="29"/>
    </row>
    <row r="3354" spans="11:15" ht="12.75">
      <c r="K3354" s="29"/>
      <c r="O3354" s="29"/>
    </row>
    <row r="3355" spans="11:15" ht="12.75">
      <c r="K3355" s="29"/>
      <c r="O3355" s="29"/>
    </row>
    <row r="3356" spans="11:15" ht="12.75">
      <c r="K3356" s="29"/>
      <c r="O3356" s="29"/>
    </row>
    <row r="3357" spans="11:15" ht="12.75">
      <c r="K3357" s="29"/>
      <c r="O3357" s="29"/>
    </row>
    <row r="3358" spans="11:15" ht="12.75">
      <c r="K3358" s="29"/>
      <c r="O3358" s="29"/>
    </row>
    <row r="3359" spans="11:15" ht="12.75">
      <c r="K3359" s="29"/>
      <c r="O3359" s="29"/>
    </row>
    <row r="3360" spans="11:15" ht="12.75">
      <c r="K3360" s="29"/>
      <c r="O3360" s="29"/>
    </row>
    <row r="3361" spans="11:15" ht="12.75">
      <c r="K3361" s="29"/>
      <c r="O3361" s="29"/>
    </row>
    <row r="3362" spans="11:15" ht="12.75">
      <c r="K3362" s="29"/>
      <c r="O3362" s="29"/>
    </row>
    <row r="3363" ht="12.75">
      <c r="O3363" s="29"/>
    </row>
    <row r="3364" ht="12.75">
      <c r="O3364" s="29"/>
    </row>
    <row r="3365" ht="12.75">
      <c r="O3365" s="29"/>
    </row>
    <row r="3366" ht="12.75">
      <c r="O3366" s="29"/>
    </row>
    <row r="3367" ht="12.75">
      <c r="O3367" s="29"/>
    </row>
    <row r="3368" ht="12.75">
      <c r="O3368" s="29"/>
    </row>
    <row r="3369" ht="12.75">
      <c r="O3369" s="29"/>
    </row>
    <row r="3370" ht="12.75">
      <c r="O3370" s="29"/>
    </row>
    <row r="3371" ht="12.75">
      <c r="O3371" s="29"/>
    </row>
    <row r="3372" ht="12.75">
      <c r="O3372" s="29"/>
    </row>
    <row r="3373" ht="12.75">
      <c r="O3373" s="29"/>
    </row>
    <row r="3374" ht="12.75">
      <c r="O3374" s="29"/>
    </row>
    <row r="3375" ht="12.75">
      <c r="O3375" s="29"/>
    </row>
    <row r="3376" ht="12.75">
      <c r="O3376" s="29"/>
    </row>
    <row r="3377" ht="12.75">
      <c r="O3377" s="29"/>
    </row>
    <row r="3378" ht="12.75">
      <c r="O3378" s="29"/>
    </row>
    <row r="3379" ht="12.75">
      <c r="O3379" s="29"/>
    </row>
    <row r="3380" ht="12.75">
      <c r="O3380" s="29"/>
    </row>
    <row r="3381" ht="12.75">
      <c r="O3381" s="29"/>
    </row>
    <row r="3382" ht="12.75">
      <c r="O3382" s="29"/>
    </row>
    <row r="3383" ht="12.75">
      <c r="O3383" s="29"/>
    </row>
    <row r="3384" ht="12.75">
      <c r="O3384" s="29"/>
    </row>
    <row r="3385" ht="12.75">
      <c r="O3385" s="29"/>
    </row>
    <row r="3386" ht="12.75">
      <c r="O3386" s="29"/>
    </row>
    <row r="3387" ht="12.75">
      <c r="O3387" s="29"/>
    </row>
    <row r="3388" ht="12.75">
      <c r="O3388" s="29"/>
    </row>
    <row r="3389" ht="12.75">
      <c r="O3389" s="29"/>
    </row>
    <row r="3390" ht="12.75">
      <c r="O3390" s="29"/>
    </row>
    <row r="3391" ht="12.75">
      <c r="O3391" s="29"/>
    </row>
    <row r="3392" ht="12.75">
      <c r="O3392" s="29"/>
    </row>
    <row r="3393" ht="12.75">
      <c r="O3393" s="29"/>
    </row>
    <row r="3394" ht="12.75">
      <c r="O3394" s="29"/>
    </row>
    <row r="3395" ht="12.75">
      <c r="O3395" s="29"/>
    </row>
    <row r="3396" ht="12.75">
      <c r="O3396" s="29"/>
    </row>
    <row r="3397" ht="12.75">
      <c r="O3397" s="29"/>
    </row>
    <row r="3398" ht="12.75">
      <c r="O3398" s="29"/>
    </row>
    <row r="3399" ht="12.75">
      <c r="O3399" s="29"/>
    </row>
    <row r="3400" ht="12.75">
      <c r="O3400" s="29"/>
    </row>
    <row r="3401" ht="12.75">
      <c r="O3401" s="29"/>
    </row>
    <row r="3402" ht="12.75">
      <c r="O3402" s="29"/>
    </row>
    <row r="3403" ht="12.75">
      <c r="O3403" s="29"/>
    </row>
    <row r="3404" ht="12.75">
      <c r="O3404" s="29"/>
    </row>
    <row r="3405" ht="12.75">
      <c r="O3405" s="29"/>
    </row>
    <row r="3406" ht="12.75">
      <c r="O3406" s="29"/>
    </row>
    <row r="3407" ht="12.75">
      <c r="O3407" s="29"/>
    </row>
    <row r="3408" ht="12.75">
      <c r="O3408" s="29"/>
    </row>
    <row r="3409" ht="12.75">
      <c r="O3409" s="29"/>
    </row>
    <row r="3410" ht="12.75">
      <c r="O3410" s="29"/>
    </row>
    <row r="3411" ht="12.75">
      <c r="O3411" s="29"/>
    </row>
    <row r="3412" ht="12.75">
      <c r="O3412" s="29"/>
    </row>
    <row r="3413" ht="12.75">
      <c r="O3413" s="29"/>
    </row>
    <row r="3414" ht="12.75">
      <c r="O3414" s="29"/>
    </row>
    <row r="3415" ht="12.75">
      <c r="O3415" s="29"/>
    </row>
    <row r="3416" ht="12.75">
      <c r="O3416" s="29"/>
    </row>
    <row r="3417" ht="12.75">
      <c r="O3417" s="29"/>
    </row>
    <row r="3418" ht="12.75">
      <c r="O3418" s="29"/>
    </row>
    <row r="3419" ht="12.75">
      <c r="O3419" s="29"/>
    </row>
    <row r="3420" ht="12.75">
      <c r="O3420" s="29"/>
    </row>
    <row r="3421" ht="12.75">
      <c r="O3421" s="29"/>
    </row>
    <row r="3422" ht="12.75">
      <c r="O3422" s="29"/>
    </row>
    <row r="3423" ht="12.75">
      <c r="O3423" s="29"/>
    </row>
    <row r="3424" ht="12.75">
      <c r="O3424" s="29"/>
    </row>
    <row r="3425" ht="12.75">
      <c r="O3425" s="29"/>
    </row>
    <row r="3426" ht="12.75">
      <c r="O3426" s="29"/>
    </row>
    <row r="3427" ht="12.75">
      <c r="O3427" s="29"/>
    </row>
    <row r="3428" ht="12.75">
      <c r="O3428" s="29"/>
    </row>
    <row r="3429" ht="12.75">
      <c r="O3429" s="29"/>
    </row>
    <row r="3430" ht="12.75">
      <c r="O3430" s="29"/>
    </row>
    <row r="3431" ht="12.75">
      <c r="O3431" s="29"/>
    </row>
    <row r="3432" ht="12.75">
      <c r="O3432" s="29"/>
    </row>
    <row r="3433" ht="12.75">
      <c r="O3433" s="29"/>
    </row>
    <row r="3434" ht="12.75">
      <c r="O3434" s="29"/>
    </row>
    <row r="3435" ht="12.75">
      <c r="O3435" s="29"/>
    </row>
    <row r="3436" ht="12.75">
      <c r="O3436" s="29"/>
    </row>
    <row r="3437" ht="12.75">
      <c r="O3437" s="29"/>
    </row>
    <row r="3438" ht="12.75">
      <c r="O3438" s="29"/>
    </row>
    <row r="3439" ht="12.75">
      <c r="O3439" s="29"/>
    </row>
    <row r="3440" ht="12.75">
      <c r="O3440" s="29"/>
    </row>
    <row r="3441" ht="12.75">
      <c r="O3441" s="29"/>
    </row>
    <row r="3442" ht="12.75">
      <c r="O3442" s="29"/>
    </row>
    <row r="3443" ht="12.75">
      <c r="O3443" s="29"/>
    </row>
    <row r="3444" ht="12.75">
      <c r="O3444" s="29"/>
    </row>
    <row r="3445" ht="12.75">
      <c r="O3445" s="29"/>
    </row>
    <row r="3446" ht="12.75">
      <c r="O3446" s="29"/>
    </row>
    <row r="3447" ht="12.75">
      <c r="O3447" s="29"/>
    </row>
    <row r="3448" ht="12.75">
      <c r="O3448" s="29"/>
    </row>
    <row r="3449" ht="12.75">
      <c r="O3449" s="29"/>
    </row>
    <row r="3450" ht="12.75">
      <c r="O3450" s="29"/>
    </row>
    <row r="3451" ht="12.75">
      <c r="O3451" s="29"/>
    </row>
    <row r="3452" ht="12.75">
      <c r="O3452" s="29"/>
    </row>
    <row r="3453" ht="12.75">
      <c r="O3453" s="29"/>
    </row>
    <row r="3454" ht="12.75">
      <c r="O3454" s="29"/>
    </row>
    <row r="3455" ht="12.75">
      <c r="O3455" s="29"/>
    </row>
    <row r="3456" ht="12.75">
      <c r="O3456" s="29"/>
    </row>
    <row r="3457" ht="12.75">
      <c r="O3457" s="29"/>
    </row>
    <row r="3458" ht="12.75">
      <c r="O3458" s="29"/>
    </row>
    <row r="3459" ht="12.75">
      <c r="O3459" s="29"/>
    </row>
    <row r="3460" ht="12.75">
      <c r="O3460" s="29"/>
    </row>
    <row r="3461" ht="12.75">
      <c r="O3461" s="29"/>
    </row>
    <row r="3462" ht="12.75">
      <c r="O3462" s="29"/>
    </row>
    <row r="3463" ht="12.75">
      <c r="O3463" s="29"/>
    </row>
    <row r="3464" ht="12.75">
      <c r="O3464" s="29"/>
    </row>
    <row r="3465" ht="12.75">
      <c r="O3465" s="29"/>
    </row>
    <row r="3466" ht="12.75">
      <c r="O3466" s="29"/>
    </row>
    <row r="3467" ht="12.75">
      <c r="O3467" s="29"/>
    </row>
    <row r="3468" ht="12.75">
      <c r="O3468" s="29"/>
    </row>
    <row r="3469" ht="12.75">
      <c r="O3469" s="29"/>
    </row>
    <row r="3470" ht="12.75">
      <c r="O3470" s="29"/>
    </row>
    <row r="3471" ht="12.75">
      <c r="O3471" s="29"/>
    </row>
    <row r="3472" ht="12.75">
      <c r="O3472" s="29"/>
    </row>
    <row r="3473" ht="12.75">
      <c r="O3473" s="29"/>
    </row>
    <row r="3474" ht="12.75">
      <c r="O3474" s="29"/>
    </row>
    <row r="3475" ht="12.75">
      <c r="O3475" s="29"/>
    </row>
    <row r="3476" ht="12.75">
      <c r="O3476" s="29"/>
    </row>
    <row r="3477" ht="12.75">
      <c r="O3477" s="29"/>
    </row>
    <row r="3478" ht="12.75">
      <c r="O3478" s="29"/>
    </row>
    <row r="3479" ht="12.75">
      <c r="O3479" s="29"/>
    </row>
    <row r="3480" ht="12.75">
      <c r="O3480" s="29"/>
    </row>
    <row r="3481" ht="12.75">
      <c r="O3481" s="29"/>
    </row>
    <row r="3482" ht="12.75">
      <c r="O3482" s="29"/>
    </row>
    <row r="3483" ht="12.75">
      <c r="O3483" s="29"/>
    </row>
    <row r="3484" ht="12.75">
      <c r="O3484" s="29"/>
    </row>
    <row r="3485" ht="12.75">
      <c r="O3485" s="29"/>
    </row>
    <row r="3486" ht="12.75">
      <c r="O3486" s="29"/>
    </row>
    <row r="3487" ht="12.75">
      <c r="O3487" s="29"/>
    </row>
    <row r="3488" ht="12.75">
      <c r="O3488" s="29"/>
    </row>
    <row r="3489" ht="12.75">
      <c r="O3489" s="29"/>
    </row>
    <row r="3490" ht="12.75">
      <c r="O3490" s="29"/>
    </row>
    <row r="3491" ht="12.75">
      <c r="O3491" s="29"/>
    </row>
    <row r="3492" ht="12.75">
      <c r="O3492" s="29"/>
    </row>
    <row r="3493" ht="12.75">
      <c r="O3493" s="29"/>
    </row>
    <row r="3494" ht="12.75">
      <c r="O3494" s="29"/>
    </row>
    <row r="3495" ht="12.75">
      <c r="O3495" s="29"/>
    </row>
    <row r="3496" ht="12.75">
      <c r="O3496" s="29"/>
    </row>
    <row r="3497" ht="12.75">
      <c r="O3497" s="29"/>
    </row>
    <row r="3498" ht="12.75">
      <c r="O3498" s="29"/>
    </row>
    <row r="3499" ht="12.75">
      <c r="O3499" s="29"/>
    </row>
    <row r="3500" ht="12.75">
      <c r="O3500" s="29"/>
    </row>
    <row r="3501" ht="12.75">
      <c r="O3501" s="29"/>
    </row>
    <row r="3502" ht="12.75">
      <c r="O3502" s="29"/>
    </row>
    <row r="3503" ht="12.75">
      <c r="O3503" s="29"/>
    </row>
    <row r="3504" ht="12.75">
      <c r="O3504" s="29"/>
    </row>
    <row r="3505" ht="12.75">
      <c r="O3505" s="29"/>
    </row>
    <row r="3506" ht="12.75">
      <c r="O3506" s="29"/>
    </row>
    <row r="3507" ht="12.75">
      <c r="O3507" s="29"/>
    </row>
    <row r="3508" ht="12.75">
      <c r="O3508" s="29"/>
    </row>
    <row r="3509" ht="12.75">
      <c r="O3509" s="29"/>
    </row>
    <row r="3510" ht="12.75">
      <c r="O3510" s="29"/>
    </row>
    <row r="3511" ht="12.75">
      <c r="O3511" s="29"/>
    </row>
    <row r="3512" ht="12.75">
      <c r="O3512" s="29"/>
    </row>
    <row r="3513" ht="12.75">
      <c r="O3513" s="29"/>
    </row>
    <row r="3514" ht="12.75">
      <c r="O3514" s="29"/>
    </row>
    <row r="3515" ht="12.75">
      <c r="O3515" s="29"/>
    </row>
    <row r="3516" ht="12.75">
      <c r="O3516" s="29"/>
    </row>
    <row r="3517" ht="12.75">
      <c r="O3517" s="29"/>
    </row>
    <row r="3518" ht="12.75">
      <c r="O3518" s="29"/>
    </row>
    <row r="3519" ht="12.75">
      <c r="O3519" s="29"/>
    </row>
    <row r="3520" ht="12.75">
      <c r="O3520" s="29"/>
    </row>
    <row r="3521" ht="12.75">
      <c r="O3521" s="29"/>
    </row>
    <row r="3522" ht="12.75">
      <c r="O3522" s="29"/>
    </row>
    <row r="3523" ht="12.75">
      <c r="O3523" s="29"/>
    </row>
    <row r="3524" ht="12.75">
      <c r="O3524" s="29"/>
    </row>
    <row r="3525" ht="12.75">
      <c r="O3525" s="29"/>
    </row>
    <row r="3526" ht="12.75">
      <c r="O3526" s="29"/>
    </row>
    <row r="3527" ht="12.75">
      <c r="O3527" s="29"/>
    </row>
  </sheetData>
  <sheetProtection sheet="1" objects="1" scenarios="1"/>
  <mergeCells count="6">
    <mergeCell ref="F56:H56"/>
    <mergeCell ref="F57:H57"/>
    <mergeCell ref="F58:H58"/>
    <mergeCell ref="F53:H53"/>
    <mergeCell ref="F54:H54"/>
    <mergeCell ref="F55:H55"/>
  </mergeCells>
  <hyperlinks>
    <hyperlink ref="B3" location="'Wine Products'!A1" display="FORWARD TO WINE PRODUCTS"/>
    <hyperlink ref="B4" location="'Equipment &amp; Depreciation'!A1" display="FORWARD TO EQUIPMENT AND DEPRECIATION"/>
    <hyperlink ref="B5" location="'Personnel Expenses'!A1" display="FORWARD TO PERSONNEL EXPENSES"/>
    <hyperlink ref="B6" location="'Market Projection'!A1" display="FORWARD TO MARKET PROJECTION"/>
    <hyperlink ref="B7" location="'Loan Amortization'!A1" display="FORWARD TO LOAN AMORTIZATION"/>
    <hyperlink ref="B8" location="'Expense Projection'!A1" display="FORWARD TO EXPENSE PROJECTION"/>
    <hyperlink ref="B9" location="'Operations Summary'!A1" display="FORWARD TO OPERATIONS SUMMARY"/>
    <hyperlink ref="B10" location="'Return On Investment'!A1" display="FORWARD TO RETURN ON INVESTMENT"/>
    <hyperlink ref="B11" location="Introduction!A1" display="BACK TO INTRODUCTION"/>
    <hyperlink ref="B12" location="'Grapes &amp; Wines'!A1" display="BACK TO GRAPES AND WINES"/>
  </hyperlink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5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199" customWidth="1"/>
    <col min="2" max="2" width="26.140625" style="199" customWidth="1"/>
    <col min="3" max="3" width="17.28125" style="199" customWidth="1"/>
    <col min="4" max="4" width="6.28125" style="199" customWidth="1"/>
    <col min="5" max="5" width="26.28125" style="199" customWidth="1"/>
    <col min="6" max="6" width="20.00390625" style="199" customWidth="1"/>
    <col min="7" max="16384" width="9.140625" style="199" customWidth="1"/>
  </cols>
  <sheetData>
    <row r="1" ht="13.5" thickBot="1"/>
    <row r="2" spans="2:5" ht="13.5" thickBot="1">
      <c r="B2" s="287" t="s">
        <v>137</v>
      </c>
      <c r="C2" s="288"/>
      <c r="D2" s="30"/>
      <c r="E2" s="30"/>
    </row>
    <row r="3" spans="2:5" ht="13.5" thickBot="1">
      <c r="B3" s="193" t="s">
        <v>421</v>
      </c>
      <c r="C3" s="194"/>
      <c r="D3" s="30"/>
      <c r="E3" s="30"/>
    </row>
    <row r="4" spans="2:5" ht="13.5" thickBot="1">
      <c r="B4" s="193" t="s">
        <v>422</v>
      </c>
      <c r="C4" s="194"/>
      <c r="D4" s="29"/>
      <c r="E4" s="30"/>
    </row>
    <row r="5" spans="2:5" ht="13.5" thickBot="1">
      <c r="B5" s="193" t="s">
        <v>423</v>
      </c>
      <c r="C5" s="194"/>
      <c r="D5" s="30"/>
      <c r="E5" s="30"/>
    </row>
    <row r="6" spans="2:5" ht="13.5" thickBot="1">
      <c r="B6" s="193" t="s">
        <v>424</v>
      </c>
      <c r="C6" s="194"/>
      <c r="D6" s="30"/>
      <c r="E6" s="30"/>
    </row>
    <row r="7" spans="2:5" ht="13.5" thickBot="1">
      <c r="B7" s="193" t="s">
        <v>138</v>
      </c>
      <c r="C7" s="194"/>
      <c r="D7" s="30"/>
      <c r="E7" s="30"/>
    </row>
    <row r="8" spans="2:5" ht="13.5" thickBot="1">
      <c r="B8" s="193" t="s">
        <v>139</v>
      </c>
      <c r="C8" s="194"/>
      <c r="D8" s="30"/>
      <c r="E8" s="30"/>
    </row>
    <row r="9" spans="2:5" ht="13.5" thickBot="1">
      <c r="B9" s="193" t="s">
        <v>140</v>
      </c>
      <c r="C9" s="194"/>
      <c r="D9" s="30"/>
      <c r="E9" s="30"/>
    </row>
    <row r="10" spans="2:5" ht="13.5" thickBot="1">
      <c r="B10" s="193" t="s">
        <v>141</v>
      </c>
      <c r="C10" s="194"/>
      <c r="D10" s="30"/>
      <c r="E10" s="30"/>
    </row>
    <row r="11" spans="2:5" ht="13.5" thickBot="1">
      <c r="B11" s="345" t="s">
        <v>425</v>
      </c>
      <c r="C11" s="346"/>
      <c r="D11" s="30"/>
      <c r="E11" s="30"/>
    </row>
    <row r="12" spans="2:5" ht="13.5" thickBot="1">
      <c r="B12" s="193" t="s">
        <v>426</v>
      </c>
      <c r="C12" s="194"/>
      <c r="D12" s="30"/>
      <c r="E12" s="30"/>
    </row>
    <row r="13" spans="2:5" ht="12.75">
      <c r="B13" s="30"/>
      <c r="C13" s="30"/>
      <c r="D13" s="30"/>
      <c r="E13" s="30"/>
    </row>
    <row r="14" spans="2:5" ht="15.75">
      <c r="B14" s="347" t="s">
        <v>428</v>
      </c>
      <c r="C14" s="189"/>
      <c r="D14" s="348"/>
      <c r="E14" s="30"/>
    </row>
    <row r="15" spans="2:5" ht="15.75">
      <c r="B15" s="34" t="s">
        <v>427</v>
      </c>
      <c r="C15" s="189"/>
      <c r="D15" s="189"/>
      <c r="E15" s="30"/>
    </row>
    <row r="16" ht="15">
      <c r="E16" s="201"/>
    </row>
    <row r="17" ht="15.75" thickBot="1">
      <c r="E17" s="201"/>
    </row>
    <row r="18" spans="2:6" ht="12.75">
      <c r="B18" s="35" t="s">
        <v>174</v>
      </c>
      <c r="C18" s="77"/>
      <c r="E18" s="35" t="s">
        <v>244</v>
      </c>
      <c r="F18" s="77"/>
    </row>
    <row r="19" spans="2:6" ht="12.75">
      <c r="B19" s="81" t="s">
        <v>97</v>
      </c>
      <c r="C19" s="162" t="str">
        <f>'Grapes &amp; Wines'!C82</f>
        <v>Merlot</v>
      </c>
      <c r="D19" s="200"/>
      <c r="E19" s="81" t="s">
        <v>97</v>
      </c>
      <c r="F19" s="162" t="str">
        <f>'Grapes &amp; Wines'!C99</f>
        <v>Cabernet Sauvignon</v>
      </c>
    </row>
    <row r="20" spans="2:6" ht="12.75">
      <c r="B20" s="81" t="s">
        <v>10</v>
      </c>
      <c r="C20" s="161" t="s">
        <v>152</v>
      </c>
      <c r="D20" s="200"/>
      <c r="E20" s="81" t="str">
        <f>B20</f>
        <v>Units</v>
      </c>
      <c r="F20" s="161" t="s">
        <v>152</v>
      </c>
    </row>
    <row r="21" spans="2:6" ht="12.75">
      <c r="B21" s="81" t="s">
        <v>288</v>
      </c>
      <c r="C21" s="212">
        <f>'Input Value'!$F$34+'Grapes &amp; Wines'!F95</f>
        <v>2.4691126161039785</v>
      </c>
      <c r="D21" s="200"/>
      <c r="E21" s="81" t="s">
        <v>288</v>
      </c>
      <c r="F21" s="211">
        <f>'Input Value'!$F$34+'Grapes &amp; Wines'!F112</f>
        <v>2.4496959098113806</v>
      </c>
    </row>
    <row r="22" spans="2:6" ht="12.75">
      <c r="B22" s="81" t="s">
        <v>94</v>
      </c>
      <c r="C22" s="203">
        <v>6250</v>
      </c>
      <c r="D22" s="200"/>
      <c r="E22" s="81" t="str">
        <f>B22</f>
        <v>Initial Volume</v>
      </c>
      <c r="F22" s="204">
        <v>6250</v>
      </c>
    </row>
    <row r="23" spans="2:6" ht="12.75">
      <c r="B23" s="81" t="s">
        <v>96</v>
      </c>
      <c r="C23" s="205">
        <v>0.03</v>
      </c>
      <c r="D23" s="200"/>
      <c r="E23" s="81" t="s">
        <v>96</v>
      </c>
      <c r="F23" s="206">
        <v>0.03</v>
      </c>
    </row>
    <row r="24" spans="2:6" ht="12.75">
      <c r="B24" s="81" t="s">
        <v>390</v>
      </c>
      <c r="C24" s="205">
        <v>0.07</v>
      </c>
      <c r="D24" s="200"/>
      <c r="E24" s="81" t="s">
        <v>390</v>
      </c>
      <c r="F24" s="206">
        <v>0.07</v>
      </c>
    </row>
    <row r="25" spans="2:6" ht="13.5" thickBot="1">
      <c r="B25" s="107" t="s">
        <v>98</v>
      </c>
      <c r="C25" s="207">
        <v>13.275</v>
      </c>
      <c r="D25" s="200"/>
      <c r="E25" s="107" t="s">
        <v>98</v>
      </c>
      <c r="F25" s="208">
        <v>14.188</v>
      </c>
    </row>
    <row r="26" spans="2:6" ht="12.75">
      <c r="B26" s="31"/>
      <c r="C26" s="210"/>
      <c r="D26" s="200"/>
      <c r="E26" s="31"/>
      <c r="F26" s="210"/>
    </row>
    <row r="27" spans="2:5" ht="13.5" thickBot="1">
      <c r="B27" s="30"/>
      <c r="C27" s="200"/>
      <c r="D27" s="200"/>
      <c r="E27" s="30"/>
    </row>
    <row r="28" spans="2:6" ht="12.75">
      <c r="B28" s="35" t="s">
        <v>248</v>
      </c>
      <c r="C28" s="77"/>
      <c r="D28" s="200"/>
      <c r="E28" s="35" t="s">
        <v>249</v>
      </c>
      <c r="F28" s="77"/>
    </row>
    <row r="29" spans="2:6" ht="12.75">
      <c r="B29" s="81" t="s">
        <v>97</v>
      </c>
      <c r="C29" s="162" t="str">
        <f>'Grapes &amp; Wines'!C116</f>
        <v>Chardonnay</v>
      </c>
      <c r="D29" s="200"/>
      <c r="E29" s="81" t="s">
        <v>97</v>
      </c>
      <c r="F29" s="162" t="str">
        <f>'Grapes &amp; Wines'!C134</f>
        <v>Wine 4</v>
      </c>
    </row>
    <row r="30" spans="2:6" ht="12.75">
      <c r="B30" s="81" t="str">
        <f>B20</f>
        <v>Units</v>
      </c>
      <c r="C30" s="161" t="s">
        <v>152</v>
      </c>
      <c r="D30" s="200"/>
      <c r="E30" s="81" t="str">
        <f>B20</f>
        <v>Units</v>
      </c>
      <c r="F30" s="161" t="s">
        <v>152</v>
      </c>
    </row>
    <row r="31" spans="2:6" ht="12.75">
      <c r="B31" s="81" t="s">
        <v>288</v>
      </c>
      <c r="C31" s="213">
        <f>'Grapes &amp; Wines'!F129+'Input Value'!$F$34</f>
        <v>2.4931234537961644</v>
      </c>
      <c r="D31" s="200"/>
      <c r="E31" s="81" t="s">
        <v>288</v>
      </c>
      <c r="F31" s="211">
        <f>'Input Value'!$F$34+'Grapes &amp; Wines'!F147</f>
        <v>1.0861800000000001</v>
      </c>
    </row>
    <row r="32" spans="2:6" ht="12.75">
      <c r="B32" s="81" t="str">
        <f>B22</f>
        <v>Initial Volume</v>
      </c>
      <c r="C32" s="204">
        <v>6250</v>
      </c>
      <c r="D32" s="200"/>
      <c r="E32" s="81" t="str">
        <f>B22</f>
        <v>Initial Volume</v>
      </c>
      <c r="F32" s="204">
        <v>0</v>
      </c>
    </row>
    <row r="33" spans="2:6" ht="12.75">
      <c r="B33" s="81" t="s">
        <v>96</v>
      </c>
      <c r="C33" s="206">
        <v>0.03</v>
      </c>
      <c r="D33" s="200"/>
      <c r="E33" s="81" t="s">
        <v>96</v>
      </c>
      <c r="F33" s="206">
        <v>0</v>
      </c>
    </row>
    <row r="34" spans="2:6" ht="12.75">
      <c r="B34" s="81" t="s">
        <v>390</v>
      </c>
      <c r="C34" s="206">
        <v>0.07</v>
      </c>
      <c r="D34" s="200"/>
      <c r="E34" s="81" t="s">
        <v>390</v>
      </c>
      <c r="F34" s="206">
        <v>0</v>
      </c>
    </row>
    <row r="35" spans="2:6" ht="13.5" thickBot="1">
      <c r="B35" s="107" t="s">
        <v>98</v>
      </c>
      <c r="C35" s="208">
        <v>11.997</v>
      </c>
      <c r="D35" s="200"/>
      <c r="E35" s="107" t="s">
        <v>98</v>
      </c>
      <c r="F35" s="208">
        <v>0</v>
      </c>
    </row>
    <row r="36" spans="2:6" ht="12.75">
      <c r="B36" s="31"/>
      <c r="C36" s="210"/>
      <c r="D36" s="200"/>
      <c r="E36" s="31"/>
      <c r="F36" s="210"/>
    </row>
    <row r="37" spans="2:5" ht="13.5" thickBot="1">
      <c r="B37" s="30"/>
      <c r="E37" s="30"/>
    </row>
    <row r="38" spans="2:6" ht="12.75">
      <c r="B38" s="35" t="s">
        <v>247</v>
      </c>
      <c r="C38" s="77"/>
      <c r="E38" s="35" t="s">
        <v>250</v>
      </c>
      <c r="F38" s="77"/>
    </row>
    <row r="39" spans="2:6" ht="12.75">
      <c r="B39" s="81" t="s">
        <v>97</v>
      </c>
      <c r="C39" s="162" t="str">
        <f>'Grapes &amp; Wines'!C151</f>
        <v>Wine 5</v>
      </c>
      <c r="D39" s="200"/>
      <c r="E39" s="81" t="s">
        <v>97</v>
      </c>
      <c r="F39" s="162" t="str">
        <f>'Grapes &amp; Wines'!C168</f>
        <v>Wine 6</v>
      </c>
    </row>
    <row r="40" spans="2:6" ht="12.75">
      <c r="B40" s="81" t="s">
        <v>10</v>
      </c>
      <c r="C40" s="161" t="s">
        <v>152</v>
      </c>
      <c r="D40" s="200"/>
      <c r="E40" s="81" t="str">
        <f>B40</f>
        <v>Units</v>
      </c>
      <c r="F40" s="161" t="s">
        <v>152</v>
      </c>
    </row>
    <row r="41" spans="2:6" ht="12.75">
      <c r="B41" s="81" t="s">
        <v>288</v>
      </c>
      <c r="C41" s="213">
        <f>'Input Value'!$F$34+'Grapes &amp; Wines'!F164</f>
        <v>1.0861800000000001</v>
      </c>
      <c r="D41" s="200"/>
      <c r="E41" s="81" t="s">
        <v>288</v>
      </c>
      <c r="F41" s="211">
        <f>'Input Value'!$F$34+'Grapes &amp; Wines'!F181</f>
        <v>1.0861800000000001</v>
      </c>
    </row>
    <row r="42" spans="2:6" ht="12.75">
      <c r="B42" s="81" t="s">
        <v>94</v>
      </c>
      <c r="C42" s="204">
        <v>0</v>
      </c>
      <c r="D42" s="200"/>
      <c r="E42" s="81" t="str">
        <f>B42</f>
        <v>Initial Volume</v>
      </c>
      <c r="F42" s="204">
        <v>0</v>
      </c>
    </row>
    <row r="43" spans="2:6" ht="12.75">
      <c r="B43" s="81" t="s">
        <v>96</v>
      </c>
      <c r="C43" s="206">
        <v>0</v>
      </c>
      <c r="D43" s="200"/>
      <c r="E43" s="81" t="s">
        <v>96</v>
      </c>
      <c r="F43" s="206">
        <v>0</v>
      </c>
    </row>
    <row r="44" spans="2:6" ht="12.75">
      <c r="B44" s="81" t="s">
        <v>390</v>
      </c>
      <c r="C44" s="206">
        <v>0</v>
      </c>
      <c r="D44" s="200"/>
      <c r="E44" s="81" t="s">
        <v>390</v>
      </c>
      <c r="F44" s="206">
        <v>0</v>
      </c>
    </row>
    <row r="45" spans="2:6" ht="13.5" thickBot="1">
      <c r="B45" s="107" t="s">
        <v>98</v>
      </c>
      <c r="C45" s="208">
        <v>0</v>
      </c>
      <c r="D45" s="200"/>
      <c r="E45" s="107" t="s">
        <v>98</v>
      </c>
      <c r="F45" s="208">
        <v>0</v>
      </c>
    </row>
    <row r="46" spans="2:6" ht="12.75">
      <c r="B46" s="31"/>
      <c r="C46" s="210"/>
      <c r="D46" s="200"/>
      <c r="E46" s="31"/>
      <c r="F46" s="210"/>
    </row>
    <row r="47" spans="2:5" ht="13.5" thickBot="1">
      <c r="B47" s="30"/>
      <c r="C47" s="200"/>
      <c r="D47" s="200"/>
      <c r="E47" s="30"/>
    </row>
    <row r="48" spans="2:6" ht="12.75">
      <c r="B48" s="35" t="s">
        <v>251</v>
      </c>
      <c r="C48" s="77"/>
      <c r="D48" s="200"/>
      <c r="E48" s="35" t="s">
        <v>252</v>
      </c>
      <c r="F48" s="202"/>
    </row>
    <row r="49" spans="2:6" ht="12.75">
      <c r="B49" s="81" t="s">
        <v>97</v>
      </c>
      <c r="C49" s="162" t="str">
        <f>'Grapes &amp; Wines'!C185</f>
        <v>Blend 1</v>
      </c>
      <c r="D49" s="200"/>
      <c r="E49" s="81" t="s">
        <v>97</v>
      </c>
      <c r="F49" s="162" t="str">
        <f>'Grapes &amp; Wines'!C203</f>
        <v>Blend 2</v>
      </c>
    </row>
    <row r="50" spans="2:6" ht="12.75">
      <c r="B50" s="81" t="str">
        <f>B40</f>
        <v>Units</v>
      </c>
      <c r="C50" s="161" t="s">
        <v>152</v>
      </c>
      <c r="D50" s="200"/>
      <c r="E50" s="81" t="str">
        <f>B40</f>
        <v>Units</v>
      </c>
      <c r="F50" s="161" t="s">
        <v>152</v>
      </c>
    </row>
    <row r="51" spans="2:6" ht="12.75">
      <c r="B51" s="81" t="s">
        <v>288</v>
      </c>
      <c r="C51" s="213">
        <f>'Grapes &amp; Wines'!F198+'Input Value'!$F$34</f>
        <v>1.0861800000000001</v>
      </c>
      <c r="D51" s="200"/>
      <c r="E51" s="81" t="s">
        <v>288</v>
      </c>
      <c r="F51" s="211">
        <f>'Input Value'!$F$34+'Grapes &amp; Wines'!F216</f>
        <v>1.0861800000000001</v>
      </c>
    </row>
    <row r="52" spans="2:6" ht="12.75">
      <c r="B52" s="81" t="str">
        <f>B42</f>
        <v>Initial Volume</v>
      </c>
      <c r="C52" s="204">
        <v>0</v>
      </c>
      <c r="D52" s="200"/>
      <c r="E52" s="81" t="str">
        <f>B42</f>
        <v>Initial Volume</v>
      </c>
      <c r="F52" s="204">
        <v>0</v>
      </c>
    </row>
    <row r="53" spans="2:6" ht="12.75">
      <c r="B53" s="81" t="s">
        <v>96</v>
      </c>
      <c r="C53" s="206">
        <v>0</v>
      </c>
      <c r="D53" s="200"/>
      <c r="E53" s="81" t="s">
        <v>96</v>
      </c>
      <c r="F53" s="206">
        <v>0</v>
      </c>
    </row>
    <row r="54" spans="2:6" ht="12.75">
      <c r="B54" s="81" t="s">
        <v>390</v>
      </c>
      <c r="C54" s="206">
        <v>0</v>
      </c>
      <c r="D54" s="200"/>
      <c r="E54" s="81" t="s">
        <v>390</v>
      </c>
      <c r="F54" s="206">
        <v>0</v>
      </c>
    </row>
    <row r="55" spans="2:6" ht="13.5" thickBot="1">
      <c r="B55" s="107" t="s">
        <v>98</v>
      </c>
      <c r="C55" s="208">
        <v>0</v>
      </c>
      <c r="D55" s="200"/>
      <c r="E55" s="107" t="s">
        <v>98</v>
      </c>
      <c r="F55" s="208">
        <v>0</v>
      </c>
    </row>
  </sheetData>
  <sheetProtection sheet="1" objects="1" scenarios="1"/>
  <hyperlinks>
    <hyperlink ref="B10" location="Introduction!A1" display="BACK TO INTRODUCTION"/>
    <hyperlink ref="B11" location="'Grapes &amp; Wines'!A1" display="BACK TO GRAPES AND WINES"/>
    <hyperlink ref="B12" location="'Input Value'!A1" display="BACK TO INPUT VALUES"/>
    <hyperlink ref="B9" location="'Return On Investment'!A1" display="FORWARD TO RETURN ON INVESTMENT"/>
    <hyperlink ref="B8" location="'Operations Summary'!A1" display="FORWARD TO OPERATIONS SUMMARY"/>
    <hyperlink ref="B7" location="'Expense Projection'!A1" display="FORWARD TO EXPENSE PROJECTION"/>
    <hyperlink ref="B6" location="'Loan Amortization'!A1" display="FORWARD TO LOAN AMORTIZATION"/>
    <hyperlink ref="B5" location="'Market Projection'!A1" display="FORWARD TO MARKET PROJECTION"/>
    <hyperlink ref="B4" location="'Personnel Expenses'!A1" display="FORWARD TO PERSONNEL EXPENSES"/>
    <hyperlink ref="B3" location="'Equipment &amp; Depreciation'!A1" display="FORWARD TO EQUIPMENT AND DEPRECIATION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81"/>
  <sheetViews>
    <sheetView workbookViewId="0" topLeftCell="A1">
      <selection activeCell="B3" sqref="B3"/>
    </sheetView>
  </sheetViews>
  <sheetFormatPr defaultColWidth="9.140625" defaultRowHeight="12.75"/>
  <cols>
    <col min="1" max="1" width="4.00390625" style="30" customWidth="1"/>
    <col min="2" max="2" width="24.7109375" style="30" customWidth="1"/>
    <col min="3" max="3" width="26.00390625" style="30" customWidth="1"/>
    <col min="4" max="4" width="14.00390625" style="30" bestFit="1" customWidth="1"/>
    <col min="5" max="5" width="12.140625" style="30" customWidth="1"/>
    <col min="6" max="6" width="13.140625" style="30" customWidth="1"/>
    <col min="7" max="7" width="16.57421875" style="30" customWidth="1"/>
    <col min="8" max="8" width="23.7109375" style="30" customWidth="1"/>
    <col min="9" max="9" width="13.28125" style="30" customWidth="1"/>
    <col min="10" max="10" width="10.28125" style="30" customWidth="1"/>
    <col min="11" max="16384" width="9.140625" style="30" customWidth="1"/>
  </cols>
  <sheetData>
    <row r="1" ht="13.5" thickBot="1"/>
    <row r="2" spans="2:3" ht="13.5" thickBot="1">
      <c r="B2" s="287" t="s">
        <v>137</v>
      </c>
      <c r="C2" s="288"/>
    </row>
    <row r="3" spans="2:3" ht="13.5" thickBot="1">
      <c r="B3" s="193" t="s">
        <v>422</v>
      </c>
      <c r="C3" s="194"/>
    </row>
    <row r="4" spans="2:3" ht="13.5" thickBot="1">
      <c r="B4" s="193" t="s">
        <v>423</v>
      </c>
      <c r="C4" s="194"/>
    </row>
    <row r="5" spans="2:3" ht="13.5" thickBot="1">
      <c r="B5" s="193" t="s">
        <v>424</v>
      </c>
      <c r="C5" s="194"/>
    </row>
    <row r="6" spans="2:3" ht="13.5" thickBot="1">
      <c r="B6" s="193" t="s">
        <v>138</v>
      </c>
      <c r="C6" s="194"/>
    </row>
    <row r="7" spans="2:3" ht="13.5" thickBot="1">
      <c r="B7" s="193" t="s">
        <v>139</v>
      </c>
      <c r="C7" s="194"/>
    </row>
    <row r="8" spans="2:3" ht="13.5" thickBot="1">
      <c r="B8" s="193" t="s">
        <v>140</v>
      </c>
      <c r="C8" s="194"/>
    </row>
    <row r="9" spans="2:3" ht="13.5" thickBot="1">
      <c r="B9" s="193" t="s">
        <v>141</v>
      </c>
      <c r="C9" s="194"/>
    </row>
    <row r="10" spans="2:3" ht="13.5" thickBot="1">
      <c r="B10" s="345" t="s">
        <v>425</v>
      </c>
      <c r="C10" s="346"/>
    </row>
    <row r="11" spans="2:3" ht="13.5" thickBot="1">
      <c r="B11" s="193" t="s">
        <v>426</v>
      </c>
      <c r="C11" s="194"/>
    </row>
    <row r="12" spans="2:3" ht="13.5" thickBot="1">
      <c r="B12" s="193" t="s">
        <v>431</v>
      </c>
      <c r="C12" s="349"/>
    </row>
    <row r="15" spans="2:7" ht="15.75">
      <c r="B15" s="34" t="s">
        <v>429</v>
      </c>
      <c r="C15" s="189"/>
      <c r="D15" s="189"/>
      <c r="E15" s="189"/>
      <c r="F15" s="189"/>
      <c r="G15" s="189"/>
    </row>
    <row r="16" ht="15.75">
      <c r="B16" s="34" t="s">
        <v>430</v>
      </c>
    </row>
    <row r="18" ht="12.75">
      <c r="B18" s="350" t="s">
        <v>45</v>
      </c>
    </row>
    <row r="19" spans="2:3" ht="12.75">
      <c r="B19" s="31" t="s">
        <v>41</v>
      </c>
      <c r="C19" s="45" t="s">
        <v>66</v>
      </c>
    </row>
    <row r="20" spans="2:4" ht="12.75">
      <c r="B20" s="31" t="s">
        <v>42</v>
      </c>
      <c r="C20" s="45" t="s">
        <v>83</v>
      </c>
      <c r="D20" s="351"/>
    </row>
    <row r="21" spans="2:4" ht="12.75">
      <c r="B21" s="31" t="s">
        <v>155</v>
      </c>
      <c r="C21" s="45" t="s">
        <v>84</v>
      </c>
      <c r="D21" s="351"/>
    </row>
    <row r="22" spans="2:4" ht="12.75">
      <c r="B22" s="31" t="s">
        <v>44</v>
      </c>
      <c r="C22" s="45" t="s">
        <v>85</v>
      </c>
      <c r="D22" s="351"/>
    </row>
    <row r="23" spans="2:4" ht="12.75">
      <c r="B23" s="57"/>
      <c r="D23" s="351"/>
    </row>
    <row r="24" spans="2:4" ht="12.75">
      <c r="B24" s="57"/>
      <c r="D24" s="351"/>
    </row>
    <row r="25" spans="2:7" ht="12.75">
      <c r="B25" s="31" t="s">
        <v>41</v>
      </c>
      <c r="C25" s="352"/>
      <c r="G25" s="31" t="s">
        <v>42</v>
      </c>
    </row>
    <row r="26" spans="3:9" ht="12.75">
      <c r="C26" s="353" t="s">
        <v>76</v>
      </c>
      <c r="D26" s="31" t="s">
        <v>77</v>
      </c>
      <c r="E26" s="31" t="s">
        <v>73</v>
      </c>
      <c r="H26" s="353" t="s">
        <v>76</v>
      </c>
      <c r="I26" s="31" t="s">
        <v>77</v>
      </c>
    </row>
    <row r="27" spans="2:9" ht="12.75">
      <c r="B27" s="398" t="s">
        <v>154</v>
      </c>
      <c r="C27" s="398"/>
      <c r="D27" s="216">
        <v>80000</v>
      </c>
      <c r="E27" s="217"/>
      <c r="G27" s="399">
        <v>1</v>
      </c>
      <c r="H27" s="399"/>
      <c r="I27" s="216"/>
    </row>
    <row r="28" spans="2:9" ht="12.75">
      <c r="B28" s="398" t="s">
        <v>78</v>
      </c>
      <c r="C28" s="398"/>
      <c r="D28" s="218"/>
      <c r="E28" s="217"/>
      <c r="G28" s="399">
        <v>2</v>
      </c>
      <c r="H28" s="399"/>
      <c r="I28" s="216"/>
    </row>
    <row r="29" spans="2:9" ht="12.75">
      <c r="B29" s="398" t="s">
        <v>79</v>
      </c>
      <c r="C29" s="398"/>
      <c r="D29" s="218"/>
      <c r="E29" s="217"/>
      <c r="G29" s="399">
        <v>3</v>
      </c>
      <c r="H29" s="399"/>
      <c r="I29" s="216"/>
    </row>
    <row r="30" spans="2:9" ht="12.75">
      <c r="B30" s="398" t="s">
        <v>80</v>
      </c>
      <c r="C30" s="398"/>
      <c r="D30" s="216"/>
      <c r="E30" s="217"/>
      <c r="G30" s="399">
        <v>4</v>
      </c>
      <c r="H30" s="399"/>
      <c r="I30" s="216"/>
    </row>
    <row r="31" spans="2:9" ht="12.75">
      <c r="B31" s="398" t="s">
        <v>81</v>
      </c>
      <c r="C31" s="398"/>
      <c r="D31" s="216"/>
      <c r="E31" s="217"/>
      <c r="G31" s="399">
        <v>5</v>
      </c>
      <c r="H31" s="399"/>
      <c r="I31" s="216"/>
    </row>
    <row r="32" spans="2:9" ht="12.75">
      <c r="B32" s="31" t="s">
        <v>82</v>
      </c>
      <c r="C32" s="352"/>
      <c r="D32" s="46">
        <f>SUM(D27:D31)</f>
        <v>80000</v>
      </c>
      <c r="E32" s="354">
        <f>SUM(E27:E31)</f>
        <v>0</v>
      </c>
      <c r="G32" s="31" t="s">
        <v>166</v>
      </c>
      <c r="H32" s="352"/>
      <c r="I32" s="46">
        <f>SUM(I27:I31)</f>
        <v>0</v>
      </c>
    </row>
    <row r="33" ht="12.75">
      <c r="I33" s="46"/>
    </row>
    <row r="34" spans="7:9" ht="12.75">
      <c r="G34" s="31" t="s">
        <v>44</v>
      </c>
      <c r="H34" s="352"/>
      <c r="I34" s="46"/>
    </row>
    <row r="35" spans="2:9" ht="12.75">
      <c r="B35" s="31" t="s">
        <v>155</v>
      </c>
      <c r="C35" s="353" t="s">
        <v>76</v>
      </c>
      <c r="D35" s="31" t="s">
        <v>77</v>
      </c>
      <c r="H35" s="353" t="s">
        <v>76</v>
      </c>
      <c r="I35" s="54" t="s">
        <v>77</v>
      </c>
    </row>
    <row r="36" spans="2:9" ht="12.75">
      <c r="B36" s="400" t="s">
        <v>293</v>
      </c>
      <c r="C36" s="400"/>
      <c r="D36" s="355">
        <f>SUM(D37:D46)</f>
        <v>10980</v>
      </c>
      <c r="G36" s="399">
        <v>1</v>
      </c>
      <c r="H36" s="399"/>
      <c r="I36" s="216"/>
    </row>
    <row r="37" spans="2:9" ht="12.75">
      <c r="B37" s="401" t="s">
        <v>380</v>
      </c>
      <c r="C37" s="401"/>
      <c r="D37" s="219">
        <v>1735</v>
      </c>
      <c r="G37" s="399">
        <v>2</v>
      </c>
      <c r="H37" s="399"/>
      <c r="I37" s="216"/>
    </row>
    <row r="38" spans="2:9" ht="12.75">
      <c r="B38" s="402"/>
      <c r="C38" s="402"/>
      <c r="D38" s="220">
        <v>0</v>
      </c>
      <c r="G38" s="399">
        <v>3</v>
      </c>
      <c r="H38" s="399"/>
      <c r="I38" s="216"/>
    </row>
    <row r="39" spans="2:9" ht="12.75">
      <c r="B39" s="221" t="s">
        <v>272</v>
      </c>
      <c r="C39" s="221" t="s">
        <v>404</v>
      </c>
      <c r="D39" s="220">
        <v>2695</v>
      </c>
      <c r="G39" s="399">
        <v>4</v>
      </c>
      <c r="H39" s="399"/>
      <c r="I39" s="216"/>
    </row>
    <row r="40" spans="2:9" ht="12.75">
      <c r="B40" s="221" t="s">
        <v>290</v>
      </c>
      <c r="C40" s="221" t="s">
        <v>381</v>
      </c>
      <c r="D40" s="220">
        <v>2625</v>
      </c>
      <c r="G40" s="399">
        <v>5</v>
      </c>
      <c r="H40" s="399"/>
      <c r="I40" s="216"/>
    </row>
    <row r="41" spans="2:16" ht="12.75">
      <c r="B41" s="222" t="s">
        <v>294</v>
      </c>
      <c r="C41" s="222" t="s">
        <v>382</v>
      </c>
      <c r="D41" s="223">
        <v>1725</v>
      </c>
      <c r="G41" s="31" t="s">
        <v>167</v>
      </c>
      <c r="H41" s="352"/>
      <c r="I41" s="46">
        <f>SUM(I36:I40)</f>
        <v>0</v>
      </c>
      <c r="J41" s="45"/>
      <c r="K41" s="45"/>
      <c r="L41" s="45"/>
      <c r="M41" s="45"/>
      <c r="N41" s="45"/>
      <c r="O41" s="45"/>
      <c r="P41" s="45"/>
    </row>
    <row r="42" spans="2:16" ht="12.75">
      <c r="B42" s="222" t="s">
        <v>273</v>
      </c>
      <c r="C42" s="222" t="s">
        <v>383</v>
      </c>
      <c r="D42" s="223">
        <v>1375</v>
      </c>
      <c r="G42" s="45"/>
      <c r="H42" s="356"/>
      <c r="I42" s="45"/>
      <c r="J42" s="45"/>
      <c r="K42" s="45"/>
      <c r="L42" s="45"/>
      <c r="M42" s="45"/>
      <c r="N42" s="45"/>
      <c r="O42" s="45"/>
      <c r="P42" s="45"/>
    </row>
    <row r="43" spans="2:16" ht="12.75">
      <c r="B43" s="222" t="s">
        <v>291</v>
      </c>
      <c r="C43" s="222" t="s">
        <v>384</v>
      </c>
      <c r="D43" s="223">
        <v>200</v>
      </c>
      <c r="E43" s="33"/>
      <c r="G43" s="357" t="s">
        <v>391</v>
      </c>
      <c r="H43" s="357" t="s">
        <v>394</v>
      </c>
      <c r="I43" s="357"/>
      <c r="J43" s="357"/>
      <c r="K43" s="45"/>
      <c r="L43" s="45"/>
      <c r="M43" s="45"/>
      <c r="N43" s="45"/>
      <c r="O43" s="45"/>
      <c r="P43" s="45"/>
    </row>
    <row r="44" spans="2:16" ht="12.75">
      <c r="B44" s="222" t="s">
        <v>292</v>
      </c>
      <c r="C44" s="222" t="s">
        <v>385</v>
      </c>
      <c r="D44" s="223">
        <v>625</v>
      </c>
      <c r="G44" s="358"/>
      <c r="H44" s="358" t="s">
        <v>393</v>
      </c>
      <c r="I44" s="359">
        <f>'Input Value'!C56</f>
        <v>5300</v>
      </c>
      <c r="J44" s="358" t="s">
        <v>392</v>
      </c>
      <c r="K44" s="45"/>
      <c r="L44" s="45"/>
      <c r="M44" s="45"/>
      <c r="N44" s="45"/>
      <c r="O44" s="45"/>
      <c r="P44" s="45"/>
    </row>
    <row r="45" spans="2:16" ht="12.75">
      <c r="B45" s="222" t="s">
        <v>46</v>
      </c>
      <c r="C45" s="222"/>
      <c r="D45" s="223">
        <v>0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16" ht="12.75">
      <c r="B46" s="222" t="s">
        <v>46</v>
      </c>
      <c r="C46" s="225"/>
      <c r="D46" s="223">
        <v>0</v>
      </c>
      <c r="G46" s="360" t="s">
        <v>274</v>
      </c>
      <c r="H46" s="360" t="s">
        <v>76</v>
      </c>
      <c r="I46" s="361" t="s">
        <v>316</v>
      </c>
      <c r="J46" s="362" t="s">
        <v>317</v>
      </c>
      <c r="K46" s="360" t="s">
        <v>77</v>
      </c>
      <c r="L46" s="45"/>
      <c r="M46" s="45"/>
      <c r="N46" s="45"/>
      <c r="O46" s="45"/>
      <c r="P46" s="45"/>
    </row>
    <row r="47" spans="2:11" ht="12.75">
      <c r="B47" s="361" t="s">
        <v>295</v>
      </c>
      <c r="C47" s="361"/>
      <c r="D47" s="363">
        <f>SUM(D48:D56)</f>
        <v>700</v>
      </c>
      <c r="E47" s="364"/>
      <c r="G47" s="226" t="s">
        <v>298</v>
      </c>
      <c r="H47" s="227"/>
      <c r="I47" s="395"/>
      <c r="J47" s="228"/>
      <c r="K47" s="229"/>
    </row>
    <row r="48" spans="2:11" ht="12.75">
      <c r="B48" s="222" t="s">
        <v>296</v>
      </c>
      <c r="C48" s="222"/>
      <c r="D48" s="223">
        <v>700</v>
      </c>
      <c r="G48" s="226" t="s">
        <v>299</v>
      </c>
      <c r="H48" s="227" t="s">
        <v>379</v>
      </c>
      <c r="I48" s="395">
        <v>4995</v>
      </c>
      <c r="J48" s="228">
        <v>10</v>
      </c>
      <c r="K48" s="229">
        <f aca="true" t="shared" si="0" ref="K48:K56">I48*J48</f>
        <v>49950</v>
      </c>
    </row>
    <row r="49" spans="2:11" ht="12.75">
      <c r="B49" s="222"/>
      <c r="C49" s="222"/>
      <c r="D49" s="223"/>
      <c r="G49" s="226" t="s">
        <v>300</v>
      </c>
      <c r="H49" s="227"/>
      <c r="I49" s="395"/>
      <c r="J49" s="228"/>
      <c r="K49" s="229"/>
    </row>
    <row r="50" spans="2:11" ht="12.75">
      <c r="B50" s="222"/>
      <c r="C50" s="222"/>
      <c r="D50" s="223"/>
      <c r="G50" s="226" t="s">
        <v>301</v>
      </c>
      <c r="H50" s="227"/>
      <c r="I50" s="395"/>
      <c r="J50" s="228"/>
      <c r="K50" s="229">
        <f t="shared" si="0"/>
        <v>0</v>
      </c>
    </row>
    <row r="51" spans="2:11" ht="12.75">
      <c r="B51" s="222"/>
      <c r="C51" s="222"/>
      <c r="D51" s="223"/>
      <c r="G51" s="226" t="s">
        <v>302</v>
      </c>
      <c r="H51" s="228"/>
      <c r="I51" s="395"/>
      <c r="J51" s="228"/>
      <c r="K51" s="229">
        <f t="shared" si="0"/>
        <v>0</v>
      </c>
    </row>
    <row r="52" spans="2:11" ht="12.75">
      <c r="B52" s="222"/>
      <c r="C52" s="222"/>
      <c r="D52" s="223"/>
      <c r="G52" s="226" t="s">
        <v>303</v>
      </c>
      <c r="H52" s="228"/>
      <c r="I52" s="395"/>
      <c r="J52" s="228"/>
      <c r="K52" s="229">
        <f t="shared" si="0"/>
        <v>0</v>
      </c>
    </row>
    <row r="53" spans="2:11" ht="12.75">
      <c r="B53" s="222"/>
      <c r="C53" s="222"/>
      <c r="D53" s="223"/>
      <c r="E53" s="29"/>
      <c r="G53" s="226" t="s">
        <v>304</v>
      </c>
      <c r="H53" s="228"/>
      <c r="I53" s="395"/>
      <c r="J53" s="228"/>
      <c r="K53" s="229">
        <f t="shared" si="0"/>
        <v>0</v>
      </c>
    </row>
    <row r="54" spans="2:11" ht="12.75">
      <c r="B54" s="222"/>
      <c r="C54" s="222"/>
      <c r="D54" s="223"/>
      <c r="G54" s="226" t="s">
        <v>313</v>
      </c>
      <c r="H54" s="228"/>
      <c r="I54" s="395"/>
      <c r="J54" s="228"/>
      <c r="K54" s="229">
        <f t="shared" si="0"/>
        <v>0</v>
      </c>
    </row>
    <row r="55" spans="2:11" ht="12.75">
      <c r="B55" s="222"/>
      <c r="C55" s="222"/>
      <c r="D55" s="223"/>
      <c r="G55" s="226" t="s">
        <v>314</v>
      </c>
      <c r="H55" s="228"/>
      <c r="I55" s="395"/>
      <c r="J55" s="228"/>
      <c r="K55" s="229">
        <f t="shared" si="0"/>
        <v>0</v>
      </c>
    </row>
    <row r="56" spans="2:11" ht="12.75">
      <c r="B56" s="222"/>
      <c r="C56" s="222"/>
      <c r="D56" s="223"/>
      <c r="G56" s="226" t="s">
        <v>315</v>
      </c>
      <c r="H56" s="228"/>
      <c r="I56" s="395"/>
      <c r="J56" s="228"/>
      <c r="K56" s="229">
        <f t="shared" si="0"/>
        <v>0</v>
      </c>
    </row>
    <row r="57" spans="2:11" ht="12.75">
      <c r="B57" s="361" t="s">
        <v>297</v>
      </c>
      <c r="C57" s="361"/>
      <c r="D57" s="363">
        <f>SUM(D58:D61)</f>
        <v>50922.5</v>
      </c>
      <c r="H57" s="31" t="s">
        <v>257</v>
      </c>
      <c r="J57" s="33"/>
      <c r="K57" s="365">
        <f>SUM(K47:K56)</f>
        <v>49950</v>
      </c>
    </row>
    <row r="58" spans="2:11" ht="12.75">
      <c r="B58" s="366" t="s">
        <v>274</v>
      </c>
      <c r="C58" s="366"/>
      <c r="D58" s="364">
        <f>K57</f>
        <v>49950</v>
      </c>
      <c r="G58" s="163"/>
      <c r="H58" s="163"/>
      <c r="I58" s="163"/>
      <c r="J58" s="163"/>
      <c r="K58" s="163"/>
    </row>
    <row r="59" spans="2:11" ht="12.75">
      <c r="B59" s="366" t="s">
        <v>312</v>
      </c>
      <c r="C59" s="366"/>
      <c r="D59" s="364">
        <f>$K$65</f>
        <v>0</v>
      </c>
      <c r="G59" s="367" t="s">
        <v>312</v>
      </c>
      <c r="H59" s="367" t="s">
        <v>76</v>
      </c>
      <c r="I59" s="367" t="s">
        <v>316</v>
      </c>
      <c r="J59" s="367" t="s">
        <v>317</v>
      </c>
      <c r="K59" s="367" t="s">
        <v>77</v>
      </c>
    </row>
    <row r="60" spans="2:11" ht="12.75">
      <c r="B60" s="366" t="s">
        <v>305</v>
      </c>
      <c r="C60" s="366"/>
      <c r="D60" s="364">
        <f>$K$73</f>
        <v>972.5</v>
      </c>
      <c r="G60" s="226" t="s">
        <v>318</v>
      </c>
      <c r="H60" s="228"/>
      <c r="I60" s="231"/>
      <c r="J60" s="232"/>
      <c r="K60" s="229">
        <f>I60*J60</f>
        <v>0</v>
      </c>
    </row>
    <row r="61" spans="2:11" ht="12.75">
      <c r="B61" s="366" t="s">
        <v>306</v>
      </c>
      <c r="C61" s="226"/>
      <c r="D61" s="233"/>
      <c r="G61" s="226" t="s">
        <v>319</v>
      </c>
      <c r="H61" s="228"/>
      <c r="I61" s="231"/>
      <c r="J61" s="232"/>
      <c r="K61" s="229">
        <f>I61*J61</f>
        <v>0</v>
      </c>
    </row>
    <row r="62" spans="2:11" ht="12.75">
      <c r="B62" s="361" t="s">
        <v>308</v>
      </c>
      <c r="C62" s="361"/>
      <c r="D62" s="363">
        <f>SUM(D63:D69)</f>
        <v>5674.5</v>
      </c>
      <c r="G62" s="226" t="s">
        <v>346</v>
      </c>
      <c r="H62" s="228"/>
      <c r="I62" s="231"/>
      <c r="J62" s="232"/>
      <c r="K62" s="229">
        <f>I62*J62</f>
        <v>0</v>
      </c>
    </row>
    <row r="63" spans="2:11" ht="12.75">
      <c r="B63" s="221" t="s">
        <v>263</v>
      </c>
      <c r="C63" s="222" t="s">
        <v>412</v>
      </c>
      <c r="D63" s="223">
        <v>1150</v>
      </c>
      <c r="G63" s="226" t="s">
        <v>347</v>
      </c>
      <c r="H63" s="228"/>
      <c r="I63" s="231"/>
      <c r="J63" s="232"/>
      <c r="K63" s="229">
        <f>I63*J63</f>
        <v>0</v>
      </c>
    </row>
    <row r="64" spans="2:11" ht="12.75">
      <c r="B64" s="221" t="s">
        <v>264</v>
      </c>
      <c r="C64" s="222" t="s">
        <v>413</v>
      </c>
      <c r="D64" s="223">
        <v>69.5</v>
      </c>
      <c r="G64" s="226" t="s">
        <v>320</v>
      </c>
      <c r="H64" s="228"/>
      <c r="I64" s="231"/>
      <c r="J64" s="232"/>
      <c r="K64" s="229">
        <f>I64*J64</f>
        <v>0</v>
      </c>
    </row>
    <row r="65" spans="2:11" ht="12.75">
      <c r="B65" s="221" t="s">
        <v>275</v>
      </c>
      <c r="C65" s="222"/>
      <c r="D65" s="223">
        <v>20</v>
      </c>
      <c r="J65" s="31" t="s">
        <v>257</v>
      </c>
      <c r="K65" s="365">
        <f>SUM(K60:K64)</f>
        <v>0</v>
      </c>
    </row>
    <row r="66" spans="2:4" ht="12.75">
      <c r="B66" s="221" t="s">
        <v>276</v>
      </c>
      <c r="C66" s="222" t="s">
        <v>386</v>
      </c>
      <c r="D66" s="223">
        <v>45</v>
      </c>
    </row>
    <row r="67" spans="2:11" ht="12.75">
      <c r="B67" s="221" t="s">
        <v>265</v>
      </c>
      <c r="C67" s="222" t="s">
        <v>414</v>
      </c>
      <c r="D67" s="223">
        <v>3395</v>
      </c>
      <c r="G67" s="361" t="s">
        <v>305</v>
      </c>
      <c r="H67" s="361"/>
      <c r="I67" s="361" t="s">
        <v>316</v>
      </c>
      <c r="J67" s="361" t="s">
        <v>317</v>
      </c>
      <c r="K67" s="361" t="s">
        <v>77</v>
      </c>
    </row>
    <row r="68" spans="2:11" ht="12.75">
      <c r="B68" s="221" t="s">
        <v>266</v>
      </c>
      <c r="C68" s="222" t="s">
        <v>387</v>
      </c>
      <c r="D68" s="223">
        <v>995</v>
      </c>
      <c r="G68" s="226" t="s">
        <v>400</v>
      </c>
      <c r="H68" s="215"/>
      <c r="I68" s="234">
        <v>15.5</v>
      </c>
      <c r="J68" s="235">
        <v>5</v>
      </c>
      <c r="K68" s="217">
        <f>I68*J68</f>
        <v>77.5</v>
      </c>
    </row>
    <row r="69" spans="2:11" ht="12.75">
      <c r="B69" s="222" t="s">
        <v>46</v>
      </c>
      <c r="C69" s="222"/>
      <c r="D69" s="223"/>
      <c r="G69" s="226" t="s">
        <v>401</v>
      </c>
      <c r="H69" s="215"/>
      <c r="I69" s="234">
        <v>19.5</v>
      </c>
      <c r="J69" s="235">
        <v>10</v>
      </c>
      <c r="K69" s="217">
        <f>I69*J69</f>
        <v>195</v>
      </c>
    </row>
    <row r="70" spans="2:11" ht="12.75">
      <c r="B70" s="361" t="s">
        <v>307</v>
      </c>
      <c r="C70" s="361"/>
      <c r="D70" s="363">
        <f>SUM(D71:D78)</f>
        <v>3825</v>
      </c>
      <c r="G70" s="226" t="s">
        <v>402</v>
      </c>
      <c r="H70" s="215"/>
      <c r="I70" s="234">
        <v>55</v>
      </c>
      <c r="J70" s="235">
        <v>10</v>
      </c>
      <c r="K70" s="217">
        <f>I70*J70</f>
        <v>550</v>
      </c>
    </row>
    <row r="71" spans="2:11" ht="12.75">
      <c r="B71" s="226" t="s">
        <v>267</v>
      </c>
      <c r="C71" s="226" t="s">
        <v>405</v>
      </c>
      <c r="D71" s="233">
        <v>425</v>
      </c>
      <c r="G71" s="226" t="s">
        <v>403</v>
      </c>
      <c r="H71" s="215"/>
      <c r="I71" s="234">
        <v>10</v>
      </c>
      <c r="J71" s="235">
        <v>15</v>
      </c>
      <c r="K71" s="217">
        <f>I71*J71</f>
        <v>150</v>
      </c>
    </row>
    <row r="72" spans="2:11" ht="12.75">
      <c r="B72" s="226" t="s">
        <v>278</v>
      </c>
      <c r="C72" s="226"/>
      <c r="D72" s="233">
        <v>60</v>
      </c>
      <c r="G72" s="226" t="s">
        <v>321</v>
      </c>
      <c r="H72" s="215"/>
      <c r="I72" s="234"/>
      <c r="J72" s="235"/>
      <c r="K72" s="217">
        <f>I72*J72</f>
        <v>0</v>
      </c>
    </row>
    <row r="73" spans="2:11" ht="12.75">
      <c r="B73" s="226" t="s">
        <v>311</v>
      </c>
      <c r="C73" s="226" t="s">
        <v>411</v>
      </c>
      <c r="D73" s="233">
        <v>1204</v>
      </c>
      <c r="J73" s="31" t="s">
        <v>257</v>
      </c>
      <c r="K73" s="365">
        <f>SUM(K68:K72)</f>
        <v>972.5</v>
      </c>
    </row>
    <row r="74" spans="2:4" ht="12.75">
      <c r="B74" s="226" t="s">
        <v>268</v>
      </c>
      <c r="C74" s="226" t="s">
        <v>408</v>
      </c>
      <c r="D74" s="233">
        <v>256</v>
      </c>
    </row>
    <row r="75" spans="2:4" ht="12.75">
      <c r="B75" s="226" t="s">
        <v>309</v>
      </c>
      <c r="C75" s="226" t="s">
        <v>406</v>
      </c>
      <c r="D75" s="233">
        <v>550</v>
      </c>
    </row>
    <row r="76" spans="2:4" ht="12.75">
      <c r="B76" s="226" t="s">
        <v>270</v>
      </c>
      <c r="C76" s="226" t="s">
        <v>407</v>
      </c>
      <c r="D76" s="233">
        <v>330</v>
      </c>
    </row>
    <row r="77" spans="2:4" ht="12.75">
      <c r="B77" s="226" t="s">
        <v>271</v>
      </c>
      <c r="C77" s="226"/>
      <c r="D77" s="233">
        <v>1000</v>
      </c>
    </row>
    <row r="78" spans="2:4" ht="12.75">
      <c r="B78" s="226" t="s">
        <v>46</v>
      </c>
      <c r="C78" s="226"/>
      <c r="D78" s="233"/>
    </row>
    <row r="79" spans="2:4" ht="12.75">
      <c r="B79" s="361" t="s">
        <v>310</v>
      </c>
      <c r="C79" s="361"/>
      <c r="D79" s="363">
        <f>SUM(D80:D85)</f>
        <v>1921</v>
      </c>
    </row>
    <row r="80" spans="2:11" ht="12.75">
      <c r="B80" s="226" t="s">
        <v>269</v>
      </c>
      <c r="C80" s="226"/>
      <c r="D80" s="233">
        <v>319</v>
      </c>
      <c r="J80" s="33"/>
      <c r="K80" s="33"/>
    </row>
    <row r="81" spans="2:4" ht="12.75">
      <c r="B81" s="226" t="s">
        <v>279</v>
      </c>
      <c r="C81" s="226" t="s">
        <v>451</v>
      </c>
      <c r="D81" s="233">
        <v>140</v>
      </c>
    </row>
    <row r="82" spans="2:4" ht="12.75">
      <c r="B82" s="226" t="s">
        <v>311</v>
      </c>
      <c r="C82" s="226" t="s">
        <v>452</v>
      </c>
      <c r="D82" s="233">
        <v>1204</v>
      </c>
    </row>
    <row r="83" spans="2:4" ht="12.75">
      <c r="B83" s="226" t="s">
        <v>280</v>
      </c>
      <c r="C83" s="226" t="s">
        <v>409</v>
      </c>
      <c r="D83" s="233">
        <v>258</v>
      </c>
    </row>
    <row r="84" spans="2:4" ht="12.75">
      <c r="B84" s="226" t="s">
        <v>46</v>
      </c>
      <c r="C84" s="226"/>
      <c r="D84" s="233"/>
    </row>
    <row r="85" spans="2:4" ht="12.75">
      <c r="B85" s="226" t="s">
        <v>46</v>
      </c>
      <c r="C85" s="226"/>
      <c r="D85" s="233"/>
    </row>
    <row r="86" spans="2:4" ht="12.75">
      <c r="B86" s="31" t="s">
        <v>344</v>
      </c>
      <c r="C86" s="352"/>
      <c r="D86" s="368">
        <f>D36+D47+D57+D62+D70+D79</f>
        <v>74023</v>
      </c>
    </row>
    <row r="87" spans="2:4" ht="12.75">
      <c r="B87" s="31" t="s">
        <v>447</v>
      </c>
      <c r="C87" s="352"/>
      <c r="D87" s="236">
        <v>1</v>
      </c>
    </row>
    <row r="88" spans="2:4" ht="12.75">
      <c r="B88" s="31" t="s">
        <v>445</v>
      </c>
      <c r="C88" s="352"/>
      <c r="D88" s="369">
        <f>D86*D87</f>
        <v>74023</v>
      </c>
    </row>
    <row r="89" spans="2:4" ht="12.75">
      <c r="B89" s="43" t="s">
        <v>345</v>
      </c>
      <c r="C89" s="352"/>
      <c r="D89" s="364">
        <f>D86+D88</f>
        <v>148046</v>
      </c>
    </row>
    <row r="90" spans="2:4" ht="12.75">
      <c r="B90" s="366"/>
      <c r="C90" s="352"/>
      <c r="D90" s="364"/>
    </row>
    <row r="91" spans="2:4" ht="12.75">
      <c r="B91" s="31" t="s">
        <v>410</v>
      </c>
      <c r="C91" s="352"/>
      <c r="D91" s="46">
        <f>+D32+I32+D89+I41</f>
        <v>228046</v>
      </c>
    </row>
    <row r="92" spans="2:4" ht="12.75">
      <c r="B92" s="31" t="s">
        <v>107</v>
      </c>
      <c r="C92" s="352"/>
      <c r="D92" s="216">
        <v>2000</v>
      </c>
    </row>
    <row r="93" spans="2:5" ht="12.75">
      <c r="B93" s="31" t="s">
        <v>108</v>
      </c>
      <c r="C93" s="352"/>
      <c r="D93" s="46">
        <f>+D91+D92</f>
        <v>230046</v>
      </c>
      <c r="E93" s="33"/>
    </row>
    <row r="94" spans="2:9" ht="12.75">
      <c r="B94" s="31"/>
      <c r="C94" s="45"/>
      <c r="D94" s="45"/>
      <c r="G94" s="45"/>
      <c r="H94" s="45"/>
      <c r="I94" s="45"/>
    </row>
    <row r="95" spans="2:12" ht="12.75">
      <c r="B95" s="31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2:12" ht="12.75">
      <c r="B96" s="31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2:12" ht="12.75">
      <c r="B97" s="31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2:12" ht="12.75">
      <c r="B98" s="31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2:12" ht="12.75">
      <c r="B99" s="57" t="s">
        <v>65</v>
      </c>
      <c r="E99" s="45"/>
      <c r="F99" s="45"/>
      <c r="J99" s="45"/>
      <c r="K99" s="45"/>
      <c r="L99" s="45"/>
    </row>
    <row r="101" spans="2:12" ht="12.75">
      <c r="B101" s="30" t="s">
        <v>64</v>
      </c>
      <c r="C101" s="30">
        <v>1</v>
      </c>
      <c r="D101" s="30">
        <v>2</v>
      </c>
      <c r="E101" s="30">
        <v>3</v>
      </c>
      <c r="F101" s="30">
        <v>4</v>
      </c>
      <c r="G101" s="30">
        <v>5</v>
      </c>
      <c r="H101" s="30">
        <v>6</v>
      </c>
      <c r="I101" s="30">
        <v>7</v>
      </c>
      <c r="J101" s="30">
        <v>8</v>
      </c>
      <c r="K101" s="30">
        <v>9</v>
      </c>
      <c r="L101" s="30">
        <v>10</v>
      </c>
    </row>
    <row r="102" spans="2:12" ht="12.75">
      <c r="B102" s="30" t="s">
        <v>41</v>
      </c>
      <c r="C102" s="45">
        <f aca="true" t="shared" si="1" ref="C102:L102">$C$120</f>
        <v>2051.2820512820513</v>
      </c>
      <c r="D102" s="45">
        <f t="shared" si="1"/>
        <v>2051.2820512820513</v>
      </c>
      <c r="E102" s="45">
        <f t="shared" si="1"/>
        <v>2051.2820512820513</v>
      </c>
      <c r="F102" s="45">
        <f t="shared" si="1"/>
        <v>2051.2820512820513</v>
      </c>
      <c r="G102" s="45">
        <f t="shared" si="1"/>
        <v>2051.2820512820513</v>
      </c>
      <c r="H102" s="45">
        <f t="shared" si="1"/>
        <v>2051.2820512820513</v>
      </c>
      <c r="I102" s="45">
        <f t="shared" si="1"/>
        <v>2051.2820512820513</v>
      </c>
      <c r="J102" s="45">
        <f t="shared" si="1"/>
        <v>2051.2820512820513</v>
      </c>
      <c r="K102" s="45">
        <f t="shared" si="1"/>
        <v>2051.2820512820513</v>
      </c>
      <c r="L102" s="45">
        <f t="shared" si="1"/>
        <v>2051.2820512820513</v>
      </c>
    </row>
    <row r="103" spans="2:12" ht="12.75">
      <c r="B103" s="30" t="s">
        <v>42</v>
      </c>
      <c r="C103" s="354">
        <f>+C128</f>
        <v>0</v>
      </c>
      <c r="D103" s="354">
        <f>+C129</f>
        <v>0</v>
      </c>
      <c r="E103" s="354">
        <f>+C130</f>
        <v>0</v>
      </c>
      <c r="F103" s="354">
        <f>+C131</f>
        <v>0</v>
      </c>
      <c r="G103" s="354">
        <f>+C132</f>
        <v>0</v>
      </c>
      <c r="H103" s="354">
        <f>+C133</f>
        <v>0</v>
      </c>
      <c r="I103" s="354">
        <f>+C134</f>
        <v>0</v>
      </c>
      <c r="J103" s="354">
        <f>+C135</f>
        <v>0</v>
      </c>
      <c r="K103" s="354">
        <f>C136</f>
        <v>0</v>
      </c>
      <c r="L103" s="354">
        <f>+C137</f>
        <v>0</v>
      </c>
    </row>
    <row r="104" spans="2:10" ht="12.75">
      <c r="B104" s="30" t="s">
        <v>155</v>
      </c>
      <c r="C104" s="370">
        <f>+$C$141</f>
        <v>10577.8867</v>
      </c>
      <c r="D104" s="370">
        <f>+$C$142</f>
        <v>18128.2327</v>
      </c>
      <c r="E104" s="370">
        <f>+$C$143</f>
        <v>12946.6227</v>
      </c>
      <c r="F104" s="370">
        <f>+$C$144</f>
        <v>9245.4727</v>
      </c>
      <c r="G104" s="370">
        <f>+$C$145</f>
        <v>6610.253900000001</v>
      </c>
      <c r="H104" s="370">
        <f>+$C$146</f>
        <v>6602.8516</v>
      </c>
      <c r="I104" s="370">
        <f>+$C$147</f>
        <v>6610.253900000001</v>
      </c>
      <c r="J104" s="370">
        <f>C148</f>
        <v>3301.4258</v>
      </c>
    </row>
    <row r="105" spans="2:9" ht="12.75">
      <c r="B105" s="30" t="s">
        <v>44</v>
      </c>
      <c r="C105" s="370">
        <f>+$C$152</f>
        <v>0</v>
      </c>
      <c r="D105" s="370">
        <f>+$C$153</f>
        <v>0</v>
      </c>
      <c r="E105" s="370">
        <f>+$C$154</f>
        <v>0</v>
      </c>
      <c r="F105" s="370">
        <f>+$C$155</f>
        <v>0</v>
      </c>
      <c r="G105" s="370">
        <f>+$C$156</f>
        <v>0</v>
      </c>
      <c r="H105" s="370">
        <f>+$C$157</f>
        <v>0</v>
      </c>
      <c r="I105" s="45"/>
    </row>
    <row r="107" spans="2:12" ht="12.75">
      <c r="B107" s="31" t="s">
        <v>67</v>
      </c>
      <c r="C107" s="45">
        <f aca="true" t="shared" si="2" ref="C107:I107">SUM(C102:C105)</f>
        <v>12629.16875128205</v>
      </c>
      <c r="D107" s="45">
        <f t="shared" si="2"/>
        <v>20179.51475128205</v>
      </c>
      <c r="E107" s="45">
        <f t="shared" si="2"/>
        <v>14997.90475128205</v>
      </c>
      <c r="F107" s="45">
        <f t="shared" si="2"/>
        <v>11296.754751282051</v>
      </c>
      <c r="G107" s="45">
        <f t="shared" si="2"/>
        <v>8661.535951282052</v>
      </c>
      <c r="H107" s="45">
        <f t="shared" si="2"/>
        <v>8654.13365128205</v>
      </c>
      <c r="I107" s="45">
        <f t="shared" si="2"/>
        <v>8661.535951282052</v>
      </c>
      <c r="J107" s="45">
        <f>SUM(J102:J104)</f>
        <v>5352.707851282052</v>
      </c>
      <c r="K107" s="45">
        <f>SUM(K102:K104)</f>
        <v>2051.2820512820513</v>
      </c>
      <c r="L107" s="45">
        <f>SUM(L102:L104)</f>
        <v>2051.2820512820513</v>
      </c>
    </row>
    <row r="108" spans="2:12" ht="12.75">
      <c r="B108" s="31"/>
      <c r="C108" s="45"/>
      <c r="E108" s="45"/>
      <c r="F108" s="45"/>
      <c r="J108" s="45"/>
      <c r="K108" s="45"/>
      <c r="L108" s="45"/>
    </row>
    <row r="109" spans="2:3" ht="12.75">
      <c r="B109" s="31" t="s">
        <v>41</v>
      </c>
      <c r="C109" s="45" t="s">
        <v>66</v>
      </c>
    </row>
    <row r="110" spans="2:3" ht="12.75">
      <c r="B110" s="31" t="s">
        <v>42</v>
      </c>
      <c r="C110" s="45" t="s">
        <v>68</v>
      </c>
    </row>
    <row r="111" spans="2:3" ht="12.75">
      <c r="B111" s="31" t="s">
        <v>43</v>
      </c>
      <c r="C111" s="45" t="s">
        <v>69</v>
      </c>
    </row>
    <row r="112" spans="2:3" ht="12.75">
      <c r="B112" s="31" t="s">
        <v>44</v>
      </c>
      <c r="C112" s="45" t="s">
        <v>70</v>
      </c>
    </row>
    <row r="114" ht="12.75">
      <c r="C114" s="352"/>
    </row>
    <row r="115" spans="2:3" ht="12.75">
      <c r="B115" s="31" t="s">
        <v>41</v>
      </c>
      <c r="C115" s="371"/>
    </row>
    <row r="116" spans="2:12" ht="12.75">
      <c r="B116" s="30" t="s">
        <v>71</v>
      </c>
      <c r="C116" s="372">
        <f>+D32</f>
        <v>80000</v>
      </c>
      <c r="L116" s="30">
        <v>0.0613</v>
      </c>
    </row>
    <row r="117" spans="2:3" ht="12.75">
      <c r="B117" s="373" t="s">
        <v>72</v>
      </c>
      <c r="C117" s="333">
        <v>39</v>
      </c>
    </row>
    <row r="118" spans="2:3" ht="12.75">
      <c r="B118" s="373" t="s">
        <v>73</v>
      </c>
      <c r="C118" s="374">
        <f>+E32</f>
        <v>0</v>
      </c>
    </row>
    <row r="119" spans="2:3" ht="12.75">
      <c r="B119" s="373" t="s">
        <v>74</v>
      </c>
      <c r="C119" s="333">
        <v>39</v>
      </c>
    </row>
    <row r="120" spans="2:3" ht="12.75">
      <c r="B120" s="30" t="s">
        <v>144</v>
      </c>
      <c r="C120" s="45">
        <f>(C116-C118)/C119</f>
        <v>2051.2820512820513</v>
      </c>
    </row>
    <row r="122" ht="12.75">
      <c r="B122" s="31" t="s">
        <v>165</v>
      </c>
    </row>
    <row r="123" spans="2:3" ht="12.75">
      <c r="B123" s="30" t="s">
        <v>71</v>
      </c>
      <c r="C123" s="354">
        <f>$I$32</f>
        <v>0</v>
      </c>
    </row>
    <row r="124" ht="12.75">
      <c r="B124" s="30" t="s">
        <v>72</v>
      </c>
    </row>
    <row r="125" ht="12.75">
      <c r="C125" s="18"/>
    </row>
    <row r="127" spans="2:4" ht="12.75">
      <c r="B127" s="57" t="s">
        <v>64</v>
      </c>
      <c r="C127" s="58" t="s">
        <v>45</v>
      </c>
      <c r="D127" s="57" t="s">
        <v>75</v>
      </c>
    </row>
    <row r="128" spans="2:4" ht="12.75">
      <c r="B128" s="30">
        <v>1</v>
      </c>
      <c r="C128" s="354">
        <f>$I$32*D128</f>
        <v>0</v>
      </c>
      <c r="D128" s="375">
        <v>0.1</v>
      </c>
    </row>
    <row r="129" spans="2:4" ht="12.75">
      <c r="B129" s="30">
        <v>2</v>
      </c>
      <c r="C129" s="354">
        <f>$I$32*D129</f>
        <v>0</v>
      </c>
      <c r="D129" s="375">
        <v>0.14</v>
      </c>
    </row>
    <row r="130" spans="2:4" ht="12.75">
      <c r="B130" s="30">
        <v>3</v>
      </c>
      <c r="C130" s="354">
        <f>$I$32*D130</f>
        <v>0</v>
      </c>
      <c r="D130" s="375">
        <v>0.14</v>
      </c>
    </row>
    <row r="131" spans="2:4" ht="12.75">
      <c r="B131" s="30">
        <v>4</v>
      </c>
      <c r="C131" s="354">
        <f>$I$32*D131</f>
        <v>0</v>
      </c>
      <c r="D131" s="375">
        <v>0.14</v>
      </c>
    </row>
    <row r="132" spans="2:4" ht="12.75">
      <c r="B132" s="30">
        <v>5</v>
      </c>
      <c r="C132" s="354">
        <f aca="true" t="shared" si="3" ref="C132:C137">$I$32*D132</f>
        <v>0</v>
      </c>
      <c r="D132" s="375">
        <v>0.14</v>
      </c>
    </row>
    <row r="133" spans="2:4" ht="12.75">
      <c r="B133" s="30">
        <v>6</v>
      </c>
      <c r="C133" s="354">
        <f t="shared" si="3"/>
        <v>0</v>
      </c>
      <c r="D133" s="375">
        <v>0.14</v>
      </c>
    </row>
    <row r="134" spans="2:4" ht="12.75">
      <c r="B134" s="30">
        <v>7</v>
      </c>
      <c r="C134" s="354">
        <f t="shared" si="3"/>
        <v>0</v>
      </c>
      <c r="D134" s="375">
        <v>0.14</v>
      </c>
    </row>
    <row r="135" spans="2:4" ht="12.75">
      <c r="B135" s="30">
        <v>8</v>
      </c>
      <c r="C135" s="354">
        <f t="shared" si="3"/>
        <v>0</v>
      </c>
      <c r="D135" s="375">
        <v>0.14</v>
      </c>
    </row>
    <row r="136" spans="2:4" ht="12.75">
      <c r="B136" s="30">
        <v>9</v>
      </c>
      <c r="C136" s="354">
        <f t="shared" si="3"/>
        <v>0</v>
      </c>
      <c r="D136" s="375">
        <v>0.14</v>
      </c>
    </row>
    <row r="137" spans="2:4" ht="12.75">
      <c r="B137" s="30">
        <v>10</v>
      </c>
      <c r="C137" s="354">
        <f t="shared" si="3"/>
        <v>0</v>
      </c>
      <c r="D137" s="375">
        <v>0.14</v>
      </c>
    </row>
    <row r="139" spans="2:9" ht="12.75">
      <c r="B139" s="31" t="s">
        <v>168</v>
      </c>
      <c r="E139" s="373"/>
      <c r="G139" s="31"/>
      <c r="H139" s="31"/>
      <c r="I139" s="31"/>
    </row>
    <row r="140" spans="2:9" ht="12.75">
      <c r="B140" s="57" t="s">
        <v>64</v>
      </c>
      <c r="C140" s="58" t="s">
        <v>45</v>
      </c>
      <c r="D140" s="57" t="s">
        <v>75</v>
      </c>
      <c r="E140" s="373"/>
      <c r="G140" s="333"/>
      <c r="H140" s="333"/>
      <c r="I140" s="333"/>
    </row>
    <row r="141" spans="2:12" ht="12.75">
      <c r="B141" s="30">
        <v>1</v>
      </c>
      <c r="C141" s="354">
        <f aca="true" t="shared" si="4" ref="C141:C148">$D$86*D141</f>
        <v>10577.8867</v>
      </c>
      <c r="D141" s="376">
        <v>0.1429</v>
      </c>
      <c r="E141" s="333"/>
      <c r="F141" s="31"/>
      <c r="J141" s="333"/>
      <c r="K141" s="333"/>
      <c r="L141" s="333"/>
    </row>
    <row r="142" spans="2:6" ht="12.75">
      <c r="B142" s="30">
        <v>2</v>
      </c>
      <c r="C142" s="354">
        <f t="shared" si="4"/>
        <v>18128.2327</v>
      </c>
      <c r="D142" s="376">
        <v>0.2449</v>
      </c>
      <c r="F142" s="333"/>
    </row>
    <row r="143" spans="2:4" ht="12.75">
      <c r="B143" s="30">
        <v>3</v>
      </c>
      <c r="C143" s="354">
        <f t="shared" si="4"/>
        <v>12946.6227</v>
      </c>
      <c r="D143" s="376">
        <v>0.1749</v>
      </c>
    </row>
    <row r="144" spans="2:4" ht="12.75">
      <c r="B144" s="30">
        <v>4</v>
      </c>
      <c r="C144" s="354">
        <f t="shared" si="4"/>
        <v>9245.4727</v>
      </c>
      <c r="D144" s="376">
        <v>0.1249</v>
      </c>
    </row>
    <row r="145" spans="2:4" ht="12.75">
      <c r="B145" s="30">
        <v>5</v>
      </c>
      <c r="C145" s="354">
        <f t="shared" si="4"/>
        <v>6610.253900000001</v>
      </c>
      <c r="D145" s="376">
        <v>0.0893</v>
      </c>
    </row>
    <row r="146" spans="2:4" ht="12.75">
      <c r="B146" s="30">
        <v>6</v>
      </c>
      <c r="C146" s="354">
        <f t="shared" si="4"/>
        <v>6602.8516</v>
      </c>
      <c r="D146" s="376">
        <v>0.0892</v>
      </c>
    </row>
    <row r="147" spans="2:4" ht="12.75">
      <c r="B147" s="30">
        <v>7</v>
      </c>
      <c r="C147" s="354">
        <f t="shared" si="4"/>
        <v>6610.253900000001</v>
      </c>
      <c r="D147" s="376">
        <v>0.0893</v>
      </c>
    </row>
    <row r="148" spans="2:4" ht="12.75">
      <c r="B148" s="30">
        <v>8</v>
      </c>
      <c r="C148" s="354">
        <f t="shared" si="4"/>
        <v>3301.4258</v>
      </c>
      <c r="D148" s="376">
        <v>0.0446</v>
      </c>
    </row>
    <row r="150" ht="12.75">
      <c r="B150" s="31" t="s">
        <v>44</v>
      </c>
    </row>
    <row r="151" spans="2:4" ht="12.75">
      <c r="B151" s="57" t="s">
        <v>64</v>
      </c>
      <c r="C151" s="58" t="s">
        <v>45</v>
      </c>
      <c r="D151" s="57" t="s">
        <v>75</v>
      </c>
    </row>
    <row r="152" spans="2:4" ht="12.75">
      <c r="B152" s="30">
        <v>1</v>
      </c>
      <c r="C152" s="354">
        <f aca="true" t="shared" si="5" ref="C152:C157">$I$41*D152</f>
        <v>0</v>
      </c>
      <c r="D152" s="377">
        <v>0.2</v>
      </c>
    </row>
    <row r="153" spans="2:4" ht="12.75">
      <c r="B153" s="30">
        <v>2</v>
      </c>
      <c r="C153" s="354">
        <f t="shared" si="5"/>
        <v>0</v>
      </c>
      <c r="D153" s="377">
        <v>0.32</v>
      </c>
    </row>
    <row r="154" spans="2:4" ht="12.75">
      <c r="B154" s="30">
        <v>3</v>
      </c>
      <c r="C154" s="354">
        <f t="shared" si="5"/>
        <v>0</v>
      </c>
      <c r="D154" s="377">
        <v>0.192</v>
      </c>
    </row>
    <row r="155" spans="2:4" ht="12.75">
      <c r="B155" s="30">
        <v>4</v>
      </c>
      <c r="C155" s="354">
        <f t="shared" si="5"/>
        <v>0</v>
      </c>
      <c r="D155" s="377">
        <v>0.1152</v>
      </c>
    </row>
    <row r="156" spans="2:4" ht="12.75">
      <c r="B156" s="30">
        <v>5</v>
      </c>
      <c r="C156" s="354">
        <f t="shared" si="5"/>
        <v>0</v>
      </c>
      <c r="D156" s="377">
        <v>0.1152</v>
      </c>
    </row>
    <row r="157" spans="2:4" ht="12.75">
      <c r="B157" s="30">
        <v>6</v>
      </c>
      <c r="C157" s="354">
        <f t="shared" si="5"/>
        <v>0</v>
      </c>
      <c r="D157" s="377">
        <v>0.0576</v>
      </c>
    </row>
    <row r="159" ht="12.75">
      <c r="E159" s="29"/>
    </row>
    <row r="160" ht="13.5">
      <c r="E160" s="378"/>
    </row>
    <row r="161" ht="13.5">
      <c r="E161" s="378"/>
    </row>
    <row r="162" ht="13.5">
      <c r="E162" s="378"/>
    </row>
    <row r="163" ht="13.5">
      <c r="E163" s="378"/>
    </row>
    <row r="164" ht="13.5">
      <c r="E164" s="378"/>
    </row>
    <row r="165" ht="13.5">
      <c r="E165" s="378"/>
    </row>
    <row r="166" ht="13.5">
      <c r="E166" s="378"/>
    </row>
    <row r="167" ht="13.5">
      <c r="E167" s="378"/>
    </row>
    <row r="168" ht="12.75">
      <c r="E168" s="29"/>
    </row>
    <row r="169" ht="12.75">
      <c r="E169" s="29"/>
    </row>
    <row r="176" ht="13.5">
      <c r="E176" s="379"/>
    </row>
    <row r="177" ht="13.5">
      <c r="E177" s="379"/>
    </row>
    <row r="178" ht="13.5">
      <c r="E178" s="379"/>
    </row>
    <row r="179" ht="13.5">
      <c r="E179" s="379"/>
    </row>
    <row r="180" ht="13.5">
      <c r="E180" s="379"/>
    </row>
    <row r="181" ht="13.5">
      <c r="E181" s="379"/>
    </row>
  </sheetData>
  <sheetProtection sheet="1" objects="1" scenarios="1"/>
  <mergeCells count="18">
    <mergeCell ref="B36:C36"/>
    <mergeCell ref="B37:C37"/>
    <mergeCell ref="B38:C38"/>
    <mergeCell ref="G39:H39"/>
    <mergeCell ref="G40:H40"/>
    <mergeCell ref="G27:H27"/>
    <mergeCell ref="G28:H28"/>
    <mergeCell ref="G29:H29"/>
    <mergeCell ref="G30:H30"/>
    <mergeCell ref="G31:H31"/>
    <mergeCell ref="G36:H36"/>
    <mergeCell ref="G37:H37"/>
    <mergeCell ref="G38:H38"/>
    <mergeCell ref="B31:C31"/>
    <mergeCell ref="B27:C27"/>
    <mergeCell ref="B28:C28"/>
    <mergeCell ref="B29:C29"/>
    <mergeCell ref="B30:C30"/>
  </mergeCells>
  <hyperlinks>
    <hyperlink ref="B3" location="'Personnel Expenses'!A1" display="FORWARD TO PERSONNEL EXPENSES"/>
    <hyperlink ref="B4" location="'Market Projection'!A1" display="FORWARD TO MARKET PROJECTION"/>
    <hyperlink ref="B5" location="'Loan Amortization'!A1" display="FORWARD TO LOAN AMORTIZATION"/>
    <hyperlink ref="B6" location="'Expense Projection'!A1" display="FORWARD TO EXPENSE PROJECTION"/>
    <hyperlink ref="B7" location="'Operations Summary'!A1" display="FORWARD TO OPERATIONS SUMMARY"/>
    <hyperlink ref="B8" location="'Return On Investment'!A1" display="FORWARD TO RETURN ON INVESTMENT"/>
    <hyperlink ref="B9" location="Introduction!A1" display="BACK TO INTRODUCTION"/>
    <hyperlink ref="B10" location="'Grapes &amp; Wines'!A1" display="BACK TO GRAPES AND WINES"/>
    <hyperlink ref="B11" location="'Input Value'!A1" display="BACK TO INPUT VALUES"/>
    <hyperlink ref="B12:C12" location="'Wine Products'!A1" display="BACK TO WINE PRODUCTS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58"/>
  <sheetViews>
    <sheetView workbookViewId="0" topLeftCell="A1">
      <selection activeCell="B3" sqref="B3"/>
    </sheetView>
  </sheetViews>
  <sheetFormatPr defaultColWidth="9.140625" defaultRowHeight="12.75"/>
  <cols>
    <col min="2" max="2" width="34.28125" style="0" customWidth="1"/>
    <col min="3" max="3" width="4.8515625" style="0" customWidth="1"/>
    <col min="4" max="4" width="20.00390625" style="9" customWidth="1"/>
    <col min="5" max="5" width="3.140625" style="9" customWidth="1"/>
    <col min="6" max="6" width="17.57421875" style="9" customWidth="1"/>
    <col min="7" max="7" width="3.28125" style="9" customWidth="1"/>
    <col min="8" max="8" width="17.421875" style="9" customWidth="1"/>
    <col min="9" max="9" width="2.8515625" style="9" customWidth="1"/>
    <col min="10" max="10" width="15.7109375" style="0" customWidth="1"/>
    <col min="11" max="11" width="2.28125" style="0" customWidth="1"/>
    <col min="12" max="12" width="11.7109375" style="0" bestFit="1" customWidth="1"/>
    <col min="13" max="13" width="2.57421875" style="0" customWidth="1"/>
    <col min="14" max="14" width="12.8515625" style="0" customWidth="1"/>
    <col min="15" max="15" width="3.00390625" style="0" customWidth="1"/>
    <col min="16" max="16" width="12.57421875" style="0" customWidth="1"/>
    <col min="17" max="17" width="2.140625" style="0" customWidth="1"/>
    <col min="18" max="18" width="11.00390625" style="0" customWidth="1"/>
    <col min="19" max="19" width="2.00390625" style="0" customWidth="1"/>
    <col min="20" max="20" width="13.421875" style="0" customWidth="1"/>
  </cols>
  <sheetData>
    <row r="1" ht="13.5" thickBot="1"/>
    <row r="2" spans="2:3" ht="13.5" thickBot="1">
      <c r="B2" s="183" t="s">
        <v>137</v>
      </c>
      <c r="C2" s="157"/>
    </row>
    <row r="3" spans="2:3" ht="13.5" thickBot="1">
      <c r="B3" s="185" t="s">
        <v>423</v>
      </c>
      <c r="C3" s="186"/>
    </row>
    <row r="4" spans="2:3" ht="13.5" thickBot="1">
      <c r="B4" s="185" t="s">
        <v>424</v>
      </c>
      <c r="C4" s="186"/>
    </row>
    <row r="5" spans="2:3" ht="13.5" thickBot="1">
      <c r="B5" s="185" t="s">
        <v>138</v>
      </c>
      <c r="C5" s="186"/>
    </row>
    <row r="6" spans="2:3" ht="13.5" thickBot="1">
      <c r="B6" s="185" t="s">
        <v>139</v>
      </c>
      <c r="C6" s="186"/>
    </row>
    <row r="7" spans="2:3" ht="13.5" thickBot="1">
      <c r="B7" s="185" t="s">
        <v>140</v>
      </c>
      <c r="C7" s="186"/>
    </row>
    <row r="8" spans="2:3" ht="13.5" thickBot="1">
      <c r="B8" s="185" t="s">
        <v>141</v>
      </c>
      <c r="C8" s="186"/>
    </row>
    <row r="9" spans="2:3" ht="13.5" thickBot="1">
      <c r="B9" s="187" t="s">
        <v>425</v>
      </c>
      <c r="C9" s="188"/>
    </row>
    <row r="10" spans="2:3" ht="13.5" thickBot="1">
      <c r="B10" s="185" t="s">
        <v>426</v>
      </c>
      <c r="C10" s="186"/>
    </row>
    <row r="11" spans="2:3" ht="13.5" thickBot="1">
      <c r="B11" s="185" t="s">
        <v>431</v>
      </c>
      <c r="C11" s="191"/>
    </row>
    <row r="12" spans="2:3" ht="13.5" thickBot="1">
      <c r="B12" s="185" t="s">
        <v>432</v>
      </c>
      <c r="C12" s="191"/>
    </row>
    <row r="13" spans="2:19" ht="12.75">
      <c r="B13" s="51"/>
      <c r="C13" s="51"/>
      <c r="D13" s="51"/>
      <c r="E13" s="51"/>
      <c r="F13" s="51"/>
      <c r="G13" s="51"/>
      <c r="H13" s="52"/>
      <c r="I13" s="52"/>
      <c r="J13" s="53"/>
      <c r="K13" s="53"/>
      <c r="L13" s="53"/>
      <c r="M13" s="53"/>
      <c r="N13" s="53"/>
      <c r="O13" s="53"/>
      <c r="P13" s="15"/>
      <c r="Q13" s="15"/>
      <c r="R13" s="15"/>
      <c r="S13" s="15"/>
    </row>
    <row r="14" spans="2:15" ht="15.75">
      <c r="B14" s="34" t="s">
        <v>286</v>
      </c>
      <c r="C14" s="34"/>
      <c r="D14" s="192"/>
      <c r="E14" s="192"/>
      <c r="F14" s="192"/>
      <c r="G14" s="192"/>
      <c r="H14" s="48"/>
      <c r="I14" s="48"/>
      <c r="J14" s="30"/>
      <c r="K14" s="30"/>
      <c r="L14" s="30"/>
      <c r="M14" s="30"/>
      <c r="N14" s="30"/>
      <c r="O14" s="30"/>
    </row>
    <row r="15" spans="2:15" ht="13.5" thickBot="1">
      <c r="B15" s="31"/>
      <c r="C15" s="31"/>
      <c r="D15" s="48"/>
      <c r="E15" s="48"/>
      <c r="F15" s="48"/>
      <c r="G15" s="48"/>
      <c r="H15" s="48"/>
      <c r="I15" s="48"/>
      <c r="J15" s="30"/>
      <c r="K15" s="30"/>
      <c r="L15" s="30"/>
      <c r="M15" s="30"/>
      <c r="N15" s="30"/>
      <c r="O15" s="30"/>
    </row>
    <row r="16" spans="2:15" ht="13.5" thickBot="1">
      <c r="B16" s="129" t="s">
        <v>91</v>
      </c>
      <c r="C16" s="130"/>
      <c r="D16" s="131"/>
      <c r="E16" s="48"/>
      <c r="F16" s="48"/>
      <c r="G16" s="48"/>
      <c r="H16" s="48"/>
      <c r="I16" s="48"/>
      <c r="J16" s="30"/>
      <c r="K16" s="30"/>
      <c r="L16" s="30"/>
      <c r="M16" s="30"/>
      <c r="N16" s="30"/>
      <c r="O16" s="30"/>
    </row>
    <row r="17" spans="2:15" ht="12.75">
      <c r="B17" s="136" t="s">
        <v>32</v>
      </c>
      <c r="C17" s="14"/>
      <c r="D17" s="298">
        <v>0.05</v>
      </c>
      <c r="E17" s="48"/>
      <c r="F17" s="48"/>
      <c r="G17" s="48"/>
      <c r="H17" s="48"/>
      <c r="I17" s="48"/>
      <c r="J17" s="30"/>
      <c r="K17" s="30"/>
      <c r="L17" s="30"/>
      <c r="M17" s="30"/>
      <c r="N17" s="30"/>
      <c r="O17" s="30"/>
    </row>
    <row r="18" spans="2:15" ht="12.75">
      <c r="B18" s="136" t="s">
        <v>33</v>
      </c>
      <c r="C18" s="14"/>
      <c r="D18" s="298">
        <v>0.15</v>
      </c>
      <c r="E18" s="48"/>
      <c r="F18" s="48"/>
      <c r="G18" s="48"/>
      <c r="H18" s="48"/>
      <c r="I18" s="48"/>
      <c r="J18" s="30"/>
      <c r="K18" s="30"/>
      <c r="L18" s="30"/>
      <c r="M18" s="30"/>
      <c r="N18" s="30"/>
      <c r="O18" s="30"/>
    </row>
    <row r="19" spans="2:15" ht="12.75">
      <c r="B19" s="136" t="s">
        <v>120</v>
      </c>
      <c r="C19" s="14"/>
      <c r="D19" s="298">
        <v>0.1</v>
      </c>
      <c r="E19" s="48"/>
      <c r="F19" s="48"/>
      <c r="G19" s="48"/>
      <c r="H19" s="48"/>
      <c r="I19" s="48"/>
      <c r="J19" s="30"/>
      <c r="K19" s="30"/>
      <c r="L19" s="30"/>
      <c r="M19" s="30"/>
      <c r="N19" s="30"/>
      <c r="O19" s="30"/>
    </row>
    <row r="20" spans="2:15" ht="12.75">
      <c r="B20" s="136" t="s">
        <v>448</v>
      </c>
      <c r="C20" s="14"/>
      <c r="D20" s="237">
        <f>SUM(D17:D19)</f>
        <v>0.30000000000000004</v>
      </c>
      <c r="E20" s="48"/>
      <c r="F20" s="48"/>
      <c r="G20" s="48"/>
      <c r="H20" s="48"/>
      <c r="I20" s="48"/>
      <c r="J20" s="30"/>
      <c r="K20" s="30"/>
      <c r="L20" s="30"/>
      <c r="M20" s="30"/>
      <c r="N20" s="30"/>
      <c r="O20" s="30"/>
    </row>
    <row r="21" spans="2:15" ht="12.75">
      <c r="B21" s="136" t="s">
        <v>449</v>
      </c>
      <c r="C21" s="14"/>
      <c r="D21" s="237">
        <f>D17+D19</f>
        <v>0.15000000000000002</v>
      </c>
      <c r="E21" s="48"/>
      <c r="F21" s="48"/>
      <c r="G21" s="48"/>
      <c r="H21" s="48"/>
      <c r="I21" s="48"/>
      <c r="J21" s="30"/>
      <c r="K21" s="30"/>
      <c r="L21" s="30"/>
      <c r="M21" s="30"/>
      <c r="N21" s="30"/>
      <c r="O21" s="30"/>
    </row>
    <row r="22" spans="2:15" ht="13.5" thickBot="1">
      <c r="B22" s="137" t="s">
        <v>86</v>
      </c>
      <c r="C22" s="83"/>
      <c r="D22" s="300">
        <v>0.01</v>
      </c>
      <c r="E22" s="48"/>
      <c r="F22" s="48"/>
      <c r="G22" s="48"/>
      <c r="H22" s="48"/>
      <c r="I22" s="48"/>
      <c r="J22" s="30"/>
      <c r="K22" s="30"/>
      <c r="L22" s="30"/>
      <c r="M22" s="30"/>
      <c r="N22" s="30"/>
      <c r="O22" s="30"/>
    </row>
    <row r="23" spans="2:15" ht="12.75">
      <c r="B23" s="29"/>
      <c r="C23" s="14"/>
      <c r="D23" s="132"/>
      <c r="E23" s="48"/>
      <c r="F23" s="48"/>
      <c r="G23" s="48"/>
      <c r="H23" s="48"/>
      <c r="I23" s="48"/>
      <c r="J23" s="30"/>
      <c r="K23" s="30"/>
      <c r="L23" s="30"/>
      <c r="M23" s="30"/>
      <c r="N23" s="30"/>
      <c r="O23" s="30"/>
    </row>
    <row r="24" spans="2:15" ht="12.75">
      <c r="B24" s="29"/>
      <c r="C24" s="14"/>
      <c r="D24" s="132"/>
      <c r="E24" s="48"/>
      <c r="F24" s="48"/>
      <c r="G24" s="48"/>
      <c r="H24" s="48"/>
      <c r="I24" s="48"/>
      <c r="J24" s="30"/>
      <c r="K24" s="30"/>
      <c r="L24" s="30"/>
      <c r="M24" s="30"/>
      <c r="N24" s="30"/>
      <c r="O24" s="30"/>
    </row>
    <row r="25" spans="2:15" ht="12.75">
      <c r="B25" s="30"/>
      <c r="C25" s="30"/>
      <c r="D25" s="48"/>
      <c r="E25" s="48"/>
      <c r="F25" s="48"/>
      <c r="G25" s="48"/>
      <c r="H25" s="48"/>
      <c r="I25" s="48"/>
      <c r="J25" s="30"/>
      <c r="K25" s="30"/>
      <c r="L25" s="30"/>
      <c r="M25" s="30"/>
      <c r="N25" s="30"/>
      <c r="O25" s="30"/>
    </row>
    <row r="26" spans="2:15" ht="12.75">
      <c r="B26" s="31" t="s">
        <v>287</v>
      </c>
      <c r="C26" s="31"/>
      <c r="D26" s="48"/>
      <c r="E26" s="48"/>
      <c r="F26" s="48"/>
      <c r="G26" s="48"/>
      <c r="H26" s="48"/>
      <c r="I26" s="48"/>
      <c r="J26" s="30"/>
      <c r="K26" s="30"/>
      <c r="L26" s="30"/>
      <c r="M26" s="30"/>
      <c r="N26" s="30"/>
      <c r="O26" s="30"/>
    </row>
    <row r="27" spans="2:15" ht="12.75">
      <c r="B27" s="31" t="s">
        <v>343</v>
      </c>
      <c r="C27" s="31"/>
      <c r="D27" s="48"/>
      <c r="E27" s="48"/>
      <c r="F27" s="48"/>
      <c r="G27" s="48"/>
      <c r="H27" s="48"/>
      <c r="I27" s="48"/>
      <c r="J27" s="30"/>
      <c r="K27" s="30"/>
      <c r="L27" s="30"/>
      <c r="M27" s="30"/>
      <c r="N27" s="30"/>
      <c r="O27" s="30"/>
    </row>
    <row r="28" spans="2:15" ht="13.5" thickBot="1">
      <c r="B28" s="29"/>
      <c r="C28" s="29"/>
      <c r="D28" s="80"/>
      <c r="E28" s="80"/>
      <c r="F28" s="80"/>
      <c r="G28" s="80"/>
      <c r="H28" s="80"/>
      <c r="I28" s="80"/>
      <c r="J28" s="29"/>
      <c r="K28" s="29"/>
      <c r="L28" s="29"/>
      <c r="M28" s="29"/>
      <c r="N28" s="30"/>
      <c r="O28" s="30"/>
    </row>
    <row r="29" spans="2:15" ht="13.5" thickBot="1">
      <c r="B29" s="125" t="s">
        <v>27</v>
      </c>
      <c r="C29" s="126"/>
      <c r="D29" s="127" t="s">
        <v>28</v>
      </c>
      <c r="E29" s="127"/>
      <c r="F29" s="127" t="s">
        <v>30</v>
      </c>
      <c r="G29" s="127"/>
      <c r="H29" s="127" t="s">
        <v>93</v>
      </c>
      <c r="I29" s="127"/>
      <c r="J29" s="127" t="s">
        <v>29</v>
      </c>
      <c r="K29" s="127"/>
      <c r="L29" s="128" t="s">
        <v>50</v>
      </c>
      <c r="M29" s="78"/>
      <c r="N29" s="30"/>
      <c r="O29" s="30"/>
    </row>
    <row r="30" spans="2:15" ht="12.75">
      <c r="B30" s="380" t="s">
        <v>284</v>
      </c>
      <c r="C30" s="28"/>
      <c r="D30" s="382">
        <v>30000</v>
      </c>
      <c r="E30" s="108"/>
      <c r="F30" s="109">
        <f>D30*$D$20</f>
        <v>9000.000000000002</v>
      </c>
      <c r="G30" s="109"/>
      <c r="H30" s="384">
        <v>0</v>
      </c>
      <c r="I30" s="110"/>
      <c r="J30" s="111">
        <f>+(D30+F30)*H30</f>
        <v>0</v>
      </c>
      <c r="K30" s="111"/>
      <c r="L30" s="112">
        <f>+D30+F30+J30</f>
        <v>39000</v>
      </c>
      <c r="M30" s="82"/>
      <c r="N30" s="30"/>
      <c r="O30" s="30"/>
    </row>
    <row r="31" spans="2:15" ht="12.75">
      <c r="B31" s="380" t="s">
        <v>285</v>
      </c>
      <c r="C31" s="28"/>
      <c r="D31" s="382"/>
      <c r="E31" s="108"/>
      <c r="F31" s="109">
        <f>D31*$D$20</f>
        <v>0</v>
      </c>
      <c r="G31" s="109"/>
      <c r="H31" s="384">
        <v>0</v>
      </c>
      <c r="I31" s="110"/>
      <c r="J31" s="111">
        <f>+(D31+F31)*H31</f>
        <v>0</v>
      </c>
      <c r="K31" s="111"/>
      <c r="L31" s="112">
        <f>+D31+F31+J31</f>
        <v>0</v>
      </c>
      <c r="M31" s="82"/>
      <c r="N31" s="30"/>
      <c r="O31" s="30"/>
    </row>
    <row r="32" spans="2:15" ht="12.75">
      <c r="B32" s="380" t="s">
        <v>322</v>
      </c>
      <c r="C32" s="28"/>
      <c r="D32" s="382"/>
      <c r="E32" s="108"/>
      <c r="F32" s="109">
        <f>D32*$D$20</f>
        <v>0</v>
      </c>
      <c r="G32" s="109"/>
      <c r="H32" s="384">
        <v>0</v>
      </c>
      <c r="I32" s="110"/>
      <c r="J32" s="111">
        <f>+(D32+F32)*H32</f>
        <v>0</v>
      </c>
      <c r="K32" s="111"/>
      <c r="L32" s="112">
        <f>+D32+F32+J32</f>
        <v>0</v>
      </c>
      <c r="M32" s="82"/>
      <c r="N32" s="30"/>
      <c r="O32" s="30"/>
    </row>
    <row r="33" spans="2:15" ht="12.75">
      <c r="B33" s="381" t="s">
        <v>126</v>
      </c>
      <c r="C33" s="138"/>
      <c r="D33" s="383"/>
      <c r="E33" s="139"/>
      <c r="F33" s="140">
        <f>D33*$D$20</f>
        <v>0</v>
      </c>
      <c r="G33" s="140"/>
      <c r="H33" s="385">
        <v>0</v>
      </c>
      <c r="I33" s="141"/>
      <c r="J33" s="142">
        <f>+(D33+F33)*H33</f>
        <v>0</v>
      </c>
      <c r="K33" s="142"/>
      <c r="L33" s="143">
        <f>+D33+F33+J33</f>
        <v>0</v>
      </c>
      <c r="M33" s="82"/>
      <c r="N33" s="30"/>
      <c r="O33" s="30"/>
    </row>
    <row r="34" spans="2:15" ht="13.5" thickBot="1">
      <c r="B34" s="107" t="s">
        <v>339</v>
      </c>
      <c r="C34" s="105"/>
      <c r="D34" s="113">
        <f>SUM(D30:D33)</f>
        <v>30000</v>
      </c>
      <c r="E34" s="113"/>
      <c r="F34" s="113">
        <f>SUM(F30:F33)</f>
        <v>9000.000000000002</v>
      </c>
      <c r="G34" s="113"/>
      <c r="H34" s="114"/>
      <c r="I34" s="114"/>
      <c r="J34" s="113">
        <f>SUM(J30:J33)</f>
        <v>0</v>
      </c>
      <c r="K34" s="113"/>
      <c r="L34" s="115">
        <f>SUM(L30:L33)</f>
        <v>39000</v>
      </c>
      <c r="M34" s="82"/>
      <c r="N34" s="30"/>
      <c r="O34" s="30"/>
    </row>
    <row r="35" spans="2:15" ht="12.75">
      <c r="B35" s="31"/>
      <c r="C35" s="31"/>
      <c r="D35" s="48"/>
      <c r="E35" s="48"/>
      <c r="F35" s="48"/>
      <c r="G35" s="48"/>
      <c r="H35" s="48"/>
      <c r="I35" s="48"/>
      <c r="J35" s="30"/>
      <c r="K35" s="30"/>
      <c r="L35" s="30"/>
      <c r="M35" s="30"/>
      <c r="N35" s="30"/>
      <c r="O35" s="30"/>
    </row>
    <row r="36" spans="2:20" ht="12.75">
      <c r="B36" s="31"/>
      <c r="C36" s="3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8" spans="2:3" ht="12.75">
      <c r="B38" s="31" t="s">
        <v>341</v>
      </c>
      <c r="C38" s="31"/>
    </row>
    <row r="39" ht="13.5" thickBot="1"/>
    <row r="40" spans="2:20" ht="13.5" thickBot="1">
      <c r="B40" s="116" t="s">
        <v>27</v>
      </c>
      <c r="C40" s="117"/>
      <c r="D40" s="119" t="s">
        <v>323</v>
      </c>
      <c r="E40" s="119"/>
      <c r="F40" s="119" t="s">
        <v>324</v>
      </c>
      <c r="G40" s="119"/>
      <c r="H40" s="119" t="s">
        <v>325</v>
      </c>
      <c r="I40" s="119"/>
      <c r="J40" s="117" t="s">
        <v>329</v>
      </c>
      <c r="K40" s="117"/>
      <c r="L40" s="117" t="s">
        <v>28</v>
      </c>
      <c r="M40" s="117"/>
      <c r="N40" s="117" t="s">
        <v>30</v>
      </c>
      <c r="O40" s="117"/>
      <c r="P40" s="117" t="s">
        <v>330</v>
      </c>
      <c r="Q40" s="117"/>
      <c r="R40" s="117" t="s">
        <v>29</v>
      </c>
      <c r="S40" s="117"/>
      <c r="T40" s="124" t="s">
        <v>331</v>
      </c>
    </row>
    <row r="41" spans="2:20" ht="12.75">
      <c r="B41" s="380" t="s">
        <v>326</v>
      </c>
      <c r="C41" s="14"/>
      <c r="D41" s="388">
        <v>2</v>
      </c>
      <c r="E41" s="85"/>
      <c r="F41" s="390">
        <v>7</v>
      </c>
      <c r="G41" s="91"/>
      <c r="H41" s="388">
        <v>20</v>
      </c>
      <c r="I41" s="85"/>
      <c r="J41" s="386">
        <v>50</v>
      </c>
      <c r="K41" s="86"/>
      <c r="L41" s="91">
        <f>D41*F41*H41*J41</f>
        <v>14000</v>
      </c>
      <c r="M41" s="91"/>
      <c r="N41" s="91">
        <f>L41*$D$21</f>
        <v>2100.0000000000005</v>
      </c>
      <c r="O41" s="91"/>
      <c r="P41" s="392">
        <v>0</v>
      </c>
      <c r="Q41" s="95"/>
      <c r="R41" s="91">
        <f>(L41+N41)*P41</f>
        <v>0</v>
      </c>
      <c r="S41" s="91"/>
      <c r="T41" s="98">
        <f aca="true" t="shared" si="0" ref="T41:T46">L41+N41+R41</f>
        <v>16100</v>
      </c>
    </row>
    <row r="42" spans="2:20" ht="12.75">
      <c r="B42" s="380" t="s">
        <v>327</v>
      </c>
      <c r="C42" s="14"/>
      <c r="D42" s="388"/>
      <c r="E42" s="85"/>
      <c r="F42" s="390"/>
      <c r="G42" s="91"/>
      <c r="H42" s="388"/>
      <c r="I42" s="85"/>
      <c r="J42" s="386"/>
      <c r="K42" s="86"/>
      <c r="L42" s="91">
        <f>D42*F42*H42*J42</f>
        <v>0</v>
      </c>
      <c r="M42" s="91"/>
      <c r="N42" s="91">
        <f>L42*$D$21</f>
        <v>0</v>
      </c>
      <c r="O42" s="91"/>
      <c r="P42" s="392">
        <v>0</v>
      </c>
      <c r="Q42" s="95"/>
      <c r="R42" s="91">
        <f>(L42+N42)*P42</f>
        <v>0</v>
      </c>
      <c r="S42" s="91"/>
      <c r="T42" s="98">
        <f t="shared" si="0"/>
        <v>0</v>
      </c>
    </row>
    <row r="43" spans="2:20" ht="12.75">
      <c r="B43" s="380" t="s">
        <v>336</v>
      </c>
      <c r="C43" s="14"/>
      <c r="D43" s="388"/>
      <c r="E43" s="85"/>
      <c r="F43" s="390"/>
      <c r="G43" s="91"/>
      <c r="H43" s="388"/>
      <c r="I43" s="85"/>
      <c r="J43" s="386"/>
      <c r="K43" s="86"/>
      <c r="L43" s="91">
        <f>D43*F43*H43*J43</f>
        <v>0</v>
      </c>
      <c r="M43" s="91"/>
      <c r="N43" s="91">
        <f>L43*$D$21</f>
        <v>0</v>
      </c>
      <c r="O43" s="91"/>
      <c r="P43" s="392">
        <v>0</v>
      </c>
      <c r="Q43" s="95"/>
      <c r="R43" s="91">
        <f>(L43+N43)*P43</f>
        <v>0</v>
      </c>
      <c r="S43" s="91"/>
      <c r="T43" s="98">
        <f t="shared" si="0"/>
        <v>0</v>
      </c>
    </row>
    <row r="44" spans="2:20" ht="12.75">
      <c r="B44" s="380" t="s">
        <v>337</v>
      </c>
      <c r="C44" s="14"/>
      <c r="D44" s="388"/>
      <c r="E44" s="85"/>
      <c r="F44" s="390"/>
      <c r="G44" s="91"/>
      <c r="H44" s="388"/>
      <c r="I44" s="85"/>
      <c r="J44" s="386"/>
      <c r="K44" s="86"/>
      <c r="L44" s="91">
        <f>D44*F44*H44*J44</f>
        <v>0</v>
      </c>
      <c r="M44" s="91"/>
      <c r="N44" s="91">
        <f>L44*$D$21</f>
        <v>0</v>
      </c>
      <c r="O44" s="91"/>
      <c r="P44" s="392">
        <v>0</v>
      </c>
      <c r="Q44" s="95"/>
      <c r="R44" s="91">
        <f>(L44+N44)*P44</f>
        <v>0</v>
      </c>
      <c r="S44" s="91"/>
      <c r="T44" s="98">
        <f t="shared" si="0"/>
        <v>0</v>
      </c>
    </row>
    <row r="45" spans="2:20" ht="12.75">
      <c r="B45" s="381" t="s">
        <v>338</v>
      </c>
      <c r="C45" s="84"/>
      <c r="D45" s="389"/>
      <c r="E45" s="87"/>
      <c r="F45" s="391"/>
      <c r="G45" s="92"/>
      <c r="H45" s="389"/>
      <c r="I45" s="87"/>
      <c r="J45" s="387"/>
      <c r="K45" s="88"/>
      <c r="L45" s="92">
        <f>D45*F45*H45*J45</f>
        <v>0</v>
      </c>
      <c r="M45" s="92"/>
      <c r="N45" s="91">
        <f>L45*$D$21</f>
        <v>0</v>
      </c>
      <c r="O45" s="92"/>
      <c r="P45" s="393">
        <v>0</v>
      </c>
      <c r="Q45" s="96"/>
      <c r="R45" s="92">
        <f>(L45+N45)*P45</f>
        <v>0</v>
      </c>
      <c r="S45" s="92"/>
      <c r="T45" s="99">
        <f t="shared" si="0"/>
        <v>0</v>
      </c>
    </row>
    <row r="46" spans="2:20" ht="13.5" thickBot="1">
      <c r="B46" s="106" t="s">
        <v>340</v>
      </c>
      <c r="C46" s="83"/>
      <c r="D46" s="101">
        <f>SUM(D41:D45)</f>
        <v>2</v>
      </c>
      <c r="E46" s="89"/>
      <c r="F46" s="104"/>
      <c r="G46" s="93"/>
      <c r="H46" s="101"/>
      <c r="I46" s="89"/>
      <c r="J46" s="103"/>
      <c r="K46" s="90"/>
      <c r="L46" s="93">
        <f>SUM(L41:L45)</f>
        <v>14000</v>
      </c>
      <c r="M46" s="93"/>
      <c r="N46" s="93">
        <f>SUM(N41:N45)</f>
        <v>2100.0000000000005</v>
      </c>
      <c r="O46" s="93"/>
      <c r="P46" s="97"/>
      <c r="Q46" s="97"/>
      <c r="R46" s="93">
        <f>SUM(R41:R45)</f>
        <v>0</v>
      </c>
      <c r="S46" s="93"/>
      <c r="T46" s="100">
        <f t="shared" si="0"/>
        <v>16100</v>
      </c>
    </row>
    <row r="47" spans="2:20" ht="12.75">
      <c r="B47" s="16"/>
      <c r="C47" s="14"/>
      <c r="D47" s="133"/>
      <c r="E47" s="85"/>
      <c r="F47" s="134"/>
      <c r="G47" s="91"/>
      <c r="H47" s="133"/>
      <c r="I47" s="85"/>
      <c r="J47" s="135"/>
      <c r="K47" s="86"/>
      <c r="L47" s="91"/>
      <c r="M47" s="91"/>
      <c r="N47" s="91"/>
      <c r="O47" s="91"/>
      <c r="P47" s="95"/>
      <c r="Q47" s="95"/>
      <c r="R47" s="91"/>
      <c r="S47" s="91"/>
      <c r="T47" s="91"/>
    </row>
    <row r="48" spans="2:20" ht="12.75">
      <c r="B48" s="16"/>
      <c r="C48" s="14"/>
      <c r="D48" s="133"/>
      <c r="E48" s="85"/>
      <c r="F48" s="134"/>
      <c r="G48" s="91"/>
      <c r="H48" s="133"/>
      <c r="I48" s="85"/>
      <c r="J48" s="135"/>
      <c r="K48" s="86"/>
      <c r="L48" s="91"/>
      <c r="M48" s="91"/>
      <c r="N48" s="91"/>
      <c r="O48" s="91"/>
      <c r="P48" s="95"/>
      <c r="Q48" s="95"/>
      <c r="R48" s="91"/>
      <c r="S48" s="91"/>
      <c r="T48" s="91"/>
    </row>
    <row r="49" spans="4:20" ht="12.75">
      <c r="D49" s="102"/>
      <c r="E49" s="76"/>
      <c r="F49" s="76"/>
      <c r="G49" s="94"/>
      <c r="H49" s="102"/>
      <c r="I49" s="76"/>
      <c r="J49" s="73"/>
      <c r="K49" s="72"/>
      <c r="L49" s="94"/>
      <c r="M49" s="94"/>
      <c r="N49" s="94"/>
      <c r="O49" s="94"/>
      <c r="P49" s="74"/>
      <c r="Q49" s="74"/>
      <c r="R49" s="94"/>
      <c r="S49" s="94"/>
      <c r="T49" s="94"/>
    </row>
    <row r="50" spans="2:20" ht="12.75">
      <c r="B50" s="1" t="s">
        <v>328</v>
      </c>
      <c r="C50" s="1"/>
      <c r="D50" s="102"/>
      <c r="E50" s="76"/>
      <c r="F50" s="76"/>
      <c r="G50" s="94"/>
      <c r="H50" s="102"/>
      <c r="I50" s="76"/>
      <c r="J50" s="73"/>
      <c r="K50" s="72"/>
      <c r="L50" s="94"/>
      <c r="M50" s="94"/>
      <c r="N50" s="94"/>
      <c r="O50" s="94"/>
      <c r="P50" s="74"/>
      <c r="Q50" s="74"/>
      <c r="R50" s="94"/>
      <c r="S50" s="94"/>
      <c r="T50" s="94"/>
    </row>
    <row r="51" spans="4:20" ht="13.5" thickBot="1">
      <c r="D51" s="102"/>
      <c r="E51" s="76"/>
      <c r="F51" s="76"/>
      <c r="G51" s="94"/>
      <c r="H51" s="102"/>
      <c r="I51" s="76"/>
      <c r="J51" s="73"/>
      <c r="K51" s="72"/>
      <c r="L51" s="94"/>
      <c r="M51" s="94"/>
      <c r="N51" s="94"/>
      <c r="O51" s="94"/>
      <c r="P51" s="74"/>
      <c r="Q51" s="74"/>
      <c r="R51" s="94"/>
      <c r="S51" s="94"/>
      <c r="T51" s="94"/>
    </row>
    <row r="52" spans="2:20" ht="13.5" thickBot="1">
      <c r="B52" s="116" t="s">
        <v>27</v>
      </c>
      <c r="C52" s="117"/>
      <c r="D52" s="118" t="s">
        <v>323</v>
      </c>
      <c r="E52" s="119"/>
      <c r="F52" s="119" t="s">
        <v>324</v>
      </c>
      <c r="G52" s="120"/>
      <c r="H52" s="118" t="s">
        <v>325</v>
      </c>
      <c r="I52" s="119"/>
      <c r="J52" s="121" t="s">
        <v>329</v>
      </c>
      <c r="K52" s="117"/>
      <c r="L52" s="120" t="s">
        <v>28</v>
      </c>
      <c r="M52" s="120"/>
      <c r="N52" s="120" t="s">
        <v>30</v>
      </c>
      <c r="O52" s="120"/>
      <c r="P52" s="122" t="s">
        <v>330</v>
      </c>
      <c r="Q52" s="122"/>
      <c r="R52" s="120" t="s">
        <v>29</v>
      </c>
      <c r="S52" s="120"/>
      <c r="T52" s="123" t="s">
        <v>331</v>
      </c>
    </row>
    <row r="53" spans="2:20" ht="12.75">
      <c r="B53" s="380" t="s">
        <v>363</v>
      </c>
      <c r="C53" s="14"/>
      <c r="D53" s="388">
        <v>2</v>
      </c>
      <c r="E53" s="85"/>
      <c r="F53" s="390">
        <v>7</v>
      </c>
      <c r="G53" s="91"/>
      <c r="H53" s="388">
        <v>40</v>
      </c>
      <c r="I53" s="85"/>
      <c r="J53" s="386">
        <v>8</v>
      </c>
      <c r="K53" s="86"/>
      <c r="L53" s="91">
        <f>D53*F53*H53*J53</f>
        <v>4480</v>
      </c>
      <c r="M53" s="91"/>
      <c r="N53" s="91">
        <f>L53*$D$21</f>
        <v>672.0000000000001</v>
      </c>
      <c r="O53" s="91"/>
      <c r="P53" s="392">
        <v>0</v>
      </c>
      <c r="Q53" s="95"/>
      <c r="R53" s="91">
        <f>(L53+N53)*P53</f>
        <v>0</v>
      </c>
      <c r="S53" s="91"/>
      <c r="T53" s="98">
        <f>L53+N53+R53</f>
        <v>5152</v>
      </c>
    </row>
    <row r="54" spans="2:20" ht="12.75">
      <c r="B54" s="380" t="s">
        <v>332</v>
      </c>
      <c r="C54" s="14"/>
      <c r="D54" s="388"/>
      <c r="E54" s="85"/>
      <c r="F54" s="390"/>
      <c r="G54" s="91"/>
      <c r="H54" s="388"/>
      <c r="I54" s="85"/>
      <c r="J54" s="386"/>
      <c r="K54" s="86"/>
      <c r="L54" s="91">
        <f>D54*F54*H54*J54</f>
        <v>0</v>
      </c>
      <c r="M54" s="91"/>
      <c r="N54" s="91">
        <f>L54*$D$21</f>
        <v>0</v>
      </c>
      <c r="O54" s="91"/>
      <c r="P54" s="392">
        <v>0</v>
      </c>
      <c r="Q54" s="95"/>
      <c r="R54" s="91">
        <f>(L54+N54)*P54</f>
        <v>0</v>
      </c>
      <c r="S54" s="91"/>
      <c r="T54" s="98">
        <f>L54+N54+R54</f>
        <v>0</v>
      </c>
    </row>
    <row r="55" spans="2:20" ht="12.75">
      <c r="B55" s="380" t="s">
        <v>333</v>
      </c>
      <c r="C55" s="14"/>
      <c r="D55" s="388"/>
      <c r="E55" s="85"/>
      <c r="F55" s="390"/>
      <c r="G55" s="91"/>
      <c r="H55" s="388"/>
      <c r="I55" s="85"/>
      <c r="J55" s="386"/>
      <c r="K55" s="86"/>
      <c r="L55" s="91">
        <f>D55*F55*H55*J55</f>
        <v>0</v>
      </c>
      <c r="M55" s="91"/>
      <c r="N55" s="91">
        <f>L55*$D$21</f>
        <v>0</v>
      </c>
      <c r="O55" s="91"/>
      <c r="P55" s="392">
        <v>0</v>
      </c>
      <c r="Q55" s="95"/>
      <c r="R55" s="91">
        <f>(L55+N55)*P55</f>
        <v>0</v>
      </c>
      <c r="S55" s="91"/>
      <c r="T55" s="98">
        <f>L55+N55+R55</f>
        <v>0</v>
      </c>
    </row>
    <row r="56" spans="2:20" ht="12.75">
      <c r="B56" s="380" t="s">
        <v>334</v>
      </c>
      <c r="C56" s="14"/>
      <c r="D56" s="388"/>
      <c r="E56" s="85"/>
      <c r="F56" s="390"/>
      <c r="G56" s="91"/>
      <c r="H56" s="388"/>
      <c r="I56" s="85"/>
      <c r="J56" s="386"/>
      <c r="K56" s="86"/>
      <c r="L56" s="91">
        <f>D56*F56*H56*J56</f>
        <v>0</v>
      </c>
      <c r="M56" s="91"/>
      <c r="N56" s="91">
        <f>L56*$D$21</f>
        <v>0</v>
      </c>
      <c r="O56" s="91"/>
      <c r="P56" s="392">
        <v>0</v>
      </c>
      <c r="Q56" s="95"/>
      <c r="R56" s="91">
        <f>(L56+N56)*P56</f>
        <v>0</v>
      </c>
      <c r="S56" s="91"/>
      <c r="T56" s="98">
        <f>L56+N56+R56</f>
        <v>0</v>
      </c>
    </row>
    <row r="57" spans="2:20" ht="12.75">
      <c r="B57" s="381" t="s">
        <v>335</v>
      </c>
      <c r="C57" s="84"/>
      <c r="D57" s="389"/>
      <c r="E57" s="87"/>
      <c r="F57" s="391"/>
      <c r="G57" s="92"/>
      <c r="H57" s="389"/>
      <c r="I57" s="87"/>
      <c r="J57" s="387"/>
      <c r="K57" s="88"/>
      <c r="L57" s="92">
        <f>D57*F57*H57*J57</f>
        <v>0</v>
      </c>
      <c r="M57" s="92"/>
      <c r="N57" s="91">
        <f>L57*$D$21</f>
        <v>0</v>
      </c>
      <c r="O57" s="92"/>
      <c r="P57" s="393">
        <v>0</v>
      </c>
      <c r="Q57" s="96"/>
      <c r="R57" s="92">
        <f>(L57+N57)*P57</f>
        <v>0</v>
      </c>
      <c r="S57" s="92"/>
      <c r="T57" s="99">
        <f>L57+N57+R57</f>
        <v>0</v>
      </c>
    </row>
    <row r="58" spans="2:20" ht="13.5" thickBot="1">
      <c r="B58" s="106" t="s">
        <v>342</v>
      </c>
      <c r="C58" s="83"/>
      <c r="D58" s="89"/>
      <c r="E58" s="89"/>
      <c r="F58" s="93"/>
      <c r="G58" s="93"/>
      <c r="H58" s="89"/>
      <c r="I58" s="89"/>
      <c r="J58" s="90"/>
      <c r="K58" s="90"/>
      <c r="L58" s="93">
        <f>SUM(L53:L57)</f>
        <v>4480</v>
      </c>
      <c r="M58" s="93"/>
      <c r="N58" s="93">
        <f>SUM(N53:N57)</f>
        <v>672.0000000000001</v>
      </c>
      <c r="O58" s="93"/>
      <c r="P58" s="97"/>
      <c r="Q58" s="97"/>
      <c r="R58" s="93">
        <f>SUM(R53:R57)</f>
        <v>0</v>
      </c>
      <c r="S58" s="93"/>
      <c r="T58" s="152">
        <f>SUM(T53:T57)</f>
        <v>5152</v>
      </c>
    </row>
  </sheetData>
  <sheetProtection sheet="1" objects="1" scenarios="1"/>
  <hyperlinks>
    <hyperlink ref="B3" location="'Market Projection'!A1" display="FORWARD TO MARKET PROJECTION"/>
    <hyperlink ref="B4" location="'Loan Amortization'!A1" display="FORWARD TO LOAN AMORTIZATION"/>
    <hyperlink ref="B5" location="'Expense Projection'!A1" display="FORWARD TO EXPENSE PROJECTION"/>
    <hyperlink ref="B6" location="'Operations Summary'!A1" display="FORWARD TO OPERATIONS SUMMARY"/>
    <hyperlink ref="B7" location="'Return On Investment'!A1" display="FORWARD TO RETURN ON INVESTMENT"/>
    <hyperlink ref="B8" location="Introduction!A1" display="BACK TO INTRODUCTION"/>
    <hyperlink ref="B9" location="'Grapes &amp; Wines'!A1" display="BACK TO GRAPES AND WINES"/>
    <hyperlink ref="B10" location="'Input Value'!A1" display="BACK TO INPUT VALUES"/>
    <hyperlink ref="B11:C11" location="'Wine Products'!A1" display="BACK TO WINE PRODUCTS"/>
    <hyperlink ref="B12:C12" location="'Equipment &amp; Depreciation'!A1" display="BACK TO EQUIPMENT AND DEPRECIATION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06"/>
  <sheetViews>
    <sheetView workbookViewId="0" topLeftCell="A1">
      <selection activeCell="D101" sqref="D101"/>
    </sheetView>
  </sheetViews>
  <sheetFormatPr defaultColWidth="9.140625" defaultRowHeight="12.75"/>
  <cols>
    <col min="1" max="1" width="2.28125" style="0" customWidth="1"/>
    <col min="2" max="2" width="23.8515625" style="0" customWidth="1"/>
    <col min="3" max="3" width="15.8515625" style="0" customWidth="1"/>
    <col min="4" max="4" width="13.57421875" style="0" customWidth="1"/>
    <col min="5" max="5" width="13.8515625" style="0" customWidth="1"/>
    <col min="6" max="6" width="12.00390625" style="0" customWidth="1"/>
    <col min="7" max="7" width="12.140625" style="0" customWidth="1"/>
    <col min="8" max="8" width="13.140625" style="0" customWidth="1"/>
    <col min="9" max="9" width="11.7109375" style="0" customWidth="1"/>
    <col min="10" max="10" width="12.8515625" style="0" customWidth="1"/>
    <col min="11" max="11" width="13.00390625" style="0" customWidth="1"/>
    <col min="12" max="12" width="12.57421875" style="0" customWidth="1"/>
    <col min="13" max="13" width="11.421875" style="0" customWidth="1"/>
    <col min="14" max="14" width="11.8515625" style="4" bestFit="1" customWidth="1"/>
  </cols>
  <sheetData>
    <row r="1" ht="13.5" thickBot="1"/>
    <row r="2" spans="2:3" ht="13.5" thickBot="1">
      <c r="B2" s="183" t="s">
        <v>137</v>
      </c>
      <c r="C2" s="157"/>
    </row>
    <row r="3" spans="2:3" ht="13.5" thickBot="1">
      <c r="B3" s="185" t="s">
        <v>424</v>
      </c>
      <c r="C3" s="186"/>
    </row>
    <row r="4" spans="2:12" ht="13.5" thickBot="1">
      <c r="B4" s="185" t="s">
        <v>138</v>
      </c>
      <c r="C4" s="186"/>
      <c r="E4" s="31"/>
      <c r="F4" s="30"/>
      <c r="G4" s="30"/>
      <c r="H4" s="30"/>
      <c r="I4" s="30"/>
      <c r="J4" s="30"/>
      <c r="K4" s="30"/>
      <c r="L4" s="30"/>
    </row>
    <row r="5" spans="2:3" ht="13.5" thickBot="1">
      <c r="B5" s="185" t="s">
        <v>139</v>
      </c>
      <c r="C5" s="186"/>
    </row>
    <row r="6" spans="2:3" ht="13.5" thickBot="1">
      <c r="B6" s="185" t="s">
        <v>140</v>
      </c>
      <c r="C6" s="186"/>
    </row>
    <row r="7" spans="2:3" ht="13.5" thickBot="1">
      <c r="B7" s="185" t="s">
        <v>141</v>
      </c>
      <c r="C7" s="186"/>
    </row>
    <row r="8" spans="2:3" ht="13.5" thickBot="1">
      <c r="B8" s="187" t="s">
        <v>425</v>
      </c>
      <c r="C8" s="188"/>
    </row>
    <row r="9" spans="2:3" ht="13.5" thickBot="1">
      <c r="B9" s="185" t="s">
        <v>426</v>
      </c>
      <c r="C9" s="186"/>
    </row>
    <row r="10" spans="2:3" ht="13.5" thickBot="1">
      <c r="B10" s="185" t="s">
        <v>431</v>
      </c>
      <c r="C10" s="191"/>
    </row>
    <row r="11" spans="2:3" ht="13.5" thickBot="1">
      <c r="B11" s="185" t="s">
        <v>432</v>
      </c>
      <c r="C11" s="191"/>
    </row>
    <row r="12" spans="2:3" ht="13.5" thickBot="1">
      <c r="B12" s="185" t="s">
        <v>433</v>
      </c>
      <c r="C12" s="186"/>
    </row>
    <row r="14" ht="15.75">
      <c r="B14" s="184" t="s">
        <v>434</v>
      </c>
    </row>
    <row r="15" ht="15.75">
      <c r="B15" s="184" t="s">
        <v>435</v>
      </c>
    </row>
    <row r="18" spans="2:13" ht="12.75">
      <c r="B18" s="31" t="s">
        <v>95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4" ht="12.75">
      <c r="B19" s="30"/>
      <c r="C19" s="30"/>
      <c r="D19" s="38" t="s">
        <v>0</v>
      </c>
      <c r="E19" s="38" t="s">
        <v>1</v>
      </c>
      <c r="F19" s="38" t="s">
        <v>2</v>
      </c>
      <c r="G19" s="38" t="s">
        <v>3</v>
      </c>
      <c r="H19" s="38" t="s">
        <v>4</v>
      </c>
      <c r="I19" s="38" t="s">
        <v>5</v>
      </c>
      <c r="J19" s="38" t="s">
        <v>6</v>
      </c>
      <c r="K19" s="38" t="s">
        <v>7</v>
      </c>
      <c r="L19" s="38" t="s">
        <v>8</v>
      </c>
      <c r="M19" s="38" t="s">
        <v>9</v>
      </c>
      <c r="N19" s="5"/>
    </row>
    <row r="20" spans="2:14" ht="12.75">
      <c r="B20" s="30" t="str">
        <f>+'Wine Products'!C19</f>
        <v>Merlot</v>
      </c>
      <c r="C20" s="30" t="str">
        <f>+'Wine Products'!C20</f>
        <v>Bottles</v>
      </c>
      <c r="D20" s="164">
        <f>'Wine Products'!C22</f>
        <v>6250</v>
      </c>
      <c r="E20" s="164">
        <f>D20*(1+'Wine Products'!$C$23)</f>
        <v>6437.5</v>
      </c>
      <c r="F20" s="164">
        <f>E20*(1+'Wine Products'!$C$23)</f>
        <v>6630.625</v>
      </c>
      <c r="G20" s="164">
        <f>F20*(1+'Wine Products'!$C$23)</f>
        <v>6829.54375</v>
      </c>
      <c r="H20" s="164">
        <f>G20*(1+'Wine Products'!$C$23)</f>
        <v>7034.4300625</v>
      </c>
      <c r="I20" s="164">
        <f>H20*(1+'Wine Products'!$C$23)</f>
        <v>7245.4629643749995</v>
      </c>
      <c r="J20" s="164">
        <f>I20*(1+'Wine Products'!$C$23)</f>
        <v>7462.82685330625</v>
      </c>
      <c r="K20" s="164">
        <f>J20*(1+'Wine Products'!$C$23)</f>
        <v>7686.711658905438</v>
      </c>
      <c r="L20" s="164">
        <f>K20*(1+'Wine Products'!$C$23)</f>
        <v>7917.3130086726005</v>
      </c>
      <c r="M20" s="164">
        <f>L20*(1+'Wine Products'!$C$23)</f>
        <v>8154.832398932779</v>
      </c>
      <c r="N20" s="12"/>
    </row>
    <row r="21" spans="2:14" ht="12.75">
      <c r="B21" s="30" t="str">
        <f>+'Wine Products'!F19</f>
        <v>Cabernet Sauvignon</v>
      </c>
      <c r="C21" s="30" t="str">
        <f>+'Wine Products'!F20</f>
        <v>Bottles</v>
      </c>
      <c r="D21" s="164">
        <f>+'Wine Products'!F22</f>
        <v>6250</v>
      </c>
      <c r="E21" s="164">
        <f>+D21*(1+'Wine Products'!$F$23)</f>
        <v>6437.5</v>
      </c>
      <c r="F21" s="164">
        <f>+E21*(1+'Wine Products'!$F$23)</f>
        <v>6630.625</v>
      </c>
      <c r="G21" s="164">
        <f>+F21*(1+'Wine Products'!$F$23)</f>
        <v>6829.54375</v>
      </c>
      <c r="H21" s="164">
        <f>+G21*(1+'Wine Products'!$F$23)</f>
        <v>7034.4300625</v>
      </c>
      <c r="I21" s="164">
        <f>+H21*(1+'Wine Products'!$F$23)</f>
        <v>7245.4629643749995</v>
      </c>
      <c r="J21" s="164">
        <f>+I21*(1+'Wine Products'!$F$23)</f>
        <v>7462.82685330625</v>
      </c>
      <c r="K21" s="164">
        <f>+J21*(1+'Wine Products'!$F$23)</f>
        <v>7686.711658905438</v>
      </c>
      <c r="L21" s="164">
        <f>+K21*(1+'Wine Products'!$F$23)</f>
        <v>7917.3130086726005</v>
      </c>
      <c r="M21" s="164">
        <f>+L21*(1+'Wine Products'!$F$23)</f>
        <v>8154.832398932779</v>
      </c>
      <c r="N21" s="12"/>
    </row>
    <row r="22" spans="2:14" ht="12.75">
      <c r="B22" s="30" t="str">
        <f>+'Wine Products'!C29</f>
        <v>Chardonnay</v>
      </c>
      <c r="C22" s="30" t="str">
        <f>+'Wine Products'!C30</f>
        <v>Bottles</v>
      </c>
      <c r="D22" s="164">
        <f>+'Wine Products'!C32</f>
        <v>6250</v>
      </c>
      <c r="E22" s="164">
        <f>D22*(1+'Wine Products'!$C$33)</f>
        <v>6437.5</v>
      </c>
      <c r="F22" s="164">
        <f>E22*(1+'Wine Products'!$C$33)</f>
        <v>6630.625</v>
      </c>
      <c r="G22" s="164">
        <f>F22*(1+'Wine Products'!$C$33)</f>
        <v>6829.54375</v>
      </c>
      <c r="H22" s="164">
        <f>G22*(1+'Wine Products'!$C$33)</f>
        <v>7034.4300625</v>
      </c>
      <c r="I22" s="164">
        <f>H22*(1+'Wine Products'!$C$33)</f>
        <v>7245.4629643749995</v>
      </c>
      <c r="J22" s="164">
        <f>I22*(1+'Wine Products'!$C$33)</f>
        <v>7462.82685330625</v>
      </c>
      <c r="K22" s="164">
        <f>J22*(1+'Wine Products'!$C$33)</f>
        <v>7686.711658905438</v>
      </c>
      <c r="L22" s="164">
        <f>K22*(1+'Wine Products'!$C$33)</f>
        <v>7917.3130086726005</v>
      </c>
      <c r="M22" s="164">
        <f>L22*(1+'Wine Products'!$C$33)</f>
        <v>8154.832398932779</v>
      </c>
      <c r="N22" s="13"/>
    </row>
    <row r="23" spans="2:14" ht="12.75">
      <c r="B23" s="30" t="str">
        <f>+'Wine Products'!F29</f>
        <v>Wine 4</v>
      </c>
      <c r="C23" s="42" t="str">
        <f>+'Wine Products'!F30</f>
        <v>Bottles</v>
      </c>
      <c r="D23" s="164">
        <f>+'Wine Products'!F32</f>
        <v>0</v>
      </c>
      <c r="E23" s="164">
        <f>D23*(1+'Wine Products'!$F$33)</f>
        <v>0</v>
      </c>
      <c r="F23" s="164">
        <f>E23*(1+'Wine Products'!$F$33)</f>
        <v>0</v>
      </c>
      <c r="G23" s="164">
        <f>F23*(1+'Wine Products'!$F$33)</f>
        <v>0</v>
      </c>
      <c r="H23" s="164">
        <f>G23*(1+'Wine Products'!$F$33)</f>
        <v>0</v>
      </c>
      <c r="I23" s="164">
        <f>H23*(1+'Wine Products'!$F$33)</f>
        <v>0</v>
      </c>
      <c r="J23" s="164">
        <f>I23*(1+'Wine Products'!$F$33)</f>
        <v>0</v>
      </c>
      <c r="K23" s="164">
        <f>J23*(1+'Wine Products'!$F$33)</f>
        <v>0</v>
      </c>
      <c r="L23" s="164">
        <f>K23*(1+'Wine Products'!$F$33)</f>
        <v>0</v>
      </c>
      <c r="M23" s="164">
        <f>L23*(1+'Wine Products'!$F$33)</f>
        <v>0</v>
      </c>
      <c r="N23" s="13"/>
    </row>
    <row r="24" spans="2:14" ht="12.75">
      <c r="B24" s="30" t="str">
        <f>'Wine Products'!C39</f>
        <v>Wine 5</v>
      </c>
      <c r="C24" s="42" t="str">
        <f>'Wine Products'!C40</f>
        <v>Bottles</v>
      </c>
      <c r="D24" s="164">
        <f>'Wine Products'!C42</f>
        <v>0</v>
      </c>
      <c r="E24" s="164">
        <f>D24*(1+'Wine Products'!$C$43)</f>
        <v>0</v>
      </c>
      <c r="F24" s="164">
        <f>E24*(1+'Wine Products'!$C$43)</f>
        <v>0</v>
      </c>
      <c r="G24" s="164">
        <f>F24*(1+'Wine Products'!$C$43)</f>
        <v>0</v>
      </c>
      <c r="H24" s="164">
        <f>G24*(1+'Wine Products'!$C$43)</f>
        <v>0</v>
      </c>
      <c r="I24" s="164">
        <f>H24*(1+'Wine Products'!$C$43)</f>
        <v>0</v>
      </c>
      <c r="J24" s="164">
        <f>I24*(1+'Wine Products'!$C$43)</f>
        <v>0</v>
      </c>
      <c r="K24" s="164">
        <f>J24*(1+'Wine Products'!$C$43)</f>
        <v>0</v>
      </c>
      <c r="L24" s="164">
        <f>K24*(1+'Wine Products'!$C$43)</f>
        <v>0</v>
      </c>
      <c r="M24" s="164">
        <f>L24*(1+'Wine Products'!$C$43)</f>
        <v>0</v>
      </c>
      <c r="N24" s="13"/>
    </row>
    <row r="25" spans="2:14" ht="12.75">
      <c r="B25" s="30" t="str">
        <f>'Wine Products'!F39</f>
        <v>Wine 6</v>
      </c>
      <c r="C25" s="42" t="str">
        <f>'Wine Products'!F40</f>
        <v>Bottles</v>
      </c>
      <c r="D25" s="164">
        <f>'Wine Products'!F42</f>
        <v>0</v>
      </c>
      <c r="E25" s="164">
        <f>D25*(1+'Wine Products'!$F$43)</f>
        <v>0</v>
      </c>
      <c r="F25" s="164">
        <f>E25*(1+'Wine Products'!$F$43)</f>
        <v>0</v>
      </c>
      <c r="G25" s="164">
        <f>F25*(1+'Wine Products'!$F$43)</f>
        <v>0</v>
      </c>
      <c r="H25" s="164">
        <f>G25*(1+'Wine Products'!$F$43)</f>
        <v>0</v>
      </c>
      <c r="I25" s="164">
        <f>H25*(1+'Wine Products'!$F$43)</f>
        <v>0</v>
      </c>
      <c r="J25" s="164">
        <f>I25*(1+'Wine Products'!$F$43)</f>
        <v>0</v>
      </c>
      <c r="K25" s="164">
        <f>J25*(1+'Wine Products'!$F$43)</f>
        <v>0</v>
      </c>
      <c r="L25" s="164">
        <f>K25*(1+'Wine Products'!$F$43)</f>
        <v>0</v>
      </c>
      <c r="M25" s="164">
        <f>L25*(1+'Wine Products'!$F$43)</f>
        <v>0</v>
      </c>
      <c r="N25" s="13"/>
    </row>
    <row r="26" spans="2:14" ht="12.75">
      <c r="B26" s="30" t="str">
        <f>'Wine Products'!C49</f>
        <v>Blend 1</v>
      </c>
      <c r="C26" s="42" t="str">
        <f>'Wine Products'!C50</f>
        <v>Bottles</v>
      </c>
      <c r="D26" s="164">
        <f>'Wine Products'!C52</f>
        <v>0</v>
      </c>
      <c r="E26" s="164">
        <f>D26*(1+'Wine Products'!$C$53)</f>
        <v>0</v>
      </c>
      <c r="F26" s="164">
        <f>E26*(1+'Wine Products'!$C$53)</f>
        <v>0</v>
      </c>
      <c r="G26" s="164">
        <f>F26*(1+'Wine Products'!$C$53)</f>
        <v>0</v>
      </c>
      <c r="H26" s="164">
        <f>G26*(1+'Wine Products'!$C$53)</f>
        <v>0</v>
      </c>
      <c r="I26" s="164">
        <f>H26*(1+'Wine Products'!$C$53)</f>
        <v>0</v>
      </c>
      <c r="J26" s="164">
        <f>I26*(1+'Wine Products'!$C$53)</f>
        <v>0</v>
      </c>
      <c r="K26" s="164">
        <f>J26*(1+'Wine Products'!$C$53)</f>
        <v>0</v>
      </c>
      <c r="L26" s="164">
        <f>K26*(1+'Wine Products'!$C$53)</f>
        <v>0</v>
      </c>
      <c r="M26" s="164">
        <f>L26*(1+'Wine Products'!$C$53)</f>
        <v>0</v>
      </c>
      <c r="N26" s="13"/>
    </row>
    <row r="27" spans="2:14" ht="12.75">
      <c r="B27" s="30" t="str">
        <f>'Wine Products'!F49</f>
        <v>Blend 2</v>
      </c>
      <c r="C27" s="42" t="str">
        <f>'Wine Products'!F50</f>
        <v>Bottles</v>
      </c>
      <c r="D27" s="164">
        <f>'Wine Products'!F52</f>
        <v>0</v>
      </c>
      <c r="E27" s="164">
        <f>D27*(1+'Wine Products'!$F$53)</f>
        <v>0</v>
      </c>
      <c r="F27" s="164">
        <f>E27*(1+'Wine Products'!$F$53)</f>
        <v>0</v>
      </c>
      <c r="G27" s="164">
        <f>F27*(1+'Wine Products'!$F$53)</f>
        <v>0</v>
      </c>
      <c r="H27" s="164">
        <f>G27*(1+'Wine Products'!$F$53)</f>
        <v>0</v>
      </c>
      <c r="I27" s="164">
        <f>H27*(1+'Wine Products'!$F$53)</f>
        <v>0</v>
      </c>
      <c r="J27" s="164">
        <f>I27*(1+'Wine Products'!$F$53)</f>
        <v>0</v>
      </c>
      <c r="K27" s="164">
        <f>J27*(1+'Wine Products'!$F$53)</f>
        <v>0</v>
      </c>
      <c r="L27" s="164">
        <f>K27*(1+'Wine Products'!$F$53)</f>
        <v>0</v>
      </c>
      <c r="M27" s="164">
        <f>L27*(1+'Wine Products'!$F$53)</f>
        <v>0</v>
      </c>
      <c r="N27" s="13"/>
    </row>
    <row r="28" spans="2:14" ht="12.75">
      <c r="B28" s="30"/>
      <c r="C28" s="30"/>
      <c r="D28" s="175">
        <f>SUM(D20:D27)</f>
        <v>18750</v>
      </c>
      <c r="E28" s="175">
        <f aca="true" t="shared" si="0" ref="E28:M28">SUM(E20:E27)</f>
        <v>19312.5</v>
      </c>
      <c r="F28" s="175">
        <f t="shared" si="0"/>
        <v>19891.875</v>
      </c>
      <c r="G28" s="175">
        <f t="shared" si="0"/>
        <v>20488.63125</v>
      </c>
      <c r="H28" s="175">
        <f t="shared" si="0"/>
        <v>21103.2901875</v>
      </c>
      <c r="I28" s="175">
        <f t="shared" si="0"/>
        <v>21736.388893124997</v>
      </c>
      <c r="J28" s="175">
        <f t="shared" si="0"/>
        <v>22388.48055991875</v>
      </c>
      <c r="K28" s="175">
        <f t="shared" si="0"/>
        <v>23060.134976716312</v>
      </c>
      <c r="L28" s="175">
        <f t="shared" si="0"/>
        <v>23751.9390260178</v>
      </c>
      <c r="M28" s="175">
        <f t="shared" si="0"/>
        <v>24464.497196798337</v>
      </c>
      <c r="N28" s="13"/>
    </row>
    <row r="29" spans="2:14" ht="12.75">
      <c r="B29" s="30"/>
      <c r="C29" s="3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3"/>
    </row>
    <row r="30" spans="2:14" ht="12.75">
      <c r="B30" s="43" t="s">
        <v>378</v>
      </c>
      <c r="C30" s="43"/>
      <c r="D30" s="177" t="str">
        <f>IF(D28&lt;'Input Value'!$C$57,"Yes","No")</f>
        <v>Yes</v>
      </c>
      <c r="E30" s="177" t="str">
        <f>IF(E28&lt;'Input Value'!$C$57,"Yes","No")</f>
        <v>Yes</v>
      </c>
      <c r="F30" s="177" t="str">
        <f>IF(F28&lt;'Input Value'!$C$57,"Yes","No")</f>
        <v>Yes</v>
      </c>
      <c r="G30" s="177" t="str">
        <f>IF(G28&lt;'Input Value'!$C$57,"Yes","No")</f>
        <v>Yes</v>
      </c>
      <c r="H30" s="177" t="str">
        <f>IF(H28&lt;'Input Value'!$C$57,"Yes","No")</f>
        <v>Yes</v>
      </c>
      <c r="I30" s="177" t="str">
        <f>IF(I28&lt;'Input Value'!$C$57,"Yes","No")</f>
        <v>Yes</v>
      </c>
      <c r="J30" s="177" t="str">
        <f>IF(J28&lt;'Input Value'!$C$57,"Yes","No")</f>
        <v>Yes</v>
      </c>
      <c r="K30" s="177" t="str">
        <f>IF(K28&lt;'Input Value'!$C$57,"Yes","No")</f>
        <v>Yes</v>
      </c>
      <c r="L30" s="177" t="str">
        <f>IF(L28&lt;'Input Value'!$C$57,"Yes","No")</f>
        <v>Yes</v>
      </c>
      <c r="M30" s="177" t="str">
        <f>IF(M28&lt;'Input Value'!$C$57,"Yes","No")</f>
        <v>Yes</v>
      </c>
      <c r="N30" s="13"/>
    </row>
    <row r="31" spans="2:14" ht="12.75">
      <c r="B31" s="30"/>
      <c r="C31" s="3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3"/>
    </row>
    <row r="32" spans="2:14" ht="12.75">
      <c r="B32" s="31" t="s">
        <v>122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2"/>
    </row>
    <row r="33" spans="10:14" ht="12.75">
      <c r="J33" s="30"/>
      <c r="K33" s="30"/>
      <c r="L33" s="30"/>
      <c r="M33" s="30"/>
      <c r="N33" s="12"/>
    </row>
    <row r="34" spans="2:14" ht="12.75"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2"/>
    </row>
    <row r="35" spans="2:14" ht="12.75">
      <c r="B35" s="30"/>
      <c r="C35" s="38"/>
      <c r="D35" s="38" t="s">
        <v>0</v>
      </c>
      <c r="E35" s="38" t="s">
        <v>1</v>
      </c>
      <c r="F35" s="38" t="s">
        <v>2</v>
      </c>
      <c r="G35" s="38" t="s">
        <v>3</v>
      </c>
      <c r="H35" s="38" t="s">
        <v>4</v>
      </c>
      <c r="I35" s="38" t="s">
        <v>5</v>
      </c>
      <c r="J35" s="38" t="s">
        <v>6</v>
      </c>
      <c r="K35" s="38" t="s">
        <v>7</v>
      </c>
      <c r="L35" s="38" t="s">
        <v>8</v>
      </c>
      <c r="M35" s="38" t="s">
        <v>9</v>
      </c>
      <c r="N35" s="12"/>
    </row>
    <row r="36" spans="2:14" ht="12.75">
      <c r="B36" s="43" t="str">
        <f>'Market Projection'!B20</f>
        <v>Merlot</v>
      </c>
      <c r="C36" s="30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2"/>
    </row>
    <row r="37" spans="2:14" ht="12.75">
      <c r="B37" s="31" t="s">
        <v>399</v>
      </c>
      <c r="C37" s="42"/>
      <c r="D37" s="164">
        <f>'Market Projection'!D20</f>
        <v>6250</v>
      </c>
      <c r="E37" s="164">
        <f>'Market Projection'!E20</f>
        <v>6437.5</v>
      </c>
      <c r="F37" s="164">
        <f>'Market Projection'!F20</f>
        <v>6630.625</v>
      </c>
      <c r="G37" s="164">
        <f>'Market Projection'!G20</f>
        <v>6829.54375</v>
      </c>
      <c r="H37" s="164">
        <f>'Market Projection'!H20</f>
        <v>7034.4300625</v>
      </c>
      <c r="I37" s="164">
        <f>'Market Projection'!I20</f>
        <v>7245.4629643749995</v>
      </c>
      <c r="J37" s="164">
        <f>'Market Projection'!J20</f>
        <v>7462.82685330625</v>
      </c>
      <c r="K37" s="164">
        <f>'Market Projection'!K20</f>
        <v>7686.711658905438</v>
      </c>
      <c r="L37" s="164">
        <f>'Market Projection'!L20</f>
        <v>7917.3130086726005</v>
      </c>
      <c r="M37" s="164">
        <f>'Market Projection'!M20</f>
        <v>8154.832398932779</v>
      </c>
      <c r="N37" s="12"/>
    </row>
    <row r="38" spans="2:14" ht="12.75">
      <c r="B38" s="31" t="s">
        <v>398</v>
      </c>
      <c r="C38" s="42"/>
      <c r="D38" s="164">
        <f>(D37*'Wine Products'!$C$24)+D37</f>
        <v>6687.5</v>
      </c>
      <c r="E38" s="164">
        <f>(E37*'Wine Products'!$C$24)+E37</f>
        <v>6888.125</v>
      </c>
      <c r="F38" s="164">
        <f>(F37*'Wine Products'!$C$24)+F37</f>
        <v>7094.76875</v>
      </c>
      <c r="G38" s="164">
        <f>(G37*'Wine Products'!$C$24)+G37</f>
        <v>7307.6118125</v>
      </c>
      <c r="H38" s="164">
        <f>(H37*'Wine Products'!$C$24)+H37</f>
        <v>7526.840166874999</v>
      </c>
      <c r="I38" s="164">
        <f>(I37*'Wine Products'!$C$24)+I37</f>
        <v>7752.64537188125</v>
      </c>
      <c r="J38" s="164">
        <f>(J37*'Wine Products'!$C$24)+J37</f>
        <v>7985.224733037688</v>
      </c>
      <c r="K38" s="164">
        <f>(K37*'Wine Products'!$C$24)+K37</f>
        <v>8224.781475028818</v>
      </c>
      <c r="L38" s="164">
        <f>(L37*'Wine Products'!$C$24)+L37</f>
        <v>8471.524919279682</v>
      </c>
      <c r="M38" s="164">
        <f>(M37*'Wine Products'!$C$24)+M37</f>
        <v>8725.670666858074</v>
      </c>
      <c r="N38" s="12"/>
    </row>
    <row r="39" spans="2:14" ht="12.75">
      <c r="B39" s="31" t="s">
        <v>123</v>
      </c>
      <c r="C39" s="44"/>
      <c r="D39" s="165">
        <f>'Wine Products'!$C25</f>
        <v>13.275</v>
      </c>
      <c r="E39" s="165">
        <f>'Wine Products'!$C25</f>
        <v>13.275</v>
      </c>
      <c r="F39" s="165">
        <f>'Wine Products'!$C25</f>
        <v>13.275</v>
      </c>
      <c r="G39" s="165">
        <f>'Wine Products'!$C25</f>
        <v>13.275</v>
      </c>
      <c r="H39" s="165">
        <f>'Wine Products'!$C25</f>
        <v>13.275</v>
      </c>
      <c r="I39" s="165">
        <f>'Wine Products'!$C25</f>
        <v>13.275</v>
      </c>
      <c r="J39" s="165">
        <f>'Wine Products'!$C25</f>
        <v>13.275</v>
      </c>
      <c r="K39" s="165">
        <f>'Wine Products'!$C25</f>
        <v>13.275</v>
      </c>
      <c r="L39" s="165">
        <f>'Wine Products'!$C25</f>
        <v>13.275</v>
      </c>
      <c r="M39" s="165">
        <f>'Wine Products'!$C25</f>
        <v>13.275</v>
      </c>
      <c r="N39" s="13"/>
    </row>
    <row r="40" spans="2:14" ht="12.75">
      <c r="B40" s="31" t="s">
        <v>124</v>
      </c>
      <c r="C40" s="45"/>
      <c r="D40" s="166">
        <f aca="true" t="shared" si="1" ref="D40:M40">D37*D39</f>
        <v>82968.75</v>
      </c>
      <c r="E40" s="166">
        <f t="shared" si="1"/>
        <v>85457.8125</v>
      </c>
      <c r="F40" s="166">
        <f t="shared" si="1"/>
        <v>88021.546875</v>
      </c>
      <c r="G40" s="166">
        <f t="shared" si="1"/>
        <v>90662.19328125</v>
      </c>
      <c r="H40" s="166">
        <f t="shared" si="1"/>
        <v>93382.0590796875</v>
      </c>
      <c r="I40" s="166">
        <f t="shared" si="1"/>
        <v>96183.52085207812</v>
      </c>
      <c r="J40" s="166">
        <f t="shared" si="1"/>
        <v>99069.02647764047</v>
      </c>
      <c r="K40" s="166">
        <f t="shared" si="1"/>
        <v>102041.09727196969</v>
      </c>
      <c r="L40" s="166">
        <f t="shared" si="1"/>
        <v>105102.33019012878</v>
      </c>
      <c r="M40" s="166">
        <f t="shared" si="1"/>
        <v>108255.40009583265</v>
      </c>
      <c r="N40" s="13"/>
    </row>
    <row r="41" spans="2:14" ht="12.75">
      <c r="B41" s="30"/>
      <c r="C41" s="30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2"/>
    </row>
    <row r="42" spans="2:14" ht="12.75">
      <c r="B42" s="31" t="str">
        <f>'Market Projection'!B21</f>
        <v>Cabernet Sauvignon</v>
      </c>
      <c r="C42" s="30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2"/>
    </row>
    <row r="43" spans="2:14" ht="12.75">
      <c r="B43" s="31" t="str">
        <f>B37</f>
        <v>Sales Volume</v>
      </c>
      <c r="C43" s="42"/>
      <c r="D43" s="164">
        <f>'Market Projection'!D21</f>
        <v>6250</v>
      </c>
      <c r="E43" s="164">
        <f>'Market Projection'!E21</f>
        <v>6437.5</v>
      </c>
      <c r="F43" s="164">
        <f>'Market Projection'!F21</f>
        <v>6630.625</v>
      </c>
      <c r="G43" s="164">
        <f>'Market Projection'!G21</f>
        <v>6829.54375</v>
      </c>
      <c r="H43" s="164">
        <f>'Market Projection'!H21</f>
        <v>7034.4300625</v>
      </c>
      <c r="I43" s="164">
        <f>'Market Projection'!I21</f>
        <v>7245.4629643749995</v>
      </c>
      <c r="J43" s="164">
        <f>'Market Projection'!J21</f>
        <v>7462.82685330625</v>
      </c>
      <c r="K43" s="164">
        <f>'Market Projection'!K21</f>
        <v>7686.711658905438</v>
      </c>
      <c r="L43" s="164">
        <f>'Market Projection'!L21</f>
        <v>7917.3130086726005</v>
      </c>
      <c r="M43" s="164">
        <f>'Market Projection'!M21</f>
        <v>8154.832398932779</v>
      </c>
      <c r="N43" s="12"/>
    </row>
    <row r="44" spans="2:14" ht="12.75">
      <c r="B44" s="31" t="str">
        <f>B38</f>
        <v>Volume Consumed</v>
      </c>
      <c r="C44" s="42"/>
      <c r="D44" s="164">
        <f>(D43*'Wine Products'!$F$24)+D43</f>
        <v>6687.5</v>
      </c>
      <c r="E44" s="164">
        <f>(E43*'Wine Products'!$F$24)+E43</f>
        <v>6888.125</v>
      </c>
      <c r="F44" s="164">
        <f>(F43*'Wine Products'!$F$24)+F43</f>
        <v>7094.76875</v>
      </c>
      <c r="G44" s="164">
        <f>(G43*'Wine Products'!$F$24)+G43</f>
        <v>7307.6118125</v>
      </c>
      <c r="H44" s="164">
        <f>(H43*'Wine Products'!$F$24)+H43</f>
        <v>7526.840166874999</v>
      </c>
      <c r="I44" s="164">
        <f>(I43*'Wine Products'!$F$24)+I43</f>
        <v>7752.64537188125</v>
      </c>
      <c r="J44" s="164">
        <f>(J43*'Wine Products'!$F$24)+J43</f>
        <v>7985.224733037688</v>
      </c>
      <c r="K44" s="164">
        <f>(K43*'Wine Products'!$F$24)+K43</f>
        <v>8224.781475028818</v>
      </c>
      <c r="L44" s="164">
        <f>(L43*'Wine Products'!$F$24)+L43</f>
        <v>8471.524919279682</v>
      </c>
      <c r="M44" s="164">
        <f>(M43*'Wine Products'!$F$24)+M43</f>
        <v>8725.670666858074</v>
      </c>
      <c r="N44" s="12"/>
    </row>
    <row r="45" spans="2:14" ht="12.75">
      <c r="B45" s="31" t="str">
        <f>B39</f>
        <v>Price/Unit</v>
      </c>
      <c r="C45" s="44"/>
      <c r="D45" s="167">
        <f>'Wine Products'!$F25</f>
        <v>14.188</v>
      </c>
      <c r="E45" s="167">
        <f>'Wine Products'!$F25</f>
        <v>14.188</v>
      </c>
      <c r="F45" s="167">
        <f>'Wine Products'!$F25</f>
        <v>14.188</v>
      </c>
      <c r="G45" s="167">
        <f>'Wine Products'!$F25</f>
        <v>14.188</v>
      </c>
      <c r="H45" s="167">
        <f>'Wine Products'!$F25</f>
        <v>14.188</v>
      </c>
      <c r="I45" s="167">
        <f>'Wine Products'!$F25</f>
        <v>14.188</v>
      </c>
      <c r="J45" s="167">
        <f>'Wine Products'!$F25</f>
        <v>14.188</v>
      </c>
      <c r="K45" s="167">
        <f>'Wine Products'!$F25</f>
        <v>14.188</v>
      </c>
      <c r="L45" s="167">
        <f>'Wine Products'!$F25</f>
        <v>14.188</v>
      </c>
      <c r="M45" s="167">
        <f>'Wine Products'!$F25</f>
        <v>14.188</v>
      </c>
      <c r="N45" s="12"/>
    </row>
    <row r="46" spans="2:14" ht="12.75">
      <c r="B46" s="31" t="str">
        <f>B40</f>
        <v>Gross Sales</v>
      </c>
      <c r="C46" s="45"/>
      <c r="D46" s="168">
        <f aca="true" t="shared" si="2" ref="D46:M46">D43*D45</f>
        <v>88675</v>
      </c>
      <c r="E46" s="168">
        <f t="shared" si="2"/>
        <v>91335.25</v>
      </c>
      <c r="F46" s="168">
        <f t="shared" si="2"/>
        <v>94075.30750000001</v>
      </c>
      <c r="G46" s="168">
        <f t="shared" si="2"/>
        <v>96897.566725</v>
      </c>
      <c r="H46" s="168">
        <f t="shared" si="2"/>
        <v>99804.49372674999</v>
      </c>
      <c r="I46" s="168">
        <f t="shared" si="2"/>
        <v>102798.6285385525</v>
      </c>
      <c r="J46" s="168">
        <f t="shared" si="2"/>
        <v>105882.58739470909</v>
      </c>
      <c r="K46" s="168">
        <f t="shared" si="2"/>
        <v>109059.06501655035</v>
      </c>
      <c r="L46" s="168">
        <f t="shared" si="2"/>
        <v>112330.83696704687</v>
      </c>
      <c r="M46" s="168">
        <f t="shared" si="2"/>
        <v>115700.76207605828</v>
      </c>
      <c r="N46" s="13"/>
    </row>
    <row r="47" spans="2:14" ht="12.75">
      <c r="B47" s="30"/>
      <c r="C47" s="30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3"/>
    </row>
    <row r="48" spans="2:14" ht="12.75">
      <c r="B48" s="31" t="str">
        <f>'Market Projection'!B22</f>
        <v>Chardonnay</v>
      </c>
      <c r="C48" s="30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2"/>
    </row>
    <row r="49" spans="2:14" ht="12.75">
      <c r="B49" s="31" t="str">
        <f>B37</f>
        <v>Sales Volume</v>
      </c>
      <c r="C49" s="42"/>
      <c r="D49" s="164">
        <f>'Market Projection'!D22</f>
        <v>6250</v>
      </c>
      <c r="E49" s="164">
        <f>'Market Projection'!E22</f>
        <v>6437.5</v>
      </c>
      <c r="F49" s="164">
        <f>'Market Projection'!F22</f>
        <v>6630.625</v>
      </c>
      <c r="G49" s="164">
        <f>'Market Projection'!G22</f>
        <v>6829.54375</v>
      </c>
      <c r="H49" s="164">
        <f>'Market Projection'!H22</f>
        <v>7034.4300625</v>
      </c>
      <c r="I49" s="164">
        <f>'Market Projection'!I22</f>
        <v>7245.4629643749995</v>
      </c>
      <c r="J49" s="164">
        <f>'Market Projection'!J22</f>
        <v>7462.82685330625</v>
      </c>
      <c r="K49" s="164">
        <f>'Market Projection'!K22</f>
        <v>7686.711658905438</v>
      </c>
      <c r="L49" s="164">
        <f>'Market Projection'!L22</f>
        <v>7917.3130086726005</v>
      </c>
      <c r="M49" s="164">
        <f>'Market Projection'!M22</f>
        <v>8154.832398932779</v>
      </c>
      <c r="N49" s="12"/>
    </row>
    <row r="50" spans="2:14" ht="12.75">
      <c r="B50" s="31" t="str">
        <f>B38</f>
        <v>Volume Consumed</v>
      </c>
      <c r="C50" s="42"/>
      <c r="D50" s="164">
        <f>(D49*'Wine Products'!$C$34)+D49</f>
        <v>6687.5</v>
      </c>
      <c r="E50" s="164">
        <f>(E49*'Wine Products'!$C$34)+E49</f>
        <v>6888.125</v>
      </c>
      <c r="F50" s="164">
        <f>(F49*'Wine Products'!$C$34)+F49</f>
        <v>7094.76875</v>
      </c>
      <c r="G50" s="164">
        <f>(G49*'Wine Products'!$C$34)+G49</f>
        <v>7307.6118125</v>
      </c>
      <c r="H50" s="164">
        <f>(H49*'Wine Products'!$C$34)+H49</f>
        <v>7526.840166874999</v>
      </c>
      <c r="I50" s="164">
        <f>(I49*'Wine Products'!$C$34)+I49</f>
        <v>7752.64537188125</v>
      </c>
      <c r="J50" s="164">
        <f>(J49*'Wine Products'!$C$34)+J49</f>
        <v>7985.224733037688</v>
      </c>
      <c r="K50" s="164">
        <f>(K49*'Wine Products'!$C$34)+K49</f>
        <v>8224.781475028818</v>
      </c>
      <c r="L50" s="164">
        <f>(L49*'Wine Products'!$C$34)+L49</f>
        <v>8471.524919279682</v>
      </c>
      <c r="M50" s="164">
        <f>(M49*'Wine Products'!$C$34)+M49</f>
        <v>8725.670666858074</v>
      </c>
      <c r="N50" s="12"/>
    </row>
    <row r="51" spans="2:14" ht="12.75">
      <c r="B51" s="31" t="str">
        <f>B39</f>
        <v>Price/Unit</v>
      </c>
      <c r="C51" s="44"/>
      <c r="D51" s="165">
        <f>'Wine Products'!$C35</f>
        <v>11.997</v>
      </c>
      <c r="E51" s="165">
        <f>'Wine Products'!$C35</f>
        <v>11.997</v>
      </c>
      <c r="F51" s="165">
        <f>'Wine Products'!$C35</f>
        <v>11.997</v>
      </c>
      <c r="G51" s="165">
        <f>'Wine Products'!$C35</f>
        <v>11.997</v>
      </c>
      <c r="H51" s="165">
        <f>'Wine Products'!$C35</f>
        <v>11.997</v>
      </c>
      <c r="I51" s="165">
        <f>'Wine Products'!$C35</f>
        <v>11.997</v>
      </c>
      <c r="J51" s="165">
        <f>'Wine Products'!$C35</f>
        <v>11.997</v>
      </c>
      <c r="K51" s="165">
        <f>'Wine Products'!$C35</f>
        <v>11.997</v>
      </c>
      <c r="L51" s="165">
        <f>'Wine Products'!$C35</f>
        <v>11.997</v>
      </c>
      <c r="M51" s="165">
        <f>'Wine Products'!$C35</f>
        <v>11.997</v>
      </c>
      <c r="N51" s="12"/>
    </row>
    <row r="52" spans="2:14" ht="12.75">
      <c r="B52" s="31" t="str">
        <f>B40</f>
        <v>Gross Sales</v>
      </c>
      <c r="C52" s="45"/>
      <c r="D52" s="166">
        <f aca="true" t="shared" si="3" ref="D52:M52">D49*D51</f>
        <v>74981.25</v>
      </c>
      <c r="E52" s="166">
        <f t="shared" si="3"/>
        <v>77230.6875</v>
      </c>
      <c r="F52" s="166">
        <f t="shared" si="3"/>
        <v>79547.608125</v>
      </c>
      <c r="G52" s="166">
        <f t="shared" si="3"/>
        <v>81934.03636874999</v>
      </c>
      <c r="H52" s="166">
        <f t="shared" si="3"/>
        <v>84392.0574598125</v>
      </c>
      <c r="I52" s="166">
        <f t="shared" si="3"/>
        <v>86923.81918360687</v>
      </c>
      <c r="J52" s="166">
        <f t="shared" si="3"/>
        <v>89531.53375911507</v>
      </c>
      <c r="K52" s="166">
        <f t="shared" si="3"/>
        <v>92217.47977188854</v>
      </c>
      <c r="L52" s="166">
        <f t="shared" si="3"/>
        <v>94984.00416504519</v>
      </c>
      <c r="M52" s="166">
        <f t="shared" si="3"/>
        <v>97833.52428999655</v>
      </c>
      <c r="N52" s="12"/>
    </row>
    <row r="53" spans="2:14" ht="12.75">
      <c r="B53" s="30"/>
      <c r="C53" s="30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3"/>
    </row>
    <row r="54" spans="2:14" ht="12.75">
      <c r="B54" s="31" t="str">
        <f>'Market Projection'!B23</f>
        <v>Wine 4</v>
      </c>
      <c r="C54" s="30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3"/>
    </row>
    <row r="55" spans="2:13" ht="12.75">
      <c r="B55" s="31" t="str">
        <f>B37</f>
        <v>Sales Volume</v>
      </c>
      <c r="C55" s="42"/>
      <c r="D55" s="164">
        <f>'Market Projection'!D23</f>
        <v>0</v>
      </c>
      <c r="E55" s="164">
        <f>'Market Projection'!E23</f>
        <v>0</v>
      </c>
      <c r="F55" s="164">
        <f>'Market Projection'!F23</f>
        <v>0</v>
      </c>
      <c r="G55" s="164">
        <f>'Market Projection'!G23</f>
        <v>0</v>
      </c>
      <c r="H55" s="164">
        <f>'Market Projection'!H23</f>
        <v>0</v>
      </c>
      <c r="I55" s="164">
        <f>'Market Projection'!I23</f>
        <v>0</v>
      </c>
      <c r="J55" s="164">
        <f>'Market Projection'!J23</f>
        <v>0</v>
      </c>
      <c r="K55" s="164">
        <f>'Market Projection'!K23</f>
        <v>0</v>
      </c>
      <c r="L55" s="164">
        <f>'Market Projection'!L23</f>
        <v>0</v>
      </c>
      <c r="M55" s="164">
        <f>'Market Projection'!M23</f>
        <v>0</v>
      </c>
    </row>
    <row r="56" spans="2:13" ht="12.75">
      <c r="B56" s="31" t="str">
        <f>B38</f>
        <v>Volume Consumed</v>
      </c>
      <c r="C56" s="42"/>
      <c r="D56" s="164">
        <f>(D55*'Wine Products'!$F$34)+D55</f>
        <v>0</v>
      </c>
      <c r="E56" s="164">
        <f>(E55*'Wine Products'!$F$34)+E55</f>
        <v>0</v>
      </c>
      <c r="F56" s="164">
        <f>(F55*'Wine Products'!$F$34)+F55</f>
        <v>0</v>
      </c>
      <c r="G56" s="164">
        <f>(G55*'Wine Products'!$F$34)+G55</f>
        <v>0</v>
      </c>
      <c r="H56" s="164">
        <f>(H55*'Wine Products'!$F$34)+H55</f>
        <v>0</v>
      </c>
      <c r="I56" s="164">
        <f>(I55*'Wine Products'!$F$34)+I55</f>
        <v>0</v>
      </c>
      <c r="J56" s="164">
        <f>(J55*'Wine Products'!$F$34)+J55</f>
        <v>0</v>
      </c>
      <c r="K56" s="164">
        <f>(K55*'Wine Products'!$F$34)+K55</f>
        <v>0</v>
      </c>
      <c r="L56" s="164">
        <f>(L55*'Wine Products'!$F$34)+L55</f>
        <v>0</v>
      </c>
      <c r="M56" s="164">
        <f>(M55*'Wine Products'!$F$34)+M55</f>
        <v>0</v>
      </c>
    </row>
    <row r="57" spans="2:13" ht="12.75">
      <c r="B57" s="31" t="str">
        <f>B39</f>
        <v>Price/Unit</v>
      </c>
      <c r="C57" s="44"/>
      <c r="D57" s="165">
        <f>'Wine Products'!$F35</f>
        <v>0</v>
      </c>
      <c r="E57" s="165">
        <f>'Wine Products'!$F35</f>
        <v>0</v>
      </c>
      <c r="F57" s="165">
        <f>'Wine Products'!$F35</f>
        <v>0</v>
      </c>
      <c r="G57" s="165">
        <f>'Wine Products'!$F35</f>
        <v>0</v>
      </c>
      <c r="H57" s="165">
        <f>'Wine Products'!$F35</f>
        <v>0</v>
      </c>
      <c r="I57" s="165">
        <f>'Wine Products'!$F35</f>
        <v>0</v>
      </c>
      <c r="J57" s="165">
        <f>'Wine Products'!$F35</f>
        <v>0</v>
      </c>
      <c r="K57" s="165">
        <f>'Wine Products'!$F35</f>
        <v>0</v>
      </c>
      <c r="L57" s="165">
        <f>'Wine Products'!$F35</f>
        <v>0</v>
      </c>
      <c r="M57" s="165">
        <f>'Wine Products'!$F35</f>
        <v>0</v>
      </c>
    </row>
    <row r="58" spans="2:13" ht="12.75">
      <c r="B58" s="31" t="str">
        <f>B40</f>
        <v>Gross Sales</v>
      </c>
      <c r="C58" s="45"/>
      <c r="D58" s="166">
        <f aca="true" t="shared" si="4" ref="D58:M58">D55*D57</f>
        <v>0</v>
      </c>
      <c r="E58" s="166">
        <f t="shared" si="4"/>
        <v>0</v>
      </c>
      <c r="F58" s="166">
        <f t="shared" si="4"/>
        <v>0</v>
      </c>
      <c r="G58" s="166">
        <f t="shared" si="4"/>
        <v>0</v>
      </c>
      <c r="H58" s="166">
        <f t="shared" si="4"/>
        <v>0</v>
      </c>
      <c r="I58" s="166">
        <f t="shared" si="4"/>
        <v>0</v>
      </c>
      <c r="J58" s="166">
        <f t="shared" si="4"/>
        <v>0</v>
      </c>
      <c r="K58" s="166">
        <f t="shared" si="4"/>
        <v>0</v>
      </c>
      <c r="L58" s="166">
        <f t="shared" si="4"/>
        <v>0</v>
      </c>
      <c r="M58" s="166">
        <f t="shared" si="4"/>
        <v>0</v>
      </c>
    </row>
    <row r="59" spans="2:13" ht="12.75">
      <c r="B59" s="31"/>
      <c r="C59" s="45"/>
      <c r="D59" s="169"/>
      <c r="E59" s="169"/>
      <c r="F59" s="169"/>
      <c r="G59" s="169"/>
      <c r="H59" s="169"/>
      <c r="I59" s="169"/>
      <c r="J59" s="169"/>
      <c r="K59" s="169"/>
      <c r="L59" s="169"/>
      <c r="M59" s="169"/>
    </row>
    <row r="60" spans="2:13" ht="12.75">
      <c r="B60" s="31" t="str">
        <f>B24</f>
        <v>Wine 5</v>
      </c>
      <c r="C60" s="45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2:13" ht="12.75">
      <c r="B61" s="31" t="s">
        <v>362</v>
      </c>
      <c r="C61" s="45"/>
      <c r="D61" s="170">
        <f>D24</f>
        <v>0</v>
      </c>
      <c r="E61" s="170">
        <f aca="true" t="shared" si="5" ref="E61:M61">E24</f>
        <v>0</v>
      </c>
      <c r="F61" s="170">
        <f t="shared" si="5"/>
        <v>0</v>
      </c>
      <c r="G61" s="170">
        <f t="shared" si="5"/>
        <v>0</v>
      </c>
      <c r="H61" s="170">
        <f t="shared" si="5"/>
        <v>0</v>
      </c>
      <c r="I61" s="170">
        <f t="shared" si="5"/>
        <v>0</v>
      </c>
      <c r="J61" s="170">
        <f t="shared" si="5"/>
        <v>0</v>
      </c>
      <c r="K61" s="170">
        <f t="shared" si="5"/>
        <v>0</v>
      </c>
      <c r="L61" s="170">
        <f t="shared" si="5"/>
        <v>0</v>
      </c>
      <c r="M61" s="170">
        <f t="shared" si="5"/>
        <v>0</v>
      </c>
    </row>
    <row r="62" spans="2:13" ht="12.75">
      <c r="B62" s="31" t="str">
        <f>B38</f>
        <v>Volume Consumed</v>
      </c>
      <c r="C62" s="45"/>
      <c r="D62" s="164">
        <f>(D61*'Wine Products'!$C$44)+D61</f>
        <v>0</v>
      </c>
      <c r="E62" s="164">
        <f>(E61*'Wine Products'!$C$44)+E61</f>
        <v>0</v>
      </c>
      <c r="F62" s="164">
        <f>(F61*'Wine Products'!$C$44)+F61</f>
        <v>0</v>
      </c>
      <c r="G62" s="164">
        <f>(G61*'Wine Products'!$C$44)+G61</f>
        <v>0</v>
      </c>
      <c r="H62" s="164">
        <f>(H61*'Wine Products'!$C$44)+H61</f>
        <v>0</v>
      </c>
      <c r="I62" s="164">
        <f>(I61*'Wine Products'!$C$44)+I61</f>
        <v>0</v>
      </c>
      <c r="J62" s="164">
        <f>(J61*'Wine Products'!$C$44)+J61</f>
        <v>0</v>
      </c>
      <c r="K62" s="164">
        <f>(K61*'Wine Products'!$C$44)+K61</f>
        <v>0</v>
      </c>
      <c r="L62" s="164">
        <f>(L61*'Wine Products'!$C$44)+L61</f>
        <v>0</v>
      </c>
      <c r="M62" s="164">
        <f>(M61*'Wine Products'!$C$44)+M61</f>
        <v>0</v>
      </c>
    </row>
    <row r="63" spans="2:13" ht="12.75">
      <c r="B63" s="31" t="s">
        <v>123</v>
      </c>
      <c r="C63" s="45"/>
      <c r="D63" s="166">
        <f>'Wine Products'!$C$45</f>
        <v>0</v>
      </c>
      <c r="E63" s="166">
        <f>'Wine Products'!$C$45</f>
        <v>0</v>
      </c>
      <c r="F63" s="166">
        <f>'Wine Products'!$C$45</f>
        <v>0</v>
      </c>
      <c r="G63" s="166">
        <f>'Wine Products'!$C$45</f>
        <v>0</v>
      </c>
      <c r="H63" s="166">
        <f>'Wine Products'!$C$45</f>
        <v>0</v>
      </c>
      <c r="I63" s="166">
        <f>'Wine Products'!$C$45</f>
        <v>0</v>
      </c>
      <c r="J63" s="166">
        <f>'Wine Products'!$C$45</f>
        <v>0</v>
      </c>
      <c r="K63" s="166">
        <f>'Wine Products'!$C$45</f>
        <v>0</v>
      </c>
      <c r="L63" s="166">
        <f>'Wine Products'!$C$45</f>
        <v>0</v>
      </c>
      <c r="M63" s="166">
        <f>'Wine Products'!$C$45</f>
        <v>0</v>
      </c>
    </row>
    <row r="64" spans="2:13" ht="12.75">
      <c r="B64" s="31" t="s">
        <v>124</v>
      </c>
      <c r="C64" s="45"/>
      <c r="D64" s="166">
        <f aca="true" t="shared" si="6" ref="D64:M64">D61*D63</f>
        <v>0</v>
      </c>
      <c r="E64" s="166">
        <f t="shared" si="6"/>
        <v>0</v>
      </c>
      <c r="F64" s="166">
        <f t="shared" si="6"/>
        <v>0</v>
      </c>
      <c r="G64" s="166">
        <f t="shared" si="6"/>
        <v>0</v>
      </c>
      <c r="H64" s="166">
        <f t="shared" si="6"/>
        <v>0</v>
      </c>
      <c r="I64" s="166">
        <f t="shared" si="6"/>
        <v>0</v>
      </c>
      <c r="J64" s="166">
        <f t="shared" si="6"/>
        <v>0</v>
      </c>
      <c r="K64" s="166">
        <f t="shared" si="6"/>
        <v>0</v>
      </c>
      <c r="L64" s="166">
        <f t="shared" si="6"/>
        <v>0</v>
      </c>
      <c r="M64" s="166">
        <f t="shared" si="6"/>
        <v>0</v>
      </c>
    </row>
    <row r="65" spans="2:13" ht="12.75">
      <c r="B65" s="31"/>
      <c r="C65" s="45"/>
      <c r="D65" s="169"/>
      <c r="E65" s="169"/>
      <c r="F65" s="169"/>
      <c r="G65" s="169"/>
      <c r="H65" s="169"/>
      <c r="I65" s="169"/>
      <c r="J65" s="169"/>
      <c r="K65" s="169"/>
      <c r="L65" s="169"/>
      <c r="M65" s="169"/>
    </row>
    <row r="66" spans="2:13" ht="12.75">
      <c r="B66" s="31" t="str">
        <f>B25</f>
        <v>Wine 6</v>
      </c>
      <c r="C66" s="45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2:13" ht="12.75">
      <c r="B67" s="31" t="s">
        <v>362</v>
      </c>
      <c r="C67" s="45"/>
      <c r="D67" s="170">
        <f>D25</f>
        <v>0</v>
      </c>
      <c r="E67" s="170">
        <f aca="true" t="shared" si="7" ref="E67:M67">E25</f>
        <v>0</v>
      </c>
      <c r="F67" s="170">
        <f t="shared" si="7"/>
        <v>0</v>
      </c>
      <c r="G67" s="170">
        <f t="shared" si="7"/>
        <v>0</v>
      </c>
      <c r="H67" s="170">
        <f t="shared" si="7"/>
        <v>0</v>
      </c>
      <c r="I67" s="170">
        <f t="shared" si="7"/>
        <v>0</v>
      </c>
      <c r="J67" s="170">
        <f t="shared" si="7"/>
        <v>0</v>
      </c>
      <c r="K67" s="170">
        <f t="shared" si="7"/>
        <v>0</v>
      </c>
      <c r="L67" s="170">
        <f t="shared" si="7"/>
        <v>0</v>
      </c>
      <c r="M67" s="170">
        <f t="shared" si="7"/>
        <v>0</v>
      </c>
    </row>
    <row r="68" spans="2:13" ht="12.75">
      <c r="B68" s="31" t="str">
        <f>B38</f>
        <v>Volume Consumed</v>
      </c>
      <c r="C68" s="45"/>
      <c r="D68" s="164">
        <f>(D67*'Wine Products'!$F$44)+D67</f>
        <v>0</v>
      </c>
      <c r="E68" s="164">
        <f>(E67*'Wine Products'!$F$44)+E67</f>
        <v>0</v>
      </c>
      <c r="F68" s="164">
        <f>(F67*'Wine Products'!$F$44)+F67</f>
        <v>0</v>
      </c>
      <c r="G68" s="164">
        <f>(G67*'Wine Products'!$F$44)+G67</f>
        <v>0</v>
      </c>
      <c r="H68" s="164">
        <f>(H67*'Wine Products'!$F$44)+H67</f>
        <v>0</v>
      </c>
      <c r="I68" s="164">
        <f>(I67*'Wine Products'!$F$44)+I67</f>
        <v>0</v>
      </c>
      <c r="J68" s="164">
        <f>(J67*'Wine Products'!$F$44)+J67</f>
        <v>0</v>
      </c>
      <c r="K68" s="164">
        <f>(K67*'Wine Products'!$F$44)+K67</f>
        <v>0</v>
      </c>
      <c r="L68" s="164">
        <f>(L67*'Wine Products'!$F$44)+L67</f>
        <v>0</v>
      </c>
      <c r="M68" s="164">
        <f>(M67*'Wine Products'!$F$44)+M67</f>
        <v>0</v>
      </c>
    </row>
    <row r="69" spans="2:13" ht="12.75">
      <c r="B69" s="31" t="s">
        <v>123</v>
      </c>
      <c r="C69" s="45"/>
      <c r="D69" s="166">
        <f>'Wine Products'!$F$45</f>
        <v>0</v>
      </c>
      <c r="E69" s="166">
        <f>'Wine Products'!$F$45</f>
        <v>0</v>
      </c>
      <c r="F69" s="166">
        <f>'Wine Products'!$F$45</f>
        <v>0</v>
      </c>
      <c r="G69" s="166">
        <f>'Wine Products'!$F$45</f>
        <v>0</v>
      </c>
      <c r="H69" s="166">
        <f>'Wine Products'!$F$45</f>
        <v>0</v>
      </c>
      <c r="I69" s="166">
        <f>'Wine Products'!$F$45</f>
        <v>0</v>
      </c>
      <c r="J69" s="166">
        <f>'Wine Products'!$F$45</f>
        <v>0</v>
      </c>
      <c r="K69" s="166">
        <f>'Wine Products'!$F$45</f>
        <v>0</v>
      </c>
      <c r="L69" s="166">
        <f>'Wine Products'!$F$45</f>
        <v>0</v>
      </c>
      <c r="M69" s="166">
        <f>'Wine Products'!$F$45</f>
        <v>0</v>
      </c>
    </row>
    <row r="70" spans="2:13" ht="12.75">
      <c r="B70" s="31" t="s">
        <v>124</v>
      </c>
      <c r="C70" s="45"/>
      <c r="D70" s="166">
        <f aca="true" t="shared" si="8" ref="D70:M70">D67*D69</f>
        <v>0</v>
      </c>
      <c r="E70" s="166">
        <f t="shared" si="8"/>
        <v>0</v>
      </c>
      <c r="F70" s="166">
        <f t="shared" si="8"/>
        <v>0</v>
      </c>
      <c r="G70" s="166">
        <f t="shared" si="8"/>
        <v>0</v>
      </c>
      <c r="H70" s="166">
        <f t="shared" si="8"/>
        <v>0</v>
      </c>
      <c r="I70" s="166">
        <f t="shared" si="8"/>
        <v>0</v>
      </c>
      <c r="J70" s="166">
        <f t="shared" si="8"/>
        <v>0</v>
      </c>
      <c r="K70" s="166">
        <f t="shared" si="8"/>
        <v>0</v>
      </c>
      <c r="L70" s="166">
        <f t="shared" si="8"/>
        <v>0</v>
      </c>
      <c r="M70" s="166">
        <f t="shared" si="8"/>
        <v>0</v>
      </c>
    </row>
    <row r="71" spans="2:13" ht="12.75">
      <c r="B71" s="31"/>
      <c r="C71" s="45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2:13" ht="12.75">
      <c r="B72" s="31" t="str">
        <f>B26</f>
        <v>Blend 1</v>
      </c>
      <c r="C72" s="45"/>
      <c r="D72" s="169"/>
      <c r="E72" s="169"/>
      <c r="F72" s="169"/>
      <c r="G72" s="169"/>
      <c r="H72" s="169"/>
      <c r="I72" s="169"/>
      <c r="J72" s="169"/>
      <c r="K72" s="169"/>
      <c r="L72" s="169"/>
      <c r="M72" s="169"/>
    </row>
    <row r="73" spans="2:13" ht="12.75">
      <c r="B73" s="31" t="s">
        <v>362</v>
      </c>
      <c r="C73" s="45"/>
      <c r="D73" s="170">
        <f>D26</f>
        <v>0</v>
      </c>
      <c r="E73" s="170">
        <f aca="true" t="shared" si="9" ref="E73:M73">E26</f>
        <v>0</v>
      </c>
      <c r="F73" s="170">
        <f t="shared" si="9"/>
        <v>0</v>
      </c>
      <c r="G73" s="170">
        <f t="shared" si="9"/>
        <v>0</v>
      </c>
      <c r="H73" s="170">
        <f t="shared" si="9"/>
        <v>0</v>
      </c>
      <c r="I73" s="170">
        <f t="shared" si="9"/>
        <v>0</v>
      </c>
      <c r="J73" s="170">
        <f t="shared" si="9"/>
        <v>0</v>
      </c>
      <c r="K73" s="170">
        <f t="shared" si="9"/>
        <v>0</v>
      </c>
      <c r="L73" s="170">
        <f t="shared" si="9"/>
        <v>0</v>
      </c>
      <c r="M73" s="170">
        <f t="shared" si="9"/>
        <v>0</v>
      </c>
    </row>
    <row r="74" spans="2:13" ht="12.75">
      <c r="B74" s="31" t="str">
        <f>B38</f>
        <v>Volume Consumed</v>
      </c>
      <c r="C74" s="45"/>
      <c r="D74" s="164">
        <f>(D73*'Wine Products'!$C$54)+D73</f>
        <v>0</v>
      </c>
      <c r="E74" s="164">
        <f>(E73*'Wine Products'!$C$54)+E73</f>
        <v>0</v>
      </c>
      <c r="F74" s="164">
        <f>(F73*'Wine Products'!$C$54)+F73</f>
        <v>0</v>
      </c>
      <c r="G74" s="164">
        <f>(G73*'Wine Products'!$C$54)+G73</f>
        <v>0</v>
      </c>
      <c r="H74" s="164">
        <f>(H73*'Wine Products'!$C$54)+H73</f>
        <v>0</v>
      </c>
      <c r="I74" s="164">
        <f>(I73*'Wine Products'!$C$54)+I73</f>
        <v>0</v>
      </c>
      <c r="J74" s="164">
        <f>(J73*'Wine Products'!$C$54)+J73</f>
        <v>0</v>
      </c>
      <c r="K74" s="164">
        <f>(K73*'Wine Products'!$C$54)+K73</f>
        <v>0</v>
      </c>
      <c r="L74" s="164">
        <f>(L73*'Wine Products'!$C$54)+L73</f>
        <v>0</v>
      </c>
      <c r="M74" s="164">
        <f>(M73*'Wine Products'!$C$54)+M73</f>
        <v>0</v>
      </c>
    </row>
    <row r="75" spans="2:13" ht="12.75">
      <c r="B75" s="31" t="s">
        <v>123</v>
      </c>
      <c r="C75" s="45"/>
      <c r="D75" s="166">
        <f>'Wine Products'!$C$55</f>
        <v>0</v>
      </c>
      <c r="E75" s="166">
        <f>'Wine Products'!$C$55</f>
        <v>0</v>
      </c>
      <c r="F75" s="166">
        <f>'Wine Products'!$C$55</f>
        <v>0</v>
      </c>
      <c r="G75" s="166">
        <f>'Wine Products'!$C$55</f>
        <v>0</v>
      </c>
      <c r="H75" s="166">
        <f>'Wine Products'!$C$55</f>
        <v>0</v>
      </c>
      <c r="I75" s="166">
        <f>'Wine Products'!$C$55</f>
        <v>0</v>
      </c>
      <c r="J75" s="166">
        <f>'Wine Products'!$C$55</f>
        <v>0</v>
      </c>
      <c r="K75" s="166">
        <f>'Wine Products'!$C$55</f>
        <v>0</v>
      </c>
      <c r="L75" s="166">
        <f>'Wine Products'!$C$55</f>
        <v>0</v>
      </c>
      <c r="M75" s="166">
        <f>'Wine Products'!$C$55</f>
        <v>0</v>
      </c>
    </row>
    <row r="76" spans="2:13" ht="12.75">
      <c r="B76" s="31" t="s">
        <v>124</v>
      </c>
      <c r="C76" s="45"/>
      <c r="D76" s="166">
        <f aca="true" t="shared" si="10" ref="D76:M76">D73*D75</f>
        <v>0</v>
      </c>
      <c r="E76" s="166">
        <f t="shared" si="10"/>
        <v>0</v>
      </c>
      <c r="F76" s="166">
        <f t="shared" si="10"/>
        <v>0</v>
      </c>
      <c r="G76" s="166">
        <f t="shared" si="10"/>
        <v>0</v>
      </c>
      <c r="H76" s="166">
        <f t="shared" si="10"/>
        <v>0</v>
      </c>
      <c r="I76" s="166">
        <f t="shared" si="10"/>
        <v>0</v>
      </c>
      <c r="J76" s="166">
        <f t="shared" si="10"/>
        <v>0</v>
      </c>
      <c r="K76" s="166">
        <f t="shared" si="10"/>
        <v>0</v>
      </c>
      <c r="L76" s="166">
        <f t="shared" si="10"/>
        <v>0</v>
      </c>
      <c r="M76" s="166">
        <f t="shared" si="10"/>
        <v>0</v>
      </c>
    </row>
    <row r="77" spans="2:13" ht="12.75">
      <c r="B77" s="31"/>
      <c r="C77" s="45"/>
      <c r="D77" s="169"/>
      <c r="E77" s="169"/>
      <c r="F77" s="169"/>
      <c r="G77" s="169"/>
      <c r="H77" s="169"/>
      <c r="I77" s="169"/>
      <c r="J77" s="169"/>
      <c r="K77" s="169"/>
      <c r="L77" s="169"/>
      <c r="M77" s="169"/>
    </row>
    <row r="78" spans="2:13" ht="12.75">
      <c r="B78" s="31" t="str">
        <f>B27</f>
        <v>Blend 2</v>
      </c>
      <c r="C78" s="45"/>
      <c r="D78" s="169"/>
      <c r="E78" s="169"/>
      <c r="F78" s="169"/>
      <c r="G78" s="169"/>
      <c r="H78" s="169"/>
      <c r="I78" s="169"/>
      <c r="J78" s="169"/>
      <c r="K78" s="169"/>
      <c r="L78" s="169"/>
      <c r="M78" s="169"/>
    </row>
    <row r="79" spans="2:13" ht="12.75">
      <c r="B79" s="31" t="s">
        <v>362</v>
      </c>
      <c r="C79" s="45"/>
      <c r="D79" s="170">
        <f>D27</f>
        <v>0</v>
      </c>
      <c r="E79" s="170">
        <f aca="true" t="shared" si="11" ref="E79:M79">E27</f>
        <v>0</v>
      </c>
      <c r="F79" s="170">
        <f t="shared" si="11"/>
        <v>0</v>
      </c>
      <c r="G79" s="170">
        <f t="shared" si="11"/>
        <v>0</v>
      </c>
      <c r="H79" s="170">
        <f t="shared" si="11"/>
        <v>0</v>
      </c>
      <c r="I79" s="170">
        <f t="shared" si="11"/>
        <v>0</v>
      </c>
      <c r="J79" s="170">
        <f t="shared" si="11"/>
        <v>0</v>
      </c>
      <c r="K79" s="170">
        <f t="shared" si="11"/>
        <v>0</v>
      </c>
      <c r="L79" s="170">
        <f t="shared" si="11"/>
        <v>0</v>
      </c>
      <c r="M79" s="170">
        <f t="shared" si="11"/>
        <v>0</v>
      </c>
    </row>
    <row r="80" spans="2:13" ht="12.75">
      <c r="B80" s="31" t="str">
        <f>B38</f>
        <v>Volume Consumed</v>
      </c>
      <c r="C80" s="45"/>
      <c r="D80" s="164">
        <f>(D79*'Wine Products'!$F$54)+D79</f>
        <v>0</v>
      </c>
      <c r="E80" s="164">
        <f>(E79*'Wine Products'!$F$54)+E79</f>
        <v>0</v>
      </c>
      <c r="F80" s="164">
        <f>(F79*'Wine Products'!$F$54)+F79</f>
        <v>0</v>
      </c>
      <c r="G80" s="164">
        <f>(G79*'Wine Products'!$F$54)+G79</f>
        <v>0</v>
      </c>
      <c r="H80" s="164">
        <f>(H79*'Wine Products'!$F$54)+H79</f>
        <v>0</v>
      </c>
      <c r="I80" s="164">
        <f>(I79*'Wine Products'!$F$54)+I79</f>
        <v>0</v>
      </c>
      <c r="J80" s="164">
        <f>(J79*'Wine Products'!$F$54)+J79</f>
        <v>0</v>
      </c>
      <c r="K80" s="164">
        <f>(K79*'Wine Products'!$F$54)+K79</f>
        <v>0</v>
      </c>
      <c r="L80" s="164">
        <f>(L79*'Wine Products'!$F$54)+L79</f>
        <v>0</v>
      </c>
      <c r="M80" s="164">
        <f>(M79*'Wine Products'!$F$54)+M79</f>
        <v>0</v>
      </c>
    </row>
    <row r="81" spans="2:13" ht="12.75">
      <c r="B81" s="31" t="s">
        <v>123</v>
      </c>
      <c r="C81" s="45"/>
      <c r="D81" s="166">
        <f>'Wine Products'!$F$55</f>
        <v>0</v>
      </c>
      <c r="E81" s="166">
        <f>'Wine Products'!$F$55</f>
        <v>0</v>
      </c>
      <c r="F81" s="166">
        <f>'Wine Products'!$F$55</f>
        <v>0</v>
      </c>
      <c r="G81" s="166">
        <f>'Wine Products'!$F$55</f>
        <v>0</v>
      </c>
      <c r="H81" s="166">
        <f>'Wine Products'!$F$55</f>
        <v>0</v>
      </c>
      <c r="I81" s="166">
        <f>'Wine Products'!$F$55</f>
        <v>0</v>
      </c>
      <c r="J81" s="166">
        <f>'Wine Products'!$F$55</f>
        <v>0</v>
      </c>
      <c r="K81" s="166">
        <f>'Wine Products'!$F$55</f>
        <v>0</v>
      </c>
      <c r="L81" s="166">
        <f>'Wine Products'!$F$55</f>
        <v>0</v>
      </c>
      <c r="M81" s="166">
        <f>'Wine Products'!$F$55</f>
        <v>0</v>
      </c>
    </row>
    <row r="82" spans="2:13" ht="12.75">
      <c r="B82" s="31" t="s">
        <v>124</v>
      </c>
      <c r="C82" s="45"/>
      <c r="D82" s="166">
        <f aca="true" t="shared" si="12" ref="D82:M82">D79*D81</f>
        <v>0</v>
      </c>
      <c r="E82" s="166">
        <f t="shared" si="12"/>
        <v>0</v>
      </c>
      <c r="F82" s="166">
        <f t="shared" si="12"/>
        <v>0</v>
      </c>
      <c r="G82" s="166">
        <f t="shared" si="12"/>
        <v>0</v>
      </c>
      <c r="H82" s="166">
        <f t="shared" si="12"/>
        <v>0</v>
      </c>
      <c r="I82" s="166">
        <f t="shared" si="12"/>
        <v>0</v>
      </c>
      <c r="J82" s="166">
        <f t="shared" si="12"/>
        <v>0</v>
      </c>
      <c r="K82" s="166">
        <f t="shared" si="12"/>
        <v>0</v>
      </c>
      <c r="L82" s="166">
        <f t="shared" si="12"/>
        <v>0</v>
      </c>
      <c r="M82" s="166">
        <f t="shared" si="12"/>
        <v>0</v>
      </c>
    </row>
    <row r="83" spans="2:13" ht="12.75">
      <c r="B83" s="31"/>
      <c r="C83" s="45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2:13" ht="12.75">
      <c r="B84" s="31" t="s">
        <v>397</v>
      </c>
      <c r="C84" s="45"/>
      <c r="D84" s="166">
        <f>'Input Value'!C60</f>
        <v>5000</v>
      </c>
      <c r="E84" s="166">
        <f>(1+'Input Value'!$C$61)*'Market Projection'!D84</f>
        <v>5150</v>
      </c>
      <c r="F84" s="166">
        <f>(1+'Input Value'!$C$61)*'Market Projection'!E84</f>
        <v>5304.5</v>
      </c>
      <c r="G84" s="166">
        <f>(1+'Input Value'!$C$61)*'Market Projection'!F84</f>
        <v>5463.635</v>
      </c>
      <c r="H84" s="166">
        <f>(1+'Input Value'!$C$61)*'Market Projection'!G84</f>
        <v>5627.54405</v>
      </c>
      <c r="I84" s="166">
        <f>(1+'Input Value'!$C$61)*'Market Projection'!H84</f>
        <v>5796.3703715</v>
      </c>
      <c r="J84" s="166">
        <f>(1+'Input Value'!$C$61)*'Market Projection'!I84</f>
        <v>5970.261482645</v>
      </c>
      <c r="K84" s="166">
        <f>(1+'Input Value'!$C$61)*'Market Projection'!J84</f>
        <v>6149.36932712435</v>
      </c>
      <c r="L84" s="166">
        <f>(1+'Input Value'!$C$61)*'Market Projection'!K84</f>
        <v>6333.850406938081</v>
      </c>
      <c r="M84" s="166">
        <f>(1+'Input Value'!$C$61)*'Market Projection'!L84</f>
        <v>6523.865919146223</v>
      </c>
    </row>
    <row r="85" spans="2:13" ht="12.75">
      <c r="B85" s="31"/>
      <c r="C85" s="45"/>
      <c r="D85" s="169"/>
      <c r="E85" s="169"/>
      <c r="F85" s="169"/>
      <c r="G85" s="169"/>
      <c r="H85" s="169"/>
      <c r="I85" s="169"/>
      <c r="J85" s="169"/>
      <c r="K85" s="169"/>
      <c r="L85" s="169"/>
      <c r="M85" s="169"/>
    </row>
    <row r="86" spans="2:13" ht="12.75">
      <c r="B86" s="31" t="s">
        <v>396</v>
      </c>
      <c r="C86" s="30"/>
      <c r="D86" s="168">
        <f>+D40+D46+D52+D58+D64+D70+D76+D82+D84</f>
        <v>251625</v>
      </c>
      <c r="E86" s="168">
        <f aca="true" t="shared" si="13" ref="E86:M86">+E40+E46+E52+E58+E64+E70+E76+E82+E84</f>
        <v>259173.75</v>
      </c>
      <c r="F86" s="168">
        <f t="shared" si="13"/>
        <v>266948.9625</v>
      </c>
      <c r="G86" s="168">
        <f t="shared" si="13"/>
        <v>274957.431375</v>
      </c>
      <c r="H86" s="168">
        <f t="shared" si="13"/>
        <v>283206.15431625</v>
      </c>
      <c r="I86" s="168">
        <f t="shared" si="13"/>
        <v>291702.33894573746</v>
      </c>
      <c r="J86" s="168">
        <f t="shared" si="13"/>
        <v>300453.40911410964</v>
      </c>
      <c r="K86" s="168">
        <f t="shared" si="13"/>
        <v>309467.01138753287</v>
      </c>
      <c r="L86" s="168">
        <f t="shared" si="13"/>
        <v>318751.0217291589</v>
      </c>
      <c r="M86" s="168">
        <f t="shared" si="13"/>
        <v>328313.5523810337</v>
      </c>
    </row>
    <row r="87" spans="2:13" ht="12.75">
      <c r="B87" s="31"/>
      <c r="C87" s="30"/>
      <c r="D87" s="168"/>
      <c r="E87" s="168"/>
      <c r="F87" s="168"/>
      <c r="G87" s="168"/>
      <c r="H87" s="168"/>
      <c r="I87" s="168"/>
      <c r="J87" s="168"/>
      <c r="K87" s="168"/>
      <c r="L87" s="168"/>
      <c r="M87" s="168"/>
    </row>
    <row r="88" spans="2:13" ht="12.75">
      <c r="B88" s="31" t="s">
        <v>395</v>
      </c>
      <c r="C88" s="30"/>
      <c r="D88" s="178">
        <f>'Input Value'!$C$51*'Market Projection'!D86</f>
        <v>25162.5</v>
      </c>
      <c r="E88" s="178">
        <f>'Input Value'!$C$51*'Market Projection'!E86</f>
        <v>25917.375</v>
      </c>
      <c r="F88" s="178">
        <f>'Input Value'!$C$51*'Market Projection'!F86</f>
        <v>26694.896250000005</v>
      </c>
      <c r="G88" s="178">
        <f>'Input Value'!$C$51*'Market Projection'!G86</f>
        <v>27495.7431375</v>
      </c>
      <c r="H88" s="178">
        <f>'Input Value'!$C$51*'Market Projection'!H86</f>
        <v>28320.615431625003</v>
      </c>
      <c r="I88" s="178">
        <f>'Input Value'!$C$51*'Market Projection'!I86</f>
        <v>29170.233894573747</v>
      </c>
      <c r="J88" s="178">
        <f>'Input Value'!$C$51*'Market Projection'!J86</f>
        <v>30045.340911410967</v>
      </c>
      <c r="K88" s="178">
        <f>'Input Value'!$C$51*'Market Projection'!K86</f>
        <v>30946.701138753288</v>
      </c>
      <c r="L88" s="178">
        <f>'Input Value'!$C$51*'Market Projection'!L86</f>
        <v>31875.10217291589</v>
      </c>
      <c r="M88" s="178">
        <f>'Input Value'!$C$51*'Market Projection'!M86</f>
        <v>32831.35523810337</v>
      </c>
    </row>
    <row r="89" spans="2:13" ht="12.75">
      <c r="B89" s="31"/>
      <c r="C89" s="30"/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2:13" ht="12.75">
      <c r="B90" s="31" t="s">
        <v>125</v>
      </c>
      <c r="C90" s="30"/>
      <c r="D90" s="168">
        <f>D86+D88</f>
        <v>276787.5</v>
      </c>
      <c r="E90" s="168">
        <f aca="true" t="shared" si="14" ref="E90:M90">E86+E88</f>
        <v>285091.125</v>
      </c>
      <c r="F90" s="168">
        <f t="shared" si="14"/>
        <v>293643.85875</v>
      </c>
      <c r="G90" s="168">
        <f t="shared" si="14"/>
        <v>302453.1745125</v>
      </c>
      <c r="H90" s="168">
        <f t="shared" si="14"/>
        <v>311526.769747875</v>
      </c>
      <c r="I90" s="168">
        <f t="shared" si="14"/>
        <v>320872.5728403112</v>
      </c>
      <c r="J90" s="168">
        <f t="shared" si="14"/>
        <v>330498.7500255206</v>
      </c>
      <c r="K90" s="168">
        <f t="shared" si="14"/>
        <v>340413.71252628614</v>
      </c>
      <c r="L90" s="168">
        <f t="shared" si="14"/>
        <v>350626.12390207476</v>
      </c>
      <c r="M90" s="168">
        <f t="shared" si="14"/>
        <v>361144.9076191371</v>
      </c>
    </row>
    <row r="91" spans="2:13" ht="12.75">
      <c r="B91" s="30"/>
      <c r="C91" s="30"/>
      <c r="D91" s="163"/>
      <c r="E91" s="163"/>
      <c r="F91" s="163"/>
      <c r="G91" s="163"/>
      <c r="H91" s="163"/>
      <c r="I91" s="163"/>
      <c r="J91" s="163"/>
      <c r="K91" s="163"/>
      <c r="L91" s="163"/>
      <c r="M91" s="163"/>
    </row>
    <row r="92" spans="2:13" ht="12.75">
      <c r="B92" s="31" t="s">
        <v>99</v>
      </c>
      <c r="C92" s="30"/>
      <c r="D92" s="163"/>
      <c r="E92" s="163"/>
      <c r="F92" s="163"/>
      <c r="G92" s="163"/>
      <c r="H92" s="163"/>
      <c r="I92" s="163"/>
      <c r="J92" s="163"/>
      <c r="K92" s="163"/>
      <c r="L92" s="163"/>
      <c r="M92" s="163"/>
    </row>
    <row r="93" spans="2:13" ht="12.75">
      <c r="B93" s="30" t="str">
        <f aca="true" t="shared" si="15" ref="B93:B100">B20</f>
        <v>Merlot</v>
      </c>
      <c r="C93" s="30"/>
      <c r="D93" s="172">
        <f>D38*'Wine Products'!$C$21</f>
        <v>16512.190620195357</v>
      </c>
      <c r="E93" s="172">
        <f>E38*'Wine Products'!$C$21</f>
        <v>17007.556338801216</v>
      </c>
      <c r="F93" s="172">
        <f>F38*'Wine Products'!$C$21</f>
        <v>17517.783028965252</v>
      </c>
      <c r="G93" s="172">
        <f>G38*'Wine Products'!$C$21</f>
        <v>18043.31651983421</v>
      </c>
      <c r="H93" s="172">
        <f>H38*'Wine Products'!$C$21</f>
        <v>18584.616015429234</v>
      </c>
      <c r="I93" s="172">
        <f>I38*'Wine Products'!$C$21</f>
        <v>19142.154495892115</v>
      </c>
      <c r="J93" s="172">
        <f>J38*'Wine Products'!$C$21</f>
        <v>19716.419130768878</v>
      </c>
      <c r="K93" s="172">
        <f>K38*'Wine Products'!$C$21</f>
        <v>20307.911704691945</v>
      </c>
      <c r="L93" s="172">
        <f>L38*'Wine Products'!$C$21</f>
        <v>20917.1490558327</v>
      </c>
      <c r="M93" s="172">
        <f>M38*'Wine Products'!$C$21</f>
        <v>21544.663527507684</v>
      </c>
    </row>
    <row r="94" spans="2:13" ht="12.75">
      <c r="B94" s="30" t="str">
        <f t="shared" si="15"/>
        <v>Cabernet Sauvignon</v>
      </c>
      <c r="C94" s="42"/>
      <c r="D94" s="172">
        <f>+D44*'Wine Products'!$F$21</f>
        <v>16382.341396863609</v>
      </c>
      <c r="E94" s="172">
        <f>+E44*'Wine Products'!$F$21</f>
        <v>16873.811638769515</v>
      </c>
      <c r="F94" s="172">
        <f>+F44*'Wine Products'!$F$21</f>
        <v>17380.0259879326</v>
      </c>
      <c r="G94" s="172">
        <f>+G44*'Wine Products'!$F$21</f>
        <v>17901.42676757058</v>
      </c>
      <c r="H94" s="172">
        <f>+H44*'Wine Products'!$F$21</f>
        <v>18438.469570597696</v>
      </c>
      <c r="I94" s="172">
        <f>+I44*'Wine Products'!$F$21</f>
        <v>18991.623657715627</v>
      </c>
      <c r="J94" s="172">
        <f>+J44*'Wine Products'!$F$21</f>
        <v>19561.372367447097</v>
      </c>
      <c r="K94" s="172">
        <f>+K44*'Wine Products'!$F$21</f>
        <v>20148.21353847051</v>
      </c>
      <c r="L94" s="172">
        <f>+L44*'Wine Products'!$F$21</f>
        <v>20752.659944624622</v>
      </c>
      <c r="M94" s="172">
        <f>+M44*'Wine Products'!$F$21</f>
        <v>21375.239742963364</v>
      </c>
    </row>
    <row r="95" spans="2:13" ht="12.75">
      <c r="B95" s="30" t="str">
        <f t="shared" si="15"/>
        <v>Chardonnay</v>
      </c>
      <c r="C95" s="42"/>
      <c r="D95" s="172">
        <f>+D50*'Wine Products'!$C$31</f>
        <v>16672.76309726185</v>
      </c>
      <c r="E95" s="172">
        <f>+E50*'Wine Products'!$C$31</f>
        <v>17172.945990179705</v>
      </c>
      <c r="F95" s="172">
        <f>+F50*'Wine Products'!$C$31</f>
        <v>17688.134369885098</v>
      </c>
      <c r="G95" s="172">
        <f>+G50*'Wine Products'!$C$31</f>
        <v>18218.77840098165</v>
      </c>
      <c r="H95" s="172">
        <f>+H50*'Wine Products'!$C$31</f>
        <v>18765.341753011096</v>
      </c>
      <c r="I95" s="172">
        <f>+I50*'Wine Products'!$C$31</f>
        <v>19328.302005601432</v>
      </c>
      <c r="J95" s="172">
        <f>+J50*'Wine Products'!$C$31</f>
        <v>19908.151065769474</v>
      </c>
      <c r="K95" s="172">
        <f>+K50*'Wine Products'!$C$31</f>
        <v>20505.395597742558</v>
      </c>
      <c r="L95" s="172">
        <f>+L50*'Wine Products'!$C$31</f>
        <v>21120.557465674832</v>
      </c>
      <c r="M95" s="172">
        <f>+M50*'Wine Products'!$C$31</f>
        <v>21754.17418964508</v>
      </c>
    </row>
    <row r="96" spans="2:13" ht="12.75">
      <c r="B96" s="30" t="str">
        <f t="shared" si="15"/>
        <v>Wine 4</v>
      </c>
      <c r="C96" s="32"/>
      <c r="D96" s="173">
        <f>+D56*'Wine Products'!$F$31</f>
        <v>0</v>
      </c>
      <c r="E96" s="173">
        <f>+E56*'Wine Products'!$F$31</f>
        <v>0</v>
      </c>
      <c r="F96" s="173">
        <f>+F56*'Wine Products'!$F$31</f>
        <v>0</v>
      </c>
      <c r="G96" s="173">
        <f>+G56*'Wine Products'!$F$31</f>
        <v>0</v>
      </c>
      <c r="H96" s="173">
        <f>+H56*'Wine Products'!$F$31</f>
        <v>0</v>
      </c>
      <c r="I96" s="173">
        <f>+I56*'Wine Products'!$F$31</f>
        <v>0</v>
      </c>
      <c r="J96" s="173">
        <f>+J56*'Wine Products'!$F$31</f>
        <v>0</v>
      </c>
      <c r="K96" s="173">
        <f>+K56*'Wine Products'!$F$31</f>
        <v>0</v>
      </c>
      <c r="L96" s="173">
        <f>+L56*'Wine Products'!$F$31</f>
        <v>0</v>
      </c>
      <c r="M96" s="173">
        <f>+M56*'Wine Products'!$F$31</f>
        <v>0</v>
      </c>
    </row>
    <row r="97" spans="2:13" ht="12.75">
      <c r="B97" s="30" t="str">
        <f t="shared" si="15"/>
        <v>Wine 5</v>
      </c>
      <c r="C97" s="32"/>
      <c r="D97" s="173">
        <f>D62*'Wine Products'!$C$41</f>
        <v>0</v>
      </c>
      <c r="E97" s="173">
        <f>E62*'Wine Products'!$C$41</f>
        <v>0</v>
      </c>
      <c r="F97" s="173">
        <f>F62*'Wine Products'!$C$41</f>
        <v>0</v>
      </c>
      <c r="G97" s="173">
        <f>G62*'Wine Products'!$C$41</f>
        <v>0</v>
      </c>
      <c r="H97" s="173">
        <f>H62*'Wine Products'!$C$41</f>
        <v>0</v>
      </c>
      <c r="I97" s="173">
        <f>I62*'Wine Products'!$C$41</f>
        <v>0</v>
      </c>
      <c r="J97" s="173">
        <f>J62*'Wine Products'!$C$41</f>
        <v>0</v>
      </c>
      <c r="K97" s="173">
        <f>K62*'Wine Products'!$C$41</f>
        <v>0</v>
      </c>
      <c r="L97" s="173">
        <f>L62*'Wine Products'!$C$41</f>
        <v>0</v>
      </c>
      <c r="M97" s="173">
        <f>M62*'Wine Products'!$C$41</f>
        <v>0</v>
      </c>
    </row>
    <row r="98" spans="2:13" ht="12.75">
      <c r="B98" s="30" t="str">
        <f t="shared" si="15"/>
        <v>Wine 6</v>
      </c>
      <c r="C98" s="32"/>
      <c r="D98" s="173">
        <f>D68*'Wine Products'!$F$41</f>
        <v>0</v>
      </c>
      <c r="E98" s="173">
        <f>E68*'Wine Products'!$F$41</f>
        <v>0</v>
      </c>
      <c r="F98" s="173">
        <f>F68*'Wine Products'!$F$41</f>
        <v>0</v>
      </c>
      <c r="G98" s="173">
        <f>G68*'Wine Products'!$F$41</f>
        <v>0</v>
      </c>
      <c r="H98" s="173">
        <f>H68*'Wine Products'!$F$41</f>
        <v>0</v>
      </c>
      <c r="I98" s="173">
        <f>I68*'Wine Products'!$F$41</f>
        <v>0</v>
      </c>
      <c r="J98" s="173">
        <f>J68*'Wine Products'!$F$41</f>
        <v>0</v>
      </c>
      <c r="K98" s="173">
        <f>K68*'Wine Products'!$F$41</f>
        <v>0</v>
      </c>
      <c r="L98" s="173">
        <f>L68*'Wine Products'!$F$41</f>
        <v>0</v>
      </c>
      <c r="M98" s="173">
        <f>M68*'Wine Products'!$F$41</f>
        <v>0</v>
      </c>
    </row>
    <row r="99" spans="2:13" ht="12.75">
      <c r="B99" s="30" t="str">
        <f t="shared" si="15"/>
        <v>Blend 1</v>
      </c>
      <c r="C99" s="32"/>
      <c r="D99" s="173">
        <f>D74*'Wine Products'!$C$51</f>
        <v>0</v>
      </c>
      <c r="E99" s="173">
        <f>E74*'Wine Products'!$C$51</f>
        <v>0</v>
      </c>
      <c r="F99" s="173">
        <f>F74*'Wine Products'!$C$51</f>
        <v>0</v>
      </c>
      <c r="G99" s="173">
        <f>G74*'Wine Products'!$C$51</f>
        <v>0</v>
      </c>
      <c r="H99" s="173">
        <f>H74*'Wine Products'!$C$51</f>
        <v>0</v>
      </c>
      <c r="I99" s="173">
        <f>I74*'Wine Products'!$C$51</f>
        <v>0</v>
      </c>
      <c r="J99" s="173">
        <f>J74*'Wine Products'!$C$51</f>
        <v>0</v>
      </c>
      <c r="K99" s="173">
        <f>K74*'Wine Products'!$C$51</f>
        <v>0</v>
      </c>
      <c r="L99" s="173">
        <f>L74*'Wine Products'!$C$51</f>
        <v>0</v>
      </c>
      <c r="M99" s="173">
        <f>M74*'Wine Products'!$C$51</f>
        <v>0</v>
      </c>
    </row>
    <row r="100" spans="2:13" ht="12.75">
      <c r="B100" s="30" t="str">
        <f t="shared" si="15"/>
        <v>Blend 2</v>
      </c>
      <c r="C100" s="32"/>
      <c r="D100" s="173">
        <f>D80*'Wine Products'!$F$51</f>
        <v>0</v>
      </c>
      <c r="E100" s="173">
        <f>E80*'Wine Products'!$F$51</f>
        <v>0</v>
      </c>
      <c r="F100" s="173">
        <f>F80*'Wine Products'!$F$51</f>
        <v>0</v>
      </c>
      <c r="G100" s="173">
        <f>G80*'Wine Products'!$F$51</f>
        <v>0</v>
      </c>
      <c r="H100" s="173">
        <f>H80*'Wine Products'!$F$51</f>
        <v>0</v>
      </c>
      <c r="I100" s="173">
        <f>I80*'Wine Products'!$F$51</f>
        <v>0</v>
      </c>
      <c r="J100" s="173">
        <f>J80*'Wine Products'!$F$51</f>
        <v>0</v>
      </c>
      <c r="K100" s="173">
        <f>K80*'Wine Products'!$F$51</f>
        <v>0</v>
      </c>
      <c r="L100" s="173">
        <f>L80*'Wine Products'!$F$51</f>
        <v>0</v>
      </c>
      <c r="M100" s="173">
        <f>M80*'Wine Products'!$F$51</f>
        <v>0</v>
      </c>
    </row>
    <row r="101" spans="2:13" ht="12.75">
      <c r="B101" s="31" t="s">
        <v>50</v>
      </c>
      <c r="C101" s="30"/>
      <c r="D101" s="174">
        <f>SUM(D93:D100)</f>
        <v>49567.29511432082</v>
      </c>
      <c r="E101" s="174">
        <f aca="true" t="shared" si="16" ref="E101:M101">SUM(E93:E100)</f>
        <v>51054.31396775044</v>
      </c>
      <c r="F101" s="174">
        <f t="shared" si="16"/>
        <v>52585.94338678295</v>
      </c>
      <c r="G101" s="174">
        <f t="shared" si="16"/>
        <v>54163.52168838645</v>
      </c>
      <c r="H101" s="174">
        <f t="shared" si="16"/>
        <v>55788.427339038026</v>
      </c>
      <c r="I101" s="174">
        <f t="shared" si="16"/>
        <v>57462.080159209174</v>
      </c>
      <c r="J101" s="174">
        <f t="shared" si="16"/>
        <v>59185.942563985445</v>
      </c>
      <c r="K101" s="174">
        <f t="shared" si="16"/>
        <v>60961.52084090502</v>
      </c>
      <c r="L101" s="174">
        <f t="shared" si="16"/>
        <v>62790.36646613215</v>
      </c>
      <c r="M101" s="174">
        <f t="shared" si="16"/>
        <v>64674.077460116125</v>
      </c>
    </row>
    <row r="102" spans="2:13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4" spans="3:12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2.75">
      <c r="C106" s="7"/>
      <c r="D106" s="7"/>
      <c r="E106" s="7"/>
      <c r="F106" s="7"/>
      <c r="G106" s="7"/>
      <c r="H106" s="7"/>
      <c r="I106" s="7"/>
      <c r="J106" s="7"/>
      <c r="K106" s="7"/>
      <c r="L106" s="7"/>
    </row>
  </sheetData>
  <sheetProtection sheet="1" objects="1" scenarios="1"/>
  <hyperlinks>
    <hyperlink ref="B3" location="'Loan Amortization'!A1" display="FORWARD TO LOAN AMORTIZATION"/>
    <hyperlink ref="B4" location="'Expense Projection'!A1" display="FORWARD TO EXPENSE PROJECTION"/>
    <hyperlink ref="B5" location="'Operations Summary'!A1" display="FORWARD TO OPERATIONS SUMMARY"/>
    <hyperlink ref="B6" location="'Return On Investment'!A1" display="FORWARD TO RETURN ON INVESTMENT"/>
    <hyperlink ref="B7" location="Introduction!A1" display="BACK TO INTRODUCTION"/>
    <hyperlink ref="B8" location="'Grapes &amp; Wines'!A1" display="BACK TO GRAPES AND WINES"/>
    <hyperlink ref="B9" location="'Input Value'!A1" display="BACK TO INPUT VALUES"/>
    <hyperlink ref="B10:C10" location="'Wine Products'!A1" display="BACK TO WINE PRODUCTS"/>
    <hyperlink ref="B11:C11" location="'Equipment &amp; Depreciation'!A1" display="BACK TO EQUIPMENT AND DEPRECIATION"/>
    <hyperlink ref="B12" location="'Personnel Expenses'!A1" display="BACK TO PERSONNEL EXPENSES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40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4.7109375" style="30" customWidth="1"/>
    <col min="2" max="2" width="23.28125" style="30" bestFit="1" customWidth="1"/>
    <col min="3" max="3" width="16.7109375" style="30" customWidth="1"/>
    <col min="4" max="4" width="13.421875" style="30" bestFit="1" customWidth="1"/>
    <col min="5" max="12" width="12.28125" style="30" bestFit="1" customWidth="1"/>
    <col min="13" max="16384" width="9.140625" style="30" customWidth="1"/>
  </cols>
  <sheetData>
    <row r="1" ht="13.5" thickBot="1"/>
    <row r="2" spans="2:3" ht="13.5" thickBot="1">
      <c r="B2" s="183" t="s">
        <v>137</v>
      </c>
      <c r="C2" s="157"/>
    </row>
    <row r="3" spans="2:3" ht="13.5" thickBot="1">
      <c r="B3" s="185" t="s">
        <v>138</v>
      </c>
      <c r="C3" s="186"/>
    </row>
    <row r="4" spans="2:3" ht="13.5" thickBot="1">
      <c r="B4" s="185" t="s">
        <v>139</v>
      </c>
      <c r="C4" s="186"/>
    </row>
    <row r="5" spans="2:3" ht="13.5" thickBot="1">
      <c r="B5" s="185" t="s">
        <v>140</v>
      </c>
      <c r="C5" s="186"/>
    </row>
    <row r="6" spans="2:3" ht="13.5" thickBot="1">
      <c r="B6" s="185" t="s">
        <v>141</v>
      </c>
      <c r="C6" s="186"/>
    </row>
    <row r="7" spans="2:3" ht="13.5" thickBot="1">
      <c r="B7" s="187" t="s">
        <v>425</v>
      </c>
      <c r="C7" s="188"/>
    </row>
    <row r="8" spans="2:3" ht="13.5" thickBot="1">
      <c r="B8" s="185" t="s">
        <v>426</v>
      </c>
      <c r="C8" s="186"/>
    </row>
    <row r="9" spans="2:3" ht="13.5" thickBot="1">
      <c r="B9" s="185" t="s">
        <v>431</v>
      </c>
      <c r="C9" s="191"/>
    </row>
    <row r="10" spans="2:3" ht="13.5" thickBot="1">
      <c r="B10" s="185" t="s">
        <v>432</v>
      </c>
      <c r="C10" s="191"/>
    </row>
    <row r="11" spans="2:3" ht="13.5" thickBot="1">
      <c r="B11" s="185" t="s">
        <v>433</v>
      </c>
      <c r="C11" s="186"/>
    </row>
    <row r="12" spans="2:3" ht="13.5" thickBot="1">
      <c r="B12" s="193" t="s">
        <v>436</v>
      </c>
      <c r="C12" s="194"/>
    </row>
    <row r="15" spans="2:7" ht="15.75">
      <c r="B15" s="34" t="s">
        <v>119</v>
      </c>
      <c r="C15" s="189"/>
      <c r="D15" s="189"/>
      <c r="E15" s="189"/>
      <c r="F15" s="189"/>
      <c r="G15" s="189"/>
    </row>
    <row r="17" spans="2:3" ht="12.75">
      <c r="B17" s="31" t="s">
        <v>12</v>
      </c>
      <c r="C17" s="18">
        <f>'Equipment &amp; Depreciation'!D93</f>
        <v>230046</v>
      </c>
    </row>
    <row r="18" spans="2:3" ht="12.75">
      <c r="B18" s="31" t="s">
        <v>15</v>
      </c>
      <c r="C18" s="25">
        <f>'Input Value'!C21</f>
        <v>0.08</v>
      </c>
    </row>
    <row r="19" spans="2:3" ht="12.75">
      <c r="B19" s="31" t="s">
        <v>16</v>
      </c>
      <c r="C19" s="25">
        <f>'Input Value'!C20</f>
        <v>0.5</v>
      </c>
    </row>
    <row r="20" spans="2:3" ht="12.75">
      <c r="B20" s="31" t="s">
        <v>13</v>
      </c>
      <c r="C20" s="18">
        <f>+C17*C19</f>
        <v>115023</v>
      </c>
    </row>
    <row r="21" spans="2:3" ht="12.75">
      <c r="B21" s="31" t="s">
        <v>14</v>
      </c>
      <c r="C21" s="47">
        <f>'Input Value'!C22</f>
        <v>10</v>
      </c>
    </row>
    <row r="23" ht="12.75">
      <c r="C23" s="48"/>
    </row>
    <row r="25" spans="3:12" ht="12.75">
      <c r="C25" s="198" t="s">
        <v>0</v>
      </c>
      <c r="D25" s="198" t="s">
        <v>1</v>
      </c>
      <c r="E25" s="198" t="s">
        <v>2</v>
      </c>
      <c r="F25" s="198" t="s">
        <v>3</v>
      </c>
      <c r="G25" s="198" t="s">
        <v>4</v>
      </c>
      <c r="H25" s="198" t="s">
        <v>5</v>
      </c>
      <c r="I25" s="198" t="s">
        <v>6</v>
      </c>
      <c r="J25" s="198" t="s">
        <v>7</v>
      </c>
      <c r="K25" s="198" t="s">
        <v>8</v>
      </c>
      <c r="L25" s="198" t="s">
        <v>9</v>
      </c>
    </row>
    <row r="26" spans="2:12" ht="12.75">
      <c r="B26" s="31" t="s">
        <v>18</v>
      </c>
      <c r="C26" s="49">
        <f>$C$20</f>
        <v>115023</v>
      </c>
      <c r="D26" s="49">
        <f aca="true" t="shared" si="0" ref="D26:L26">C33</f>
        <v>107083.0211215963</v>
      </c>
      <c r="E26" s="49">
        <f t="shared" si="0"/>
        <v>98507.84393292031</v>
      </c>
      <c r="F26" s="49">
        <f t="shared" si="0"/>
        <v>89246.65256915023</v>
      </c>
      <c r="G26" s="49">
        <f t="shared" si="0"/>
        <v>79244.56589627855</v>
      </c>
      <c r="H26" s="49">
        <f t="shared" si="0"/>
        <v>68442.31228957714</v>
      </c>
      <c r="I26" s="49">
        <f t="shared" si="0"/>
        <v>56775.87839433961</v>
      </c>
      <c r="J26" s="49">
        <f t="shared" si="0"/>
        <v>44176.129787483085</v>
      </c>
      <c r="K26" s="49">
        <f t="shared" si="0"/>
        <v>30568.401292078037</v>
      </c>
      <c r="L26" s="49">
        <f t="shared" si="0"/>
        <v>15872.054517040582</v>
      </c>
    </row>
    <row r="27" spans="2:12" ht="12.75">
      <c r="B27" s="31" t="s">
        <v>19</v>
      </c>
      <c r="C27" s="50">
        <f aca="true" t="shared" si="1" ref="C27:L27">$C$18</f>
        <v>0.08</v>
      </c>
      <c r="D27" s="50">
        <f t="shared" si="1"/>
        <v>0.08</v>
      </c>
      <c r="E27" s="50">
        <f t="shared" si="1"/>
        <v>0.08</v>
      </c>
      <c r="F27" s="50">
        <f t="shared" si="1"/>
        <v>0.08</v>
      </c>
      <c r="G27" s="50">
        <f t="shared" si="1"/>
        <v>0.08</v>
      </c>
      <c r="H27" s="50">
        <f t="shared" si="1"/>
        <v>0.08</v>
      </c>
      <c r="I27" s="50">
        <f t="shared" si="1"/>
        <v>0.08</v>
      </c>
      <c r="J27" s="50">
        <f t="shared" si="1"/>
        <v>0.08</v>
      </c>
      <c r="K27" s="50">
        <f t="shared" si="1"/>
        <v>0.08</v>
      </c>
      <c r="L27" s="50">
        <f t="shared" si="1"/>
        <v>0.08</v>
      </c>
    </row>
    <row r="28" spans="2:12" ht="12.75">
      <c r="B28" s="31" t="s">
        <v>20</v>
      </c>
      <c r="C28" s="49">
        <f aca="true" t="shared" si="2" ref="C28:L28">C26*C27</f>
        <v>9201.84</v>
      </c>
      <c r="D28" s="49">
        <f t="shared" si="2"/>
        <v>8566.641689727705</v>
      </c>
      <c r="E28" s="49">
        <f t="shared" si="2"/>
        <v>7880.627514633625</v>
      </c>
      <c r="F28" s="49">
        <f t="shared" si="2"/>
        <v>7139.732205532018</v>
      </c>
      <c r="G28" s="49">
        <f t="shared" si="2"/>
        <v>6339.565271702284</v>
      </c>
      <c r="H28" s="49">
        <f t="shared" si="2"/>
        <v>5475.384983166171</v>
      </c>
      <c r="I28" s="49">
        <f t="shared" si="2"/>
        <v>4542.070271547169</v>
      </c>
      <c r="J28" s="49">
        <f t="shared" si="2"/>
        <v>3534.090382998647</v>
      </c>
      <c r="K28" s="49">
        <f t="shared" si="2"/>
        <v>2445.472103366243</v>
      </c>
      <c r="L28" s="49">
        <f t="shared" si="2"/>
        <v>1269.7643613632465</v>
      </c>
    </row>
    <row r="29" ht="12.75">
      <c r="B29" s="31"/>
    </row>
    <row r="30" spans="2:12" ht="12.75">
      <c r="B30" s="31" t="s">
        <v>21</v>
      </c>
      <c r="C30" s="49">
        <f aca="true" t="shared" si="3" ref="C30:L30">PMT(C27,$C$21,-$C$20)</f>
        <v>17141.818878403697</v>
      </c>
      <c r="D30" s="49">
        <f t="shared" si="3"/>
        <v>17141.818878403697</v>
      </c>
      <c r="E30" s="49">
        <f t="shared" si="3"/>
        <v>17141.818878403697</v>
      </c>
      <c r="F30" s="49">
        <f t="shared" si="3"/>
        <v>17141.818878403697</v>
      </c>
      <c r="G30" s="49">
        <f t="shared" si="3"/>
        <v>17141.818878403697</v>
      </c>
      <c r="H30" s="49">
        <f t="shared" si="3"/>
        <v>17141.818878403697</v>
      </c>
      <c r="I30" s="49">
        <f t="shared" si="3"/>
        <v>17141.818878403697</v>
      </c>
      <c r="J30" s="49">
        <f t="shared" si="3"/>
        <v>17141.818878403697</v>
      </c>
      <c r="K30" s="49">
        <f t="shared" si="3"/>
        <v>17141.818878403697</v>
      </c>
      <c r="L30" s="49">
        <f t="shared" si="3"/>
        <v>17141.818878403697</v>
      </c>
    </row>
    <row r="31" spans="2:12" ht="12.75">
      <c r="B31" s="31" t="s">
        <v>22</v>
      </c>
      <c r="C31" s="49">
        <f aca="true" t="shared" si="4" ref="C31:L31">C30-C28</f>
        <v>7939.978878403697</v>
      </c>
      <c r="D31" s="49">
        <f t="shared" si="4"/>
        <v>8575.177188675993</v>
      </c>
      <c r="E31" s="49">
        <f t="shared" si="4"/>
        <v>9261.191363770073</v>
      </c>
      <c r="F31" s="49">
        <f t="shared" si="4"/>
        <v>10002.08667287168</v>
      </c>
      <c r="G31" s="49">
        <f t="shared" si="4"/>
        <v>10802.253606701413</v>
      </c>
      <c r="H31" s="49">
        <f t="shared" si="4"/>
        <v>11666.433895237526</v>
      </c>
      <c r="I31" s="49">
        <f t="shared" si="4"/>
        <v>12599.748606856529</v>
      </c>
      <c r="J31" s="49">
        <f t="shared" si="4"/>
        <v>13607.72849540505</v>
      </c>
      <c r="K31" s="49">
        <f t="shared" si="4"/>
        <v>14696.346775037455</v>
      </c>
      <c r="L31" s="49">
        <f t="shared" si="4"/>
        <v>15872.054517040451</v>
      </c>
    </row>
    <row r="32" ht="12.75">
      <c r="B32" s="31"/>
    </row>
    <row r="33" spans="2:12" ht="12.75">
      <c r="B33" s="31" t="s">
        <v>23</v>
      </c>
      <c r="C33" s="49">
        <f aca="true" t="shared" si="5" ref="C33:L33">C26-C31</f>
        <v>107083.0211215963</v>
      </c>
      <c r="D33" s="49">
        <f t="shared" si="5"/>
        <v>98507.84393292031</v>
      </c>
      <c r="E33" s="49">
        <f t="shared" si="5"/>
        <v>89246.65256915023</v>
      </c>
      <c r="F33" s="49">
        <f t="shared" si="5"/>
        <v>79244.56589627855</v>
      </c>
      <c r="G33" s="49">
        <f t="shared" si="5"/>
        <v>68442.31228957714</v>
      </c>
      <c r="H33" s="49">
        <f t="shared" si="5"/>
        <v>56775.87839433961</v>
      </c>
      <c r="I33" s="49">
        <f t="shared" si="5"/>
        <v>44176.129787483085</v>
      </c>
      <c r="J33" s="49">
        <f t="shared" si="5"/>
        <v>30568.401292078037</v>
      </c>
      <c r="K33" s="49">
        <f t="shared" si="5"/>
        <v>15872.054517040582</v>
      </c>
      <c r="L33" s="49">
        <f t="shared" si="5"/>
        <v>1.3096723705530167E-10</v>
      </c>
    </row>
    <row r="36" spans="2:3" ht="12.75">
      <c r="B36" s="31" t="s">
        <v>17</v>
      </c>
      <c r="C36" s="18">
        <f>'Input Value'!C25</f>
        <v>76746.04511432082</v>
      </c>
    </row>
    <row r="37" spans="2:3" ht="12.75">
      <c r="B37" s="31" t="s">
        <v>24</v>
      </c>
      <c r="C37" s="25">
        <f>'Input Value'!C26</f>
        <v>0.06</v>
      </c>
    </row>
    <row r="38" spans="2:3" ht="12.75">
      <c r="B38" s="31" t="s">
        <v>25</v>
      </c>
      <c r="C38" s="45">
        <f>C36*C37</f>
        <v>4604.762706859249</v>
      </c>
    </row>
    <row r="40" spans="2:12" ht="12.75">
      <c r="B40" s="31" t="s">
        <v>26</v>
      </c>
      <c r="C40" s="49">
        <f aca="true" t="shared" si="6" ref="C40:L40">C28+$C$38</f>
        <v>13806.602706859248</v>
      </c>
      <c r="D40" s="49">
        <f t="shared" si="6"/>
        <v>13171.404396586953</v>
      </c>
      <c r="E40" s="49">
        <f t="shared" si="6"/>
        <v>12485.390221492875</v>
      </c>
      <c r="F40" s="49">
        <f t="shared" si="6"/>
        <v>11744.494912391267</v>
      </c>
      <c r="G40" s="49">
        <f t="shared" si="6"/>
        <v>10944.327978561534</v>
      </c>
      <c r="H40" s="49">
        <f t="shared" si="6"/>
        <v>10080.14769002542</v>
      </c>
      <c r="I40" s="49">
        <f t="shared" si="6"/>
        <v>9146.832978406419</v>
      </c>
      <c r="J40" s="49">
        <f t="shared" si="6"/>
        <v>8138.853089857896</v>
      </c>
      <c r="K40" s="49">
        <f t="shared" si="6"/>
        <v>7050.234810225493</v>
      </c>
      <c r="L40" s="49">
        <f t="shared" si="6"/>
        <v>5874.5270682224955</v>
      </c>
    </row>
  </sheetData>
  <sheetProtection sheet="1" objects="1" scenarios="1"/>
  <hyperlinks>
    <hyperlink ref="B3" location="'Expense Projection'!A1" display="FORWARD TO EXPENSE PROJECTION"/>
    <hyperlink ref="B4" location="'Operations Summary'!A1" display="FORWARD TO OPERATIONS SUMMARY"/>
    <hyperlink ref="B5" location="'Return On Investment'!A1" display="FORWARD TO RETURN ON INVESTMENT"/>
    <hyperlink ref="B6" location="Introduction!A1" display="BACK TO INTRODUCTION"/>
    <hyperlink ref="B7" location="'Grapes &amp; Wines'!A1" display="BACK TO GRAPES AND WINES"/>
    <hyperlink ref="B8" location="'Input Value'!A1" display="BACK TO INPUT VALUES"/>
    <hyperlink ref="B9:C9" location="'Wine Products'!A1" display="BACK TO WINE PRODUCTS"/>
    <hyperlink ref="B10:C10" location="'Equipment &amp; Depreciation'!A1" display="BACK TO EQUIPMENT AND DEPRECIATION"/>
    <hyperlink ref="B11" location="'Personnel Expenses'!A1" display="BACK TO PERSONNEL EXPENSES"/>
    <hyperlink ref="B12" location="'Market Projection'!A1" display="BACK TO MARKET PROJECTION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71"/>
  <sheetViews>
    <sheetView workbookViewId="0" topLeftCell="A28">
      <selection activeCell="C61" sqref="C61"/>
    </sheetView>
  </sheetViews>
  <sheetFormatPr defaultColWidth="9.140625" defaultRowHeight="12.75"/>
  <cols>
    <col min="1" max="1" width="5.140625" style="0" customWidth="1"/>
    <col min="2" max="2" width="24.28125" style="1" customWidth="1"/>
    <col min="3" max="3" width="15.28125" style="0" customWidth="1"/>
    <col min="4" max="4" width="14.00390625" style="0" customWidth="1"/>
    <col min="5" max="5" width="11.57421875" style="0" customWidth="1"/>
    <col min="6" max="6" width="11.140625" style="0" customWidth="1"/>
    <col min="7" max="7" width="11.8515625" style="0" customWidth="1"/>
    <col min="8" max="8" width="12.8515625" style="0" customWidth="1"/>
    <col min="9" max="9" width="12.140625" style="0" customWidth="1"/>
    <col min="10" max="10" width="11.7109375" style="0" customWidth="1"/>
    <col min="11" max="11" width="11.00390625" style="0" customWidth="1"/>
    <col min="12" max="12" width="11.57421875" style="0" customWidth="1"/>
    <col min="13" max="13" width="12.00390625" style="10" customWidth="1"/>
  </cols>
  <sheetData>
    <row r="1" ht="13.5" thickBot="1"/>
    <row r="2" spans="2:3" ht="13.5" thickBot="1">
      <c r="B2" s="183" t="s">
        <v>137</v>
      </c>
      <c r="C2" s="157"/>
    </row>
    <row r="3" spans="2:3" ht="13.5" thickBot="1">
      <c r="B3" s="185" t="s">
        <v>139</v>
      </c>
      <c r="C3" s="186"/>
    </row>
    <row r="4" spans="2:3" ht="13.5" thickBot="1">
      <c r="B4" s="185" t="s">
        <v>140</v>
      </c>
      <c r="C4" s="186"/>
    </row>
    <row r="5" spans="2:3" ht="13.5" thickBot="1">
      <c r="B5" s="185" t="s">
        <v>141</v>
      </c>
      <c r="C5" s="186"/>
    </row>
    <row r="6" spans="2:3" ht="13.5" thickBot="1">
      <c r="B6" s="187" t="s">
        <v>425</v>
      </c>
      <c r="C6" s="188"/>
    </row>
    <row r="7" spans="2:3" ht="13.5" thickBot="1">
      <c r="B7" s="185" t="s">
        <v>426</v>
      </c>
      <c r="C7" s="186"/>
    </row>
    <row r="8" spans="2:3" ht="13.5" thickBot="1">
      <c r="B8" s="185" t="s">
        <v>431</v>
      </c>
      <c r="C8" s="191"/>
    </row>
    <row r="9" spans="2:3" ht="13.5" thickBot="1">
      <c r="B9" s="185" t="s">
        <v>432</v>
      </c>
      <c r="C9" s="191"/>
    </row>
    <row r="10" spans="2:3" ht="13.5" thickBot="1">
      <c r="B10" s="185" t="s">
        <v>433</v>
      </c>
      <c r="C10" s="186"/>
    </row>
    <row r="11" spans="2:3" ht="13.5" thickBot="1">
      <c r="B11" s="193" t="s">
        <v>436</v>
      </c>
      <c r="C11" s="194"/>
    </row>
    <row r="12" spans="2:3" ht="13.5" thickBot="1">
      <c r="B12" s="185" t="s">
        <v>439</v>
      </c>
      <c r="C12" s="186"/>
    </row>
    <row r="14" spans="2:13" ht="12.75"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50"/>
    </row>
    <row r="15" spans="2:13" ht="15.75">
      <c r="B15" s="34" t="s">
        <v>438</v>
      </c>
      <c r="C15" s="189"/>
      <c r="D15" s="189"/>
      <c r="E15" s="189"/>
      <c r="F15" s="189"/>
      <c r="G15" s="189"/>
      <c r="H15" s="189"/>
      <c r="I15" s="30"/>
      <c r="J15" s="30"/>
      <c r="K15" s="30"/>
      <c r="L15" s="30"/>
      <c r="M15" s="50"/>
    </row>
    <row r="16" spans="2:13" ht="15.75">
      <c r="B16" s="34" t="s">
        <v>437</v>
      </c>
      <c r="C16" s="189"/>
      <c r="D16" s="189"/>
      <c r="E16" s="189"/>
      <c r="F16" s="189"/>
      <c r="G16" s="189"/>
      <c r="H16" s="189"/>
      <c r="I16" s="30"/>
      <c r="J16" s="30"/>
      <c r="K16" s="30"/>
      <c r="L16" s="30"/>
      <c r="M16" s="50"/>
    </row>
    <row r="17" spans="2:13" ht="12.75"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50"/>
    </row>
    <row r="18" spans="2:13" ht="12.75">
      <c r="B18" s="38" t="s">
        <v>349</v>
      </c>
      <c r="C18" s="38" t="s">
        <v>11</v>
      </c>
      <c r="D18" s="38" t="s">
        <v>0</v>
      </c>
      <c r="E18" s="38" t="s">
        <v>1</v>
      </c>
      <c r="F18" s="38" t="s">
        <v>2</v>
      </c>
      <c r="G18" s="38" t="s">
        <v>3</v>
      </c>
      <c r="H18" s="38" t="s">
        <v>4</v>
      </c>
      <c r="I18" s="38" t="s">
        <v>5</v>
      </c>
      <c r="J18" s="38" t="s">
        <v>6</v>
      </c>
      <c r="K18" s="38" t="s">
        <v>7</v>
      </c>
      <c r="L18" s="38" t="s">
        <v>8</v>
      </c>
      <c r="M18" s="38" t="s">
        <v>9</v>
      </c>
    </row>
    <row r="19" spans="2:14" ht="12.75">
      <c r="B19" s="31" t="s">
        <v>31</v>
      </c>
      <c r="C19" s="46"/>
      <c r="D19" s="46">
        <f>'Personnel Expenses'!D34</f>
        <v>30000</v>
      </c>
      <c r="E19" s="46">
        <f>D19*(1+'Personnel Expenses'!$D$22)</f>
        <v>30300</v>
      </c>
      <c r="F19" s="46">
        <f>E19*(1+'Personnel Expenses'!$D$22)</f>
        <v>30603</v>
      </c>
      <c r="G19" s="46">
        <f>F19*(1+'Personnel Expenses'!$D$22)</f>
        <v>30909.03</v>
      </c>
      <c r="H19" s="46">
        <f>G19*(1+'Personnel Expenses'!$D$22)</f>
        <v>31218.1203</v>
      </c>
      <c r="I19" s="46">
        <f>H19*(1+'Personnel Expenses'!$D$22)</f>
        <v>31530.301503</v>
      </c>
      <c r="J19" s="46">
        <f>I19*(1+'Personnel Expenses'!$D$22)</f>
        <v>31845.60451803</v>
      </c>
      <c r="K19" s="46">
        <f>J19*(1+'Personnel Expenses'!$D$22)</f>
        <v>32164.0605632103</v>
      </c>
      <c r="L19" s="46">
        <f>K19*(1+'Personnel Expenses'!$D$22)</f>
        <v>32485.701168842403</v>
      </c>
      <c r="M19" s="46">
        <f>L19*(1+'Personnel Expenses'!$D$22)</f>
        <v>32810.558180530825</v>
      </c>
      <c r="N19" s="17"/>
    </row>
    <row r="20" spans="2:14" ht="12.75">
      <c r="B20" s="31" t="s">
        <v>30</v>
      </c>
      <c r="C20" s="46"/>
      <c r="D20" s="46">
        <f>'Personnel Expenses'!F34</f>
        <v>9000.000000000002</v>
      </c>
      <c r="E20" s="46">
        <f>D20*(1+'Personnel Expenses'!$D$22)</f>
        <v>9090.000000000002</v>
      </c>
      <c r="F20" s="46">
        <f>E20*(1+'Personnel Expenses'!$D$22)</f>
        <v>9180.900000000001</v>
      </c>
      <c r="G20" s="46">
        <f>F20*(1+'Personnel Expenses'!$D$22)</f>
        <v>9272.709</v>
      </c>
      <c r="H20" s="46">
        <f>G20*(1+'Personnel Expenses'!$D$22)</f>
        <v>9365.436090000001</v>
      </c>
      <c r="I20" s="46">
        <f>H20*(1+'Personnel Expenses'!$D$22)</f>
        <v>9459.090450900001</v>
      </c>
      <c r="J20" s="46">
        <f>I20*(1+'Personnel Expenses'!$D$22)</f>
        <v>9553.681355409</v>
      </c>
      <c r="K20" s="46">
        <f>J20*(1+'Personnel Expenses'!$D$22)</f>
        <v>9649.21816896309</v>
      </c>
      <c r="L20" s="46">
        <f>K20*(1+'Personnel Expenses'!$D$22)</f>
        <v>9745.710350652722</v>
      </c>
      <c r="M20" s="46">
        <f>L20*(1+'Personnel Expenses'!$D$22)</f>
        <v>9843.16745415925</v>
      </c>
      <c r="N20" s="17"/>
    </row>
    <row r="21" spans="2:14" ht="12.75">
      <c r="B21" s="31" t="s">
        <v>29</v>
      </c>
      <c r="C21" s="46"/>
      <c r="D21" s="46">
        <f>'Personnel Expenses'!J34</f>
        <v>0</v>
      </c>
      <c r="E21" s="46">
        <f>D21*(1+'Personnel Expenses'!$D$22)</f>
        <v>0</v>
      </c>
      <c r="F21" s="46">
        <f>E21*(1+'Personnel Expenses'!$D$22)</f>
        <v>0</v>
      </c>
      <c r="G21" s="46">
        <f>F21*(1+'Personnel Expenses'!$D$22)</f>
        <v>0</v>
      </c>
      <c r="H21" s="46">
        <f>G21*(1+'Personnel Expenses'!$D$22)</f>
        <v>0</v>
      </c>
      <c r="I21" s="46">
        <f>H21*(1+'Personnel Expenses'!$D$22)</f>
        <v>0</v>
      </c>
      <c r="J21" s="46">
        <f>I21*(1+'Personnel Expenses'!$D$22)</f>
        <v>0</v>
      </c>
      <c r="K21" s="46">
        <f>J21*(1+'Personnel Expenses'!$D$22)</f>
        <v>0</v>
      </c>
      <c r="L21" s="46">
        <f>K21*(1+'Personnel Expenses'!$D$22)</f>
        <v>0</v>
      </c>
      <c r="M21" s="46">
        <f>L21*(1+'Personnel Expenses'!$D$22)</f>
        <v>0</v>
      </c>
      <c r="N21" s="17"/>
    </row>
    <row r="22" spans="2:14" ht="12.75">
      <c r="B22" s="31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7"/>
    </row>
    <row r="23" spans="2:14" ht="12.75">
      <c r="B23" s="38" t="s">
        <v>277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17"/>
    </row>
    <row r="24" spans="2:14" ht="12.75">
      <c r="B24" s="31" t="s">
        <v>31</v>
      </c>
      <c r="C24" s="46"/>
      <c r="D24" s="46">
        <f>'Personnel Expenses'!L46</f>
        <v>14000</v>
      </c>
      <c r="E24" s="46">
        <f>D24*(1+'Personnel Expenses'!$D$22)</f>
        <v>14140</v>
      </c>
      <c r="F24" s="46">
        <f>E24*(1+'Personnel Expenses'!$D$22)</f>
        <v>14281.4</v>
      </c>
      <c r="G24" s="46">
        <f>F24*(1+'Personnel Expenses'!$D$22)</f>
        <v>14424.214</v>
      </c>
      <c r="H24" s="46">
        <f>G24*(1+'Personnel Expenses'!$D$22)</f>
        <v>14568.45614</v>
      </c>
      <c r="I24" s="46">
        <f>H24*(1+'Personnel Expenses'!$D$22)</f>
        <v>14714.1407014</v>
      </c>
      <c r="J24" s="46">
        <f>I24*(1+'Personnel Expenses'!$D$22)</f>
        <v>14861.282108414</v>
      </c>
      <c r="K24" s="46">
        <f>J24*(1+'Personnel Expenses'!$D$22)</f>
        <v>15009.89492949814</v>
      </c>
      <c r="L24" s="46">
        <f>K24*(1+'Personnel Expenses'!$D$22)</f>
        <v>15159.99387879312</v>
      </c>
      <c r="M24" s="46">
        <f>L24*(1+'Personnel Expenses'!$D$22)</f>
        <v>15311.593817581052</v>
      </c>
      <c r="N24" s="17"/>
    </row>
    <row r="25" spans="2:14" ht="12.75">
      <c r="B25" s="31" t="s">
        <v>30</v>
      </c>
      <c r="C25" s="46"/>
      <c r="D25" s="46">
        <f>'Personnel Expenses'!N46</f>
        <v>2100.0000000000005</v>
      </c>
      <c r="E25" s="46">
        <f>D25*(1+'Personnel Expenses'!$D$22)</f>
        <v>2121.0000000000005</v>
      </c>
      <c r="F25" s="46">
        <f>E25*(1+'Personnel Expenses'!$D$22)</f>
        <v>2142.2100000000005</v>
      </c>
      <c r="G25" s="46">
        <f>F25*(1+'Personnel Expenses'!$D$22)</f>
        <v>2163.6321000000007</v>
      </c>
      <c r="H25" s="46">
        <f>G25*(1+'Personnel Expenses'!$D$22)</f>
        <v>2185.2684210000007</v>
      </c>
      <c r="I25" s="46">
        <f>H25*(1+'Personnel Expenses'!$D$22)</f>
        <v>2207.1211052100007</v>
      </c>
      <c r="J25" s="46">
        <f>I25*(1+'Personnel Expenses'!$D$22)</f>
        <v>2229.1923162621006</v>
      </c>
      <c r="K25" s="46">
        <f>J25*(1+'Personnel Expenses'!$D$22)</f>
        <v>2251.4842394247216</v>
      </c>
      <c r="L25" s="46">
        <f>K25*(1+'Personnel Expenses'!$D$22)</f>
        <v>2273.999081818969</v>
      </c>
      <c r="M25" s="46">
        <f>L25*(1+'Personnel Expenses'!$D$22)</f>
        <v>2296.7390726371586</v>
      </c>
      <c r="N25" s="17"/>
    </row>
    <row r="26" spans="2:14" ht="12.75">
      <c r="B26" s="31" t="s">
        <v>29</v>
      </c>
      <c r="C26" s="46"/>
      <c r="D26" s="46">
        <f>'Personnel Expenses'!R46</f>
        <v>0</v>
      </c>
      <c r="E26" s="46">
        <f>D26*(1+'Personnel Expenses'!$D$22)</f>
        <v>0</v>
      </c>
      <c r="F26" s="46">
        <f>E26*(1+'Personnel Expenses'!$D$22)</f>
        <v>0</v>
      </c>
      <c r="G26" s="46">
        <f>F26*(1+'Personnel Expenses'!$D$22)</f>
        <v>0</v>
      </c>
      <c r="H26" s="46">
        <f>G26*(1+'Personnel Expenses'!$D$22)</f>
        <v>0</v>
      </c>
      <c r="I26" s="46">
        <f>H26*(1+'Personnel Expenses'!$D$22)</f>
        <v>0</v>
      </c>
      <c r="J26" s="46">
        <f>I26*(1+'Personnel Expenses'!$D$22)</f>
        <v>0</v>
      </c>
      <c r="K26" s="46">
        <f>J26*(1+'Personnel Expenses'!$D$22)</f>
        <v>0</v>
      </c>
      <c r="L26" s="46">
        <f>K26*(1+'Personnel Expenses'!$D$22)</f>
        <v>0</v>
      </c>
      <c r="M26" s="46">
        <f>L26*(1+'Personnel Expenses'!$D$22)</f>
        <v>0</v>
      </c>
      <c r="N26" s="17"/>
    </row>
    <row r="27" spans="2:14" ht="12.75">
      <c r="B27" s="31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7"/>
    </row>
    <row r="28" spans="2:14" ht="12.75">
      <c r="B28" s="38" t="s">
        <v>350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17"/>
    </row>
    <row r="29" spans="2:14" ht="12.75">
      <c r="B29" s="31" t="s">
        <v>31</v>
      </c>
      <c r="C29" s="46"/>
      <c r="D29" s="46">
        <f>'Personnel Expenses'!L58</f>
        <v>4480</v>
      </c>
      <c r="E29" s="46">
        <f>D29*(1+'Personnel Expenses'!$D$22)</f>
        <v>4524.8</v>
      </c>
      <c r="F29" s="46">
        <f>E29*(1+'Personnel Expenses'!$D$22)</f>
        <v>4570.048</v>
      </c>
      <c r="G29" s="46">
        <f>F29*(1+'Personnel Expenses'!$D$22)</f>
        <v>4615.74848</v>
      </c>
      <c r="H29" s="46">
        <f>G29*(1+'Personnel Expenses'!$D$22)</f>
        <v>4661.9059648</v>
      </c>
      <c r="I29" s="46">
        <f>H29*(1+'Personnel Expenses'!$D$22)</f>
        <v>4708.525024448</v>
      </c>
      <c r="J29" s="46">
        <f>I29*(1+'Personnel Expenses'!$D$22)</f>
        <v>4755.610274692481</v>
      </c>
      <c r="K29" s="46">
        <f>J29*(1+'Personnel Expenses'!$D$22)</f>
        <v>4803.166377439406</v>
      </c>
      <c r="L29" s="46">
        <f>K29*(1+'Personnel Expenses'!$D$22)</f>
        <v>4851.1980412138</v>
      </c>
      <c r="M29" s="46">
        <f>L29*(1+'Personnel Expenses'!$D$22)</f>
        <v>4899.710021625938</v>
      </c>
      <c r="N29" s="17"/>
    </row>
    <row r="30" spans="2:14" ht="12.75">
      <c r="B30" s="31" t="s">
        <v>30</v>
      </c>
      <c r="C30" s="46"/>
      <c r="D30" s="46">
        <f>'Personnel Expenses'!N58</f>
        <v>672.0000000000001</v>
      </c>
      <c r="E30" s="46">
        <f>D30*(1+'Personnel Expenses'!$D$22)</f>
        <v>678.7200000000001</v>
      </c>
      <c r="F30" s="46">
        <f>E30*(1+'Personnel Expenses'!$D$22)</f>
        <v>685.5072000000001</v>
      </c>
      <c r="G30" s="46">
        <f>F30*(1+'Personnel Expenses'!$D$22)</f>
        <v>692.3622720000002</v>
      </c>
      <c r="H30" s="46">
        <f>G30*(1+'Personnel Expenses'!$D$22)</f>
        <v>699.2858947200002</v>
      </c>
      <c r="I30" s="46">
        <f>H30*(1+'Personnel Expenses'!$D$22)</f>
        <v>706.2787536672002</v>
      </c>
      <c r="J30" s="46">
        <f>I30*(1+'Personnel Expenses'!$D$22)</f>
        <v>713.3415412038722</v>
      </c>
      <c r="K30" s="46">
        <f>J30*(1+'Personnel Expenses'!$D$22)</f>
        <v>720.474956615911</v>
      </c>
      <c r="L30" s="46">
        <f>K30*(1+'Personnel Expenses'!$D$22)</f>
        <v>727.67970618207</v>
      </c>
      <c r="M30" s="46">
        <f>L30*(1+'Personnel Expenses'!$D$22)</f>
        <v>734.9565032438908</v>
      </c>
      <c r="N30" s="17"/>
    </row>
    <row r="31" spans="2:14" ht="12.75">
      <c r="B31" s="31" t="s">
        <v>29</v>
      </c>
      <c r="C31" s="46"/>
      <c r="D31" s="46">
        <f>'Personnel Expenses'!R58</f>
        <v>0</v>
      </c>
      <c r="E31" s="46">
        <f>D31*(1+'Personnel Expenses'!$D$22)</f>
        <v>0</v>
      </c>
      <c r="F31" s="46">
        <f>E31*(1+'Personnel Expenses'!$D$22)</f>
        <v>0</v>
      </c>
      <c r="G31" s="46">
        <f>F31*(1+'Personnel Expenses'!$D$22)</f>
        <v>0</v>
      </c>
      <c r="H31" s="46">
        <f>G31*(1+'Personnel Expenses'!$D$22)</f>
        <v>0</v>
      </c>
      <c r="I31" s="46">
        <f>H31*(1+'Personnel Expenses'!$D$22)</f>
        <v>0</v>
      </c>
      <c r="J31" s="46">
        <f>I31*(1+'Personnel Expenses'!$D$22)</f>
        <v>0</v>
      </c>
      <c r="K31" s="46">
        <f>J31*(1+'Personnel Expenses'!$D$22)</f>
        <v>0</v>
      </c>
      <c r="L31" s="46">
        <f>K31*(1+'Personnel Expenses'!$D$22)</f>
        <v>0</v>
      </c>
      <c r="M31" s="46">
        <f>L31*(1+'Personnel Expenses'!$D$22)</f>
        <v>0</v>
      </c>
      <c r="N31" s="17"/>
    </row>
    <row r="32" spans="2:14" ht="12.75">
      <c r="B32" s="3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7"/>
    </row>
    <row r="33" spans="2:14" ht="12.75">
      <c r="B33" s="31" t="s">
        <v>34</v>
      </c>
      <c r="C33" s="54">
        <f>SUM(C19,C20,C21)</f>
        <v>0</v>
      </c>
      <c r="D33" s="54">
        <f>SUM(D19,D20,D21,D24,D25,D26,D29,D30,D31)</f>
        <v>60252</v>
      </c>
      <c r="E33" s="54">
        <f aca="true" t="shared" si="0" ref="E33:M33">SUM(E19,E20,E21,E24,E25,E26,E29,E30,E31)</f>
        <v>60854.520000000004</v>
      </c>
      <c r="F33" s="54">
        <f t="shared" si="0"/>
        <v>61463.065200000005</v>
      </c>
      <c r="G33" s="54">
        <f t="shared" si="0"/>
        <v>62077.695852000004</v>
      </c>
      <c r="H33" s="54">
        <f t="shared" si="0"/>
        <v>62698.472810520005</v>
      </c>
      <c r="I33" s="54">
        <f t="shared" si="0"/>
        <v>63325.457538625196</v>
      </c>
      <c r="J33" s="54">
        <f t="shared" si="0"/>
        <v>63958.71211401146</v>
      </c>
      <c r="K33" s="54">
        <f t="shared" si="0"/>
        <v>64598.29923515157</v>
      </c>
      <c r="L33" s="54">
        <f t="shared" si="0"/>
        <v>65244.282227503085</v>
      </c>
      <c r="M33" s="54">
        <f t="shared" si="0"/>
        <v>65896.7250497781</v>
      </c>
      <c r="N33" s="17"/>
    </row>
    <row r="34" spans="2:14" ht="12.75">
      <c r="B34" s="3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7"/>
    </row>
    <row r="35" spans="2:14" ht="12.75">
      <c r="B35" s="31" t="s">
        <v>100</v>
      </c>
      <c r="C35" s="46"/>
      <c r="D35" s="46">
        <f>+'Market Projection'!D101</f>
        <v>49567.29511432082</v>
      </c>
      <c r="E35" s="46">
        <f>+'Market Projection'!E101</f>
        <v>51054.31396775044</v>
      </c>
      <c r="F35" s="46">
        <f>+'Market Projection'!F101</f>
        <v>52585.94338678295</v>
      </c>
      <c r="G35" s="46">
        <f>+'Market Projection'!G101</f>
        <v>54163.52168838645</v>
      </c>
      <c r="H35" s="46">
        <f>+'Market Projection'!H101</f>
        <v>55788.427339038026</v>
      </c>
      <c r="I35" s="46">
        <f>+'Market Projection'!I101</f>
        <v>57462.080159209174</v>
      </c>
      <c r="J35" s="46">
        <f>+'Market Projection'!J101</f>
        <v>59185.942563985445</v>
      </c>
      <c r="K35" s="46">
        <f>+'Market Projection'!K101</f>
        <v>60961.52084090502</v>
      </c>
      <c r="L35" s="46">
        <f>+'Market Projection'!L101</f>
        <v>62790.36646613215</v>
      </c>
      <c r="M35" s="46">
        <f>+'Market Projection'!M101</f>
        <v>64674.077460116125</v>
      </c>
      <c r="N35" s="17"/>
    </row>
    <row r="36" spans="2:14" ht="12.75">
      <c r="B36" s="3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17"/>
    </row>
    <row r="37" spans="2:14" ht="12.75">
      <c r="B37" s="31" t="s">
        <v>354</v>
      </c>
      <c r="C37" s="46"/>
      <c r="D37" s="46">
        <f>+'Input Value'!F23*12</f>
        <v>15900</v>
      </c>
      <c r="E37" s="46">
        <f>D37*(1+'Input Value'!$F$46)</f>
        <v>16059</v>
      </c>
      <c r="F37" s="46">
        <f>E37*(1+'Input Value'!$F$46)</f>
        <v>16219.59</v>
      </c>
      <c r="G37" s="46">
        <f>F37*(1+'Input Value'!$F$46)</f>
        <v>16381.7859</v>
      </c>
      <c r="H37" s="46">
        <f>G37*(1+'Input Value'!$F$46)</f>
        <v>16545.603759</v>
      </c>
      <c r="I37" s="46">
        <f>H37*(1+'Input Value'!$F$46)</f>
        <v>16711.05979659</v>
      </c>
      <c r="J37" s="46">
        <f>I37*(1+'Input Value'!$F$46)</f>
        <v>16878.170394555902</v>
      </c>
      <c r="K37" s="46">
        <f>J37*(1+'Input Value'!$F$46)</f>
        <v>17046.95209850146</v>
      </c>
      <c r="L37" s="46">
        <f>K37*(1+'Input Value'!$F$46)</f>
        <v>17217.421619486475</v>
      </c>
      <c r="M37" s="46">
        <f>L37*(1+'Input Value'!$F$46)</f>
        <v>17389.59583568134</v>
      </c>
      <c r="N37" s="17"/>
    </row>
    <row r="38" spans="2:14" ht="12.75">
      <c r="B38" s="3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7"/>
    </row>
    <row r="39" spans="2:14" ht="12.75">
      <c r="B39" s="31" t="s">
        <v>369</v>
      </c>
      <c r="C39" s="46">
        <f>'Operations Summary'!C30/(1+'Input Value'!$C$52)</f>
        <v>0</v>
      </c>
      <c r="D39" s="46">
        <f>'Market Projection'!D88/(1+'Input Value'!$C$52)</f>
        <v>12581.25</v>
      </c>
      <c r="E39" s="46">
        <f>'Market Projection'!E88/(1+'Input Value'!$C$52)</f>
        <v>12958.6875</v>
      </c>
      <c r="F39" s="46">
        <f>'Market Projection'!F88/(1+'Input Value'!$C$52)</f>
        <v>13347.448125000003</v>
      </c>
      <c r="G39" s="46">
        <f>'Market Projection'!G88/(1+'Input Value'!$C$52)</f>
        <v>13747.87156875</v>
      </c>
      <c r="H39" s="46">
        <f>'Market Projection'!H88/(1+'Input Value'!$C$52)</f>
        <v>14160.307715812502</v>
      </c>
      <c r="I39" s="46">
        <f>'Market Projection'!I88/(1+'Input Value'!$C$52)</f>
        <v>14585.116947286873</v>
      </c>
      <c r="J39" s="46">
        <f>'Market Projection'!J88/(1+'Input Value'!$C$52)</f>
        <v>15022.670455705484</v>
      </c>
      <c r="K39" s="46">
        <f>'Market Projection'!K88/(1+'Input Value'!$C$52)</f>
        <v>15473.350569376644</v>
      </c>
      <c r="L39" s="46">
        <f>'Market Projection'!L88/(1+'Input Value'!$C$52)</f>
        <v>15937.551086457945</v>
      </c>
      <c r="M39" s="46">
        <f>'Market Projection'!M88/(1+'Input Value'!$C$52)</f>
        <v>16415.677619051687</v>
      </c>
      <c r="N39" s="17"/>
    </row>
    <row r="40" spans="2:14" ht="12.75">
      <c r="B40" s="3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17"/>
    </row>
    <row r="41" spans="2:14" ht="12.75">
      <c r="B41" s="31" t="s">
        <v>36</v>
      </c>
      <c r="C41" s="54">
        <f>+C33+C35+C37</f>
        <v>0</v>
      </c>
      <c r="D41" s="54">
        <f>+D33+D35+D37+D39</f>
        <v>138300.54511432082</v>
      </c>
      <c r="E41" s="54">
        <f aca="true" t="shared" si="1" ref="E41:M41">+E33+E35+E37+E39</f>
        <v>140926.52146775043</v>
      </c>
      <c r="F41" s="54">
        <f t="shared" si="1"/>
        <v>143616.04671178295</v>
      </c>
      <c r="G41" s="54">
        <f t="shared" si="1"/>
        <v>146370.87500913645</v>
      </c>
      <c r="H41" s="54">
        <f t="shared" si="1"/>
        <v>149192.81162437052</v>
      </c>
      <c r="I41" s="54">
        <f t="shared" si="1"/>
        <v>152083.71444171126</v>
      </c>
      <c r="J41" s="54">
        <f t="shared" si="1"/>
        <v>155045.4955282583</v>
      </c>
      <c r="K41" s="54">
        <f t="shared" si="1"/>
        <v>158080.12274393468</v>
      </c>
      <c r="L41" s="54">
        <f t="shared" si="1"/>
        <v>161189.62139957966</v>
      </c>
      <c r="M41" s="54">
        <f t="shared" si="1"/>
        <v>164376.07596462726</v>
      </c>
      <c r="N41" s="17"/>
    </row>
    <row r="42" spans="2:14" ht="12.75">
      <c r="B42" s="3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17"/>
    </row>
    <row r="43" spans="2:14" ht="12.75">
      <c r="B43" s="38" t="s">
        <v>37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7"/>
    </row>
    <row r="44" spans="2:14" ht="12.75">
      <c r="B44" s="31" t="s">
        <v>38</v>
      </c>
      <c r="C44" s="46"/>
      <c r="D44" s="46">
        <f>+'Input Value'!F47*'Equipment &amp; Depreciation'!D91</f>
        <v>6841.38</v>
      </c>
      <c r="E44" s="46">
        <f>D44*(1+'Input Value'!$F$46)</f>
        <v>6909.7938</v>
      </c>
      <c r="F44" s="46">
        <f>E44*(1+'Input Value'!$F$46)</f>
        <v>6978.891738</v>
      </c>
      <c r="G44" s="46">
        <f>F44*(1+'Input Value'!$F$46)</f>
        <v>7048.680655380001</v>
      </c>
      <c r="H44" s="46">
        <f>G44*(1+'Input Value'!$F$46)</f>
        <v>7119.167461933801</v>
      </c>
      <c r="I44" s="46">
        <f>H44*(1+'Input Value'!$F$46)</f>
        <v>7190.359136553139</v>
      </c>
      <c r="J44" s="46">
        <f>I44*(1+'Input Value'!$F$46)</f>
        <v>7262.262727918671</v>
      </c>
      <c r="K44" s="46">
        <f>J44*(1+'Input Value'!$F$46)</f>
        <v>7334.885355197857</v>
      </c>
      <c r="L44" s="46">
        <f>K44*(1+'Input Value'!$F$46)</f>
        <v>7408.2342087498355</v>
      </c>
      <c r="M44" s="46">
        <f>L44*(1+'Input Value'!$F$46)</f>
        <v>7482.316550837334</v>
      </c>
      <c r="N44" s="17"/>
    </row>
    <row r="45" spans="2:14" ht="12.75">
      <c r="B45" s="3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17"/>
    </row>
    <row r="46" spans="2:14" ht="12.75">
      <c r="B46" s="31" t="s">
        <v>40</v>
      </c>
      <c r="C46" s="46"/>
      <c r="D46" s="46">
        <f>+'Input Value'!F48*'Equipment &amp; Depreciation'!D91</f>
        <v>4560.92</v>
      </c>
      <c r="E46" s="46">
        <f>D46*(1+'Input Value'!$F$46)</f>
        <v>4606.5292</v>
      </c>
      <c r="F46" s="46">
        <f>E46*(1+'Input Value'!$F$46)</f>
        <v>4652.594492</v>
      </c>
      <c r="G46" s="46">
        <f>F46*(1+'Input Value'!$F$46)</f>
        <v>4699.12043692</v>
      </c>
      <c r="H46" s="46">
        <f>G46*(1+'Input Value'!$F$46)</f>
        <v>4746.111641289201</v>
      </c>
      <c r="I46" s="46">
        <f>H46*(1+'Input Value'!$F$46)</f>
        <v>4793.5727577020925</v>
      </c>
      <c r="J46" s="46">
        <f>I46*(1+'Input Value'!$F$46)</f>
        <v>4841.508485279113</v>
      </c>
      <c r="K46" s="46">
        <f>J46*(1+'Input Value'!$F$46)</f>
        <v>4889.923570131905</v>
      </c>
      <c r="L46" s="46">
        <f>K46*(1+'Input Value'!$F$46)</f>
        <v>4938.822805833224</v>
      </c>
      <c r="M46" s="46">
        <f>L46*(1+'Input Value'!$F$46)</f>
        <v>4988.211033891556</v>
      </c>
      <c r="N46" s="17"/>
    </row>
    <row r="47" spans="2:14" ht="12.75">
      <c r="B47" s="3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17"/>
    </row>
    <row r="48" spans="2:14" ht="12.75">
      <c r="B48" s="31" t="s">
        <v>39</v>
      </c>
      <c r="C48" s="46"/>
      <c r="D48" s="46">
        <f>'Input Value'!C30*'Equipment &amp; Depreciation'!D93</f>
        <v>13802.76</v>
      </c>
      <c r="E48" s="46">
        <f>D48*(1+'Input Value'!$F$46)</f>
        <v>13940.7876</v>
      </c>
      <c r="F48" s="46">
        <f>E48*(1+'Input Value'!$F$46)</f>
        <v>14080.195475999999</v>
      </c>
      <c r="G48" s="46">
        <f>F48*(1+'Input Value'!$F$46)</f>
        <v>14220.997430759999</v>
      </c>
      <c r="H48" s="46">
        <f>G48*(1+'Input Value'!$F$46)</f>
        <v>14363.207405067598</v>
      </c>
      <c r="I48" s="46">
        <f>H48*(1+'Input Value'!$F$46)</f>
        <v>14506.839479118275</v>
      </c>
      <c r="J48" s="46">
        <f>I48*(1+'Input Value'!$F$46)</f>
        <v>14651.907873909457</v>
      </c>
      <c r="K48" s="46">
        <f>J48*(1+'Input Value'!$F$46)</f>
        <v>14798.426952648551</v>
      </c>
      <c r="L48" s="46">
        <f>K48*(1+'Input Value'!$F$46)</f>
        <v>14946.411222175037</v>
      </c>
      <c r="M48" s="46">
        <f>L48*(1+'Input Value'!$F$46)</f>
        <v>15095.875334396787</v>
      </c>
      <c r="N48" s="17"/>
    </row>
    <row r="49" spans="2:14" ht="12.75">
      <c r="B49" s="3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7"/>
    </row>
    <row r="50" spans="2:14" ht="12.75">
      <c r="B50" s="31" t="s">
        <v>45</v>
      </c>
      <c r="C50" s="46"/>
      <c r="D50" s="46">
        <f>'Equipment &amp; Depreciation'!C107</f>
        <v>12629.16875128205</v>
      </c>
      <c r="E50" s="46">
        <f>'Equipment &amp; Depreciation'!D107</f>
        <v>20179.51475128205</v>
      </c>
      <c r="F50" s="46">
        <f>'Equipment &amp; Depreciation'!E107</f>
        <v>14997.90475128205</v>
      </c>
      <c r="G50" s="46">
        <f>'Equipment &amp; Depreciation'!F107</f>
        <v>11296.754751282051</v>
      </c>
      <c r="H50" s="46">
        <f>'Equipment &amp; Depreciation'!G107</f>
        <v>8661.535951282052</v>
      </c>
      <c r="I50" s="46">
        <f>'Equipment &amp; Depreciation'!H107</f>
        <v>8654.13365128205</v>
      </c>
      <c r="J50" s="46">
        <f>'Equipment &amp; Depreciation'!I107</f>
        <v>8661.535951282052</v>
      </c>
      <c r="K50" s="46">
        <f>'Equipment &amp; Depreciation'!J107</f>
        <v>5352.707851282052</v>
      </c>
      <c r="L50" s="46">
        <f>'Equipment &amp; Depreciation'!K107</f>
        <v>2051.2820512820513</v>
      </c>
      <c r="M50" s="46">
        <f>'Equipment &amp; Depreciation'!L107</f>
        <v>2051.2820512820513</v>
      </c>
      <c r="N50" s="17"/>
    </row>
    <row r="51" spans="2:14" ht="12.75">
      <c r="B51" s="3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7"/>
    </row>
    <row r="52" spans="2:14" ht="12.75">
      <c r="B52" s="31" t="s">
        <v>20</v>
      </c>
      <c r="C52" s="46"/>
      <c r="D52" s="46">
        <f>+'Loan Amortization'!C40</f>
        <v>13806.602706859248</v>
      </c>
      <c r="E52" s="46">
        <f>+'Loan Amortization'!D40</f>
        <v>13171.404396586953</v>
      </c>
      <c r="F52" s="46">
        <f>+'Loan Amortization'!E40</f>
        <v>12485.390221492875</v>
      </c>
      <c r="G52" s="46">
        <f>+'Loan Amortization'!F40</f>
        <v>11744.494912391267</v>
      </c>
      <c r="H52" s="46">
        <f>+'Loan Amortization'!G40</f>
        <v>10944.327978561534</v>
      </c>
      <c r="I52" s="46">
        <f>+'Loan Amortization'!H40</f>
        <v>10080.14769002542</v>
      </c>
      <c r="J52" s="46">
        <f>+'Loan Amortization'!I40</f>
        <v>9146.832978406419</v>
      </c>
      <c r="K52" s="46">
        <f>+'Loan Amortization'!J40</f>
        <v>8138.853089857896</v>
      </c>
      <c r="L52" s="46">
        <f>+'Loan Amortization'!K40</f>
        <v>7050.234810225493</v>
      </c>
      <c r="M52" s="46">
        <f>+'Loan Amortization'!L40</f>
        <v>5874.5270682224955</v>
      </c>
      <c r="N52" s="17"/>
    </row>
    <row r="53" spans="2:14" ht="12.75">
      <c r="B53" s="3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17"/>
    </row>
    <row r="54" spans="2:14" ht="12.75">
      <c r="B54" s="31" t="s">
        <v>48</v>
      </c>
      <c r="C54" s="54">
        <f aca="true" t="shared" si="2" ref="C54:M54">SUM(C44,C46,C48,C50,C52)</f>
        <v>0</v>
      </c>
      <c r="D54" s="54">
        <f t="shared" si="2"/>
        <v>51640.8314581413</v>
      </c>
      <c r="E54" s="54">
        <f t="shared" si="2"/>
        <v>58808.029747869004</v>
      </c>
      <c r="F54" s="54">
        <f t="shared" si="2"/>
        <v>53194.976678774925</v>
      </c>
      <c r="G54" s="54">
        <f t="shared" si="2"/>
        <v>49010.048186733315</v>
      </c>
      <c r="H54" s="54">
        <f t="shared" si="2"/>
        <v>45834.35043813419</v>
      </c>
      <c r="I54" s="54">
        <f t="shared" si="2"/>
        <v>45225.052714680976</v>
      </c>
      <c r="J54" s="54">
        <f t="shared" si="2"/>
        <v>44564.048016795714</v>
      </c>
      <c r="K54" s="54">
        <f t="shared" si="2"/>
        <v>40514.79681911826</v>
      </c>
      <c r="L54" s="54">
        <f t="shared" si="2"/>
        <v>36394.98509826564</v>
      </c>
      <c r="M54" s="54">
        <f t="shared" si="2"/>
        <v>35492.21203863023</v>
      </c>
      <c r="N54" s="17"/>
    </row>
    <row r="55" spans="2:14" ht="12.75">
      <c r="B55" s="3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17"/>
    </row>
    <row r="56" spans="2:14" ht="12.75">
      <c r="B56" s="38" t="s">
        <v>46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17"/>
    </row>
    <row r="57" spans="2:14" ht="12.75">
      <c r="B57" s="31" t="s">
        <v>450</v>
      </c>
      <c r="C57" s="216">
        <v>1500</v>
      </c>
      <c r="D57" s="55">
        <f>'Input Value'!C45+'Input Value'!C46</f>
        <v>6260</v>
      </c>
      <c r="E57" s="55">
        <f>+D57*(1+'Input Value'!$F$46)</f>
        <v>6322.6</v>
      </c>
      <c r="F57" s="55">
        <f>+E57*(1+'Input Value'!$F$46)</f>
        <v>6385.826</v>
      </c>
      <c r="G57" s="55">
        <f>+F57*(1+'Input Value'!$F$46)</f>
        <v>6449.68426</v>
      </c>
      <c r="H57" s="55">
        <f>+G57*(1+'Input Value'!$F$46)</f>
        <v>6514.1811026000005</v>
      </c>
      <c r="I57" s="55">
        <f>+H57*(1+'Input Value'!$F$46)</f>
        <v>6579.322913626001</v>
      </c>
      <c r="J57" s="55">
        <f>+I57*(1+'Input Value'!$F$46)</f>
        <v>6645.116142762261</v>
      </c>
      <c r="K57" s="55">
        <f>+J57*(1+'Input Value'!$F$46)</f>
        <v>6711.5673041898835</v>
      </c>
      <c r="L57" s="55">
        <f>+K57*(1+'Input Value'!$F$46)</f>
        <v>6778.682977231782</v>
      </c>
      <c r="M57" s="55">
        <f>+L57*(1+'Input Value'!$F$46)</f>
        <v>6846.4698070041</v>
      </c>
      <c r="N57" s="17"/>
    </row>
    <row r="58" spans="2:14" ht="12.75">
      <c r="B58" s="31"/>
      <c r="C58" s="71"/>
      <c r="D58" s="71"/>
      <c r="E58" s="55"/>
      <c r="F58" s="55"/>
      <c r="G58" s="55"/>
      <c r="H58" s="55"/>
      <c r="I58" s="55"/>
      <c r="J58" s="55"/>
      <c r="K58" s="55"/>
      <c r="L58" s="55"/>
      <c r="M58" s="55"/>
      <c r="N58" s="17"/>
    </row>
    <row r="59" spans="2:14" ht="12" customHeight="1">
      <c r="B59" s="31" t="s">
        <v>143</v>
      </c>
      <c r="C59" s="216">
        <v>500</v>
      </c>
      <c r="D59" s="216">
        <v>500</v>
      </c>
      <c r="E59" s="55">
        <f>+D59*(1+'Input Value'!$F$46)</f>
        <v>505</v>
      </c>
      <c r="F59" s="55">
        <f>+E59*(1+'Input Value'!$F$46)</f>
        <v>510.05</v>
      </c>
      <c r="G59" s="55">
        <f>+F59*(1+'Input Value'!$F$46)</f>
        <v>515.1505</v>
      </c>
      <c r="H59" s="55">
        <f>+G59*(1+'Input Value'!$F$46)</f>
        <v>520.302005</v>
      </c>
      <c r="I59" s="55">
        <f>+H59*(1+'Input Value'!$F$46)</f>
        <v>525.50502505</v>
      </c>
      <c r="J59" s="55">
        <f>+I59*(1+'Input Value'!$F$46)</f>
        <v>530.7600753004999</v>
      </c>
      <c r="K59" s="55">
        <f>+J59*(1+'Input Value'!$F$46)</f>
        <v>536.0676760535049</v>
      </c>
      <c r="L59" s="55">
        <f>+K59*(1+'Input Value'!$F$46)</f>
        <v>541.42835281404</v>
      </c>
      <c r="M59" s="55">
        <f>+L59*(1+'Input Value'!$F$46)</f>
        <v>546.8426363421804</v>
      </c>
      <c r="N59" s="17"/>
    </row>
    <row r="60" spans="2:14" ht="12" customHeight="1">
      <c r="B60" s="31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17"/>
    </row>
    <row r="61" spans="2:14" ht="12" customHeight="1">
      <c r="B61" s="31" t="s">
        <v>348</v>
      </c>
      <c r="C61" s="55">
        <f>'Input Value'!C37+'Input Value'!C41+'Input Value'!C42+'Input Value'!C43+'Input Value'!C44</f>
        <v>1525</v>
      </c>
      <c r="D61" s="55">
        <f>'Input Value'!$C$41+'Input Value'!$C$42+'Input Value'!$C$43+'Input Value'!$C$44</f>
        <v>1275</v>
      </c>
      <c r="E61" s="55">
        <f>'Input Value'!$C$41+'Input Value'!$C$42+'Input Value'!$C$43+'Input Value'!$C$44</f>
        <v>1275</v>
      </c>
      <c r="F61" s="55">
        <f>'Input Value'!$C$41+'Input Value'!$C$42+'Input Value'!$C$43+'Input Value'!$C$44</f>
        <v>1275</v>
      </c>
      <c r="G61" s="55">
        <f>'Input Value'!$C$41+'Input Value'!$C$42+'Input Value'!$C$43+'Input Value'!$C$44</f>
        <v>1275</v>
      </c>
      <c r="H61" s="55">
        <f>'Input Value'!$C$41+'Input Value'!$C$42+'Input Value'!$C$43+'Input Value'!$C$44</f>
        <v>1275</v>
      </c>
      <c r="I61" s="55">
        <f>'Input Value'!$C$41+'Input Value'!$C$42+'Input Value'!$C$43+'Input Value'!$C$44</f>
        <v>1275</v>
      </c>
      <c r="J61" s="55">
        <f>'Input Value'!$C$41+'Input Value'!$C$42+'Input Value'!$C$43+'Input Value'!$C$44</f>
        <v>1275</v>
      </c>
      <c r="K61" s="55">
        <f>'Input Value'!$C$41+'Input Value'!$C$42+'Input Value'!$C$43+'Input Value'!$C$44</f>
        <v>1275</v>
      </c>
      <c r="L61" s="55">
        <f>'Input Value'!$C$41+'Input Value'!$C$42+'Input Value'!$C$43+'Input Value'!$C$44</f>
        <v>1275</v>
      </c>
      <c r="M61" s="55">
        <f>'Input Value'!$C$41+'Input Value'!$C$42+'Input Value'!$C$43+'Input Value'!$C$44</f>
        <v>1275</v>
      </c>
      <c r="N61" s="17"/>
    </row>
    <row r="62" spans="2:14" ht="12.75">
      <c r="B62" s="31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17"/>
    </row>
    <row r="63" spans="2:14" ht="12.75">
      <c r="B63" s="31" t="s">
        <v>47</v>
      </c>
      <c r="C63" s="54">
        <f>SUM(C61,C59,C61)</f>
        <v>3550</v>
      </c>
      <c r="D63" s="54">
        <f aca="true" t="shared" si="3" ref="D63:M63">SUM(D57,D59,D61)</f>
        <v>8035</v>
      </c>
      <c r="E63" s="54">
        <f t="shared" si="3"/>
        <v>8102.6</v>
      </c>
      <c r="F63" s="54">
        <f t="shared" si="3"/>
        <v>8170.876</v>
      </c>
      <c r="G63" s="54">
        <f t="shared" si="3"/>
        <v>8239.83476</v>
      </c>
      <c r="H63" s="54">
        <f t="shared" si="3"/>
        <v>8309.483107600001</v>
      </c>
      <c r="I63" s="54">
        <f t="shared" si="3"/>
        <v>8379.827938676</v>
      </c>
      <c r="J63" s="54">
        <f t="shared" si="3"/>
        <v>8450.87621806276</v>
      </c>
      <c r="K63" s="54">
        <f t="shared" si="3"/>
        <v>8522.634980243389</v>
      </c>
      <c r="L63" s="54">
        <f t="shared" si="3"/>
        <v>8595.111330045822</v>
      </c>
      <c r="M63" s="54">
        <f t="shared" si="3"/>
        <v>8668.31244334628</v>
      </c>
      <c r="N63" s="17"/>
    </row>
    <row r="64" spans="2:14" ht="12.75">
      <c r="B64" s="31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17"/>
    </row>
    <row r="65" spans="2:14" ht="12.75">
      <c r="B65" s="31" t="s">
        <v>49</v>
      </c>
      <c r="C65" s="54">
        <f aca="true" t="shared" si="4" ref="C65:M65">SUM(C41,C54,C63)</f>
        <v>3550</v>
      </c>
      <c r="D65" s="54">
        <f t="shared" si="4"/>
        <v>197976.37657246212</v>
      </c>
      <c r="E65" s="54">
        <f t="shared" si="4"/>
        <v>207837.15121561944</v>
      </c>
      <c r="F65" s="54">
        <f t="shared" si="4"/>
        <v>204981.89939055787</v>
      </c>
      <c r="G65" s="54">
        <f t="shared" si="4"/>
        <v>203620.75795586978</v>
      </c>
      <c r="H65" s="54">
        <f t="shared" si="4"/>
        <v>203336.64517010472</v>
      </c>
      <c r="I65" s="54">
        <f t="shared" si="4"/>
        <v>205688.59509506822</v>
      </c>
      <c r="J65" s="54">
        <f t="shared" si="4"/>
        <v>208060.41976311678</v>
      </c>
      <c r="K65" s="54">
        <f t="shared" si="4"/>
        <v>207117.55454329634</v>
      </c>
      <c r="L65" s="54">
        <f t="shared" si="4"/>
        <v>206179.71782789112</v>
      </c>
      <c r="M65" s="54">
        <f t="shared" si="4"/>
        <v>208536.60044660376</v>
      </c>
      <c r="N65" s="17"/>
    </row>
    <row r="66" spans="2:13" ht="12.75"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50"/>
    </row>
    <row r="67" spans="2:13" ht="12.75">
      <c r="B67" s="56" t="s">
        <v>351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50"/>
    </row>
    <row r="68" spans="2:13" ht="12.75"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50">
        <f>'Input Value'!W66</f>
        <v>0</v>
      </c>
    </row>
    <row r="69" spans="2:13" ht="12.75"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50"/>
    </row>
    <row r="70" spans="2:13" ht="12.75"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50">
        <f>'Input Value'!W67</f>
        <v>0</v>
      </c>
    </row>
    <row r="71" spans="2:13" ht="12.75"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50"/>
    </row>
  </sheetData>
  <sheetProtection sheet="1" objects="1" scenarios="1"/>
  <hyperlinks>
    <hyperlink ref="B3" location="'Operations Summary'!A1" display="FORWARD TO OPERATIONS SUMMARY"/>
    <hyperlink ref="B4" location="'Return On Investment'!A1" display="FORWARD TO RETURN ON INVESTMENT"/>
    <hyperlink ref="B5" location="Introduction!A1" display="BACK TO INTRODUCTION"/>
    <hyperlink ref="B6" location="'Grapes &amp; Wines'!A1" display="BACK TO GRAPES AND WINES"/>
    <hyperlink ref="B7" location="'Input Value'!A1" display="BACK TO INPUT VALUES"/>
    <hyperlink ref="B8:C8" location="'Wine Products'!A1" display="BACK TO WINE PRODUCTS"/>
    <hyperlink ref="B9:C9" location="'Equipment &amp; Depreciation'!A1" display="BACK TO EQUIPMENT AND DEPRECIATION"/>
    <hyperlink ref="B10" location="'Personnel Expenses'!A1" display="BACK TO PERSONNEL EXPENSES"/>
    <hyperlink ref="B11" location="'Market Projection'!A1" display="BACK TO MARKET PROJECTION"/>
    <hyperlink ref="B12" location="'Loan Amortization'!A1" display="BACK TO LOAN AMORTIZATION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Rodney B. Holcomb</cp:lastModifiedBy>
  <dcterms:created xsi:type="dcterms:W3CDTF">2003-07-24T15:07:28Z</dcterms:created>
  <dcterms:modified xsi:type="dcterms:W3CDTF">2006-04-20T18:43:49Z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882306458</vt:i4>
  </property>
  <property fmtid="{D5CDD505-2E9C-101B-9397-08002B2CF9AE}" pid="3" name="_EmailSubject">
    <vt:lpwstr>Winery template</vt:lpwstr>
  </property>
  <property fmtid="{D5CDD505-2E9C-101B-9397-08002B2CF9AE}" pid="4" name="_AuthorEmail">
    <vt:lpwstr>rodney.holcomb@okstate.edu</vt:lpwstr>
  </property>
  <property fmtid="{D5CDD505-2E9C-101B-9397-08002B2CF9AE}" pid="5" name="_AuthorEmailDisplayName">
    <vt:lpwstr>Holcomb, Rodney</vt:lpwstr>
  </property>
  <property fmtid="{D5CDD505-2E9C-101B-9397-08002B2CF9AE}" pid="6" name="_PreviousAdHocReviewCycleID">
    <vt:i4>-1807423762</vt:i4>
  </property>
</Properties>
</file>