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5480" windowHeight="11640" tabRatio="783" activeTab="0"/>
  </bookViews>
  <sheets>
    <sheet name="Introduction" sheetId="1" r:id="rId1"/>
    <sheet name="Assumptions" sheetId="2" r:id="rId2"/>
    <sheet name="Capital Requirements" sheetId="3" r:id="rId3"/>
    <sheet name="Labor Costs" sheetId="4" r:id="rId4"/>
    <sheet name="Loan Amortization" sheetId="5" r:id="rId5"/>
    <sheet name="Variable Costs" sheetId="6" r:id="rId6"/>
    <sheet name="Revenue" sheetId="7" r:id="rId7"/>
    <sheet name="Profit &amp; Loss" sheetId="8" r:id="rId8"/>
    <sheet name="Return On Investment" sheetId="9" r:id="rId9"/>
  </sheets>
  <externalReferences>
    <externalReference r:id="rId12"/>
  </externalReferences>
  <definedNames>
    <definedName name="distancein">'[1]Input Value'!#REF!</definedName>
    <definedName name="distanceout">'[1]Input Value'!$C$26</definedName>
    <definedName name="incanola">'[1]Input Value'!$C$31</definedName>
    <definedName name="indistance">'[1]Input Value'!$C$25</definedName>
    <definedName name="insoybeans">'[1]Input Value'!#REF!</definedName>
    <definedName name="outcsot">'[1]Input Value'!#REF!</definedName>
    <definedName name="outdistance">'[1]Input Value'!#REF!</definedName>
    <definedName name="_xlnm.Print_Area" localSheetId="4">'Loan Amortization'!$B$1:$AA$31</definedName>
    <definedName name="_xlnm.Print_Titles" localSheetId="4">'Loan Amortization'!$A:$A</definedName>
  </definedNames>
  <calcPr fullCalcOnLoad="1"/>
</workbook>
</file>

<file path=xl/comments2.xml><?xml version="1.0" encoding="utf-8"?>
<comments xmlns="http://schemas.openxmlformats.org/spreadsheetml/2006/main">
  <authors>
    <author>Rodney B. Holcomb</author>
  </authors>
  <commentList>
    <comment ref="B41" authorId="0">
      <text>
        <r>
          <rPr>
            <sz val="12"/>
            <rFont val="Tahoma"/>
            <family val="2"/>
          </rPr>
          <t>Includes things such as food safety (e.g. microbial testing), accounting,  legal, association memberships, subscriptions, employee activities, etc.</t>
        </r>
        <r>
          <rPr>
            <sz val="8"/>
            <rFont val="Tahoma"/>
            <family val="2"/>
          </rPr>
          <t xml:space="preserve">
</t>
        </r>
      </text>
    </comment>
    <comment ref="C35" authorId="0">
      <text>
        <r>
          <rPr>
            <sz val="12"/>
            <rFont val="Tahoma"/>
            <family val="2"/>
          </rPr>
          <t>Washing frocks, coats, etc.</t>
        </r>
        <r>
          <rPr>
            <sz val="8"/>
            <rFont val="Tahoma"/>
            <family val="2"/>
          </rPr>
          <t xml:space="preserve">
</t>
        </r>
      </text>
    </comment>
    <comment ref="I28" authorId="0">
      <text>
        <r>
          <rPr>
            <sz val="12"/>
            <rFont val="Tahoma"/>
            <family val="2"/>
          </rPr>
          <t xml:space="preserve">Offal: Heart, liver, kidneys, tongues, lips, oxtail, cheek meat, head meat, and possibly tripe (extra equipment required for tripe).  Typically sold in bulk in export markets.
</t>
        </r>
        <r>
          <rPr>
            <b/>
            <sz val="12"/>
            <rFont val="Tahoma"/>
            <family val="2"/>
          </rPr>
          <t>Note:  The economics of processing and marketing these products are tied closely to volume.  Small plants do not typically expend the time/resources to collect some/all of these cuts.  Marketing these products may require additional equipment, personnel, and trucking/storage costs to assemble truckload quantities of these commonly exported products.</t>
        </r>
      </text>
    </comment>
    <comment ref="C10" authorId="0">
      <text>
        <r>
          <rPr>
            <sz val="12"/>
            <rFont val="Tahoma"/>
            <family val="2"/>
          </rPr>
          <t>Enter the facility's planned daily maximum capacity.  The "Revenue" sheet includes the option of adjusting annual capacity to 100% or less across a 10-year production horizon.</t>
        </r>
      </text>
    </comment>
  </commentList>
</comments>
</file>

<file path=xl/comments3.xml><?xml version="1.0" encoding="utf-8"?>
<comments xmlns="http://schemas.openxmlformats.org/spreadsheetml/2006/main">
  <authors>
    <author>Rodney B. Holcomb</author>
  </authors>
  <commentList>
    <comment ref="D22" authorId="0">
      <text>
        <r>
          <rPr>
            <sz val="12"/>
            <rFont val="Tahoma"/>
            <family val="2"/>
          </rPr>
          <t>Can vary by operation.  Base scenario assumes 5% of Year 1's cattle purchases.</t>
        </r>
      </text>
    </comment>
    <comment ref="F22" authorId="0">
      <text>
        <r>
          <rPr>
            <sz val="8"/>
            <rFont val="Tahoma"/>
            <family val="2"/>
          </rPr>
          <t xml:space="preserve">This discount rate is used for NPV calculations on the "Return on Investment" sheet.
</t>
        </r>
      </text>
    </comment>
  </commentList>
</comments>
</file>

<file path=xl/comments7.xml><?xml version="1.0" encoding="utf-8"?>
<comments xmlns="http://schemas.openxmlformats.org/spreadsheetml/2006/main">
  <authors>
    <author>Rodney B. Holcomb</author>
  </authors>
  <commentList>
    <comment ref="D11" authorId="0">
      <text>
        <r>
          <rPr>
            <sz val="12"/>
            <rFont val="Tahoma"/>
            <family val="2"/>
          </rPr>
          <t>"Year 0" represents the construction and start-up phase of the operation, when little or no processing may occur.</t>
        </r>
      </text>
    </comment>
    <comment ref="E11" authorId="0">
      <text>
        <r>
          <rPr>
            <sz val="12"/>
            <rFont val="Tahoma"/>
            <family val="2"/>
          </rPr>
          <t>The first full year of operation may be considerably less than full capacity due to the newness of the business, unrecognized operating efficiencies, and cattle sourcing issues.</t>
        </r>
      </text>
    </comment>
  </commentList>
</comments>
</file>

<file path=xl/sharedStrings.xml><?xml version="1.0" encoding="utf-8"?>
<sst xmlns="http://schemas.openxmlformats.org/spreadsheetml/2006/main" count="457" uniqueCount="324">
  <si>
    <t>Salary</t>
  </si>
  <si>
    <t>Direct Labor</t>
  </si>
  <si>
    <t>Production Manager</t>
  </si>
  <si>
    <t>Supervisors</t>
  </si>
  <si>
    <t>Quality Control</t>
  </si>
  <si>
    <t>Operators</t>
  </si>
  <si>
    <t>Repair &amp; Maintenance</t>
  </si>
  <si>
    <t>General Manager</t>
  </si>
  <si>
    <t>Plant Manager</t>
  </si>
  <si>
    <t>Total Salaries</t>
  </si>
  <si>
    <t>DIRECT LABOR</t>
  </si>
  <si>
    <t>Labor Position</t>
  </si>
  <si>
    <t># Employess</t>
  </si>
  <si>
    <t>INDIRECT LABOR</t>
  </si>
  <si>
    <t>Total Direct Labor</t>
  </si>
  <si>
    <t>Total Indirect Labor</t>
  </si>
  <si>
    <t>Utilities</t>
  </si>
  <si>
    <t>Electricity</t>
  </si>
  <si>
    <t>Natural Gas</t>
  </si>
  <si>
    <t>Water</t>
  </si>
  <si>
    <t>$/hd</t>
  </si>
  <si>
    <t>Fresh Operations:</t>
  </si>
  <si>
    <t>Cattle Cost</t>
  </si>
  <si>
    <t>Trucking-Beef Out</t>
  </si>
  <si>
    <t>YEAR</t>
  </si>
  <si>
    <t>Per Year</t>
  </si>
  <si>
    <t>Total Utilities-Fresh</t>
  </si>
  <si>
    <t>VOLUME</t>
  </si>
  <si>
    <t>PLANT REVENUES</t>
  </si>
  <si>
    <t>hd/yr</t>
  </si>
  <si>
    <t>Total # of Head</t>
  </si>
  <si>
    <t>Units</t>
  </si>
  <si>
    <t>Amount</t>
  </si>
  <si>
    <t>Inflation</t>
  </si>
  <si>
    <t>Electricity - unit cost</t>
  </si>
  <si>
    <t>$ / KWh</t>
  </si>
  <si>
    <t>KWh / hd</t>
  </si>
  <si>
    <t>-</t>
  </si>
  <si>
    <t>$ / hd</t>
  </si>
  <si>
    <t>Natural Gas- unit cost</t>
  </si>
  <si>
    <t>$ / Therm</t>
  </si>
  <si>
    <t>Sales Commission</t>
  </si>
  <si>
    <t>Therms / hd</t>
  </si>
  <si>
    <t>Water In - unit cost</t>
  </si>
  <si>
    <t>$ /gal water</t>
  </si>
  <si>
    <t>gal water / hd</t>
  </si>
  <si>
    <t>Working Capital</t>
  </si>
  <si>
    <t>Wastewater - unit cost</t>
  </si>
  <si>
    <t>$ / gal</t>
  </si>
  <si>
    <t>gal / hd</t>
  </si>
  <si>
    <t>Depreciation</t>
  </si>
  <si>
    <t>EBITDA</t>
  </si>
  <si>
    <t>GROSS MARGINS</t>
  </si>
  <si>
    <t xml:space="preserve"> Project PP&amp;E Requirements</t>
  </si>
  <si>
    <t>Pre-Construction</t>
  </si>
  <si>
    <t>Legal</t>
  </si>
  <si>
    <t>Accounting</t>
  </si>
  <si>
    <t>Total PP&amp;E</t>
  </si>
  <si>
    <t>Construction / Pre-Operations</t>
  </si>
  <si>
    <t>Labor / Marketing</t>
  </si>
  <si>
    <t>Insurance, Bonds, Misc.</t>
  </si>
  <si>
    <t>PP&amp;E</t>
  </si>
  <si>
    <t>Contingency @ 5%</t>
  </si>
  <si>
    <t>Total Capital Requirements</t>
  </si>
  <si>
    <t>Income</t>
  </si>
  <si>
    <t>Gross Sales</t>
  </si>
  <si>
    <t>Total Commissioned Sales</t>
  </si>
  <si>
    <t>Production &amp; Operating Expenses:</t>
  </si>
  <si>
    <t>Trucking</t>
  </si>
  <si>
    <t>Total Cost of Goods- Fresh</t>
  </si>
  <si>
    <t>Year</t>
  </si>
  <si>
    <t>Less:</t>
  </si>
  <si>
    <t>EBT</t>
  </si>
  <si>
    <t>Federal Tax Due</t>
  </si>
  <si>
    <t>NET EARNINGS from OPERATIONS</t>
  </si>
  <si>
    <t>Internal Rate of Return</t>
  </si>
  <si>
    <t>Cash Flow Analysis</t>
  </si>
  <si>
    <t>Net Earnings (loss)</t>
  </si>
  <si>
    <t>Capital Additions</t>
  </si>
  <si>
    <t>Principal Repayment</t>
  </si>
  <si>
    <t>G&amp;A Expenses</t>
  </si>
  <si>
    <t>Total G&amp;A per hd</t>
  </si>
  <si>
    <t>Plant Capacity per Day</t>
  </si>
  <si>
    <t>Plant Capacity per Year</t>
  </si>
  <si>
    <t xml:space="preserve"> </t>
  </si>
  <si>
    <t>Indirect Labor Costs</t>
  </si>
  <si>
    <t>Tax Rate</t>
  </si>
  <si>
    <t xml:space="preserve">Other G&amp;A </t>
  </si>
  <si>
    <t>Interest</t>
  </si>
  <si>
    <t>Production Assumptions</t>
  </si>
  <si>
    <t>Output Assumptions</t>
  </si>
  <si>
    <t>General &amp; Administrative</t>
  </si>
  <si>
    <t>Total $</t>
  </si>
  <si>
    <t>Facility Total Capital Requirements</t>
  </si>
  <si>
    <t>Capital Required</t>
  </si>
  <si>
    <t>Total Capital (per hd per year)</t>
  </si>
  <si>
    <t>Construction Total:</t>
  </si>
  <si>
    <t>Pre-Construction Total:</t>
  </si>
  <si>
    <t>Working Capital Total</t>
  </si>
  <si>
    <t>% of PP&amp;E</t>
  </si>
  <si>
    <t>Working Capital Requirement / Hd</t>
  </si>
  <si>
    <t xml:space="preserve">Production Assumptions </t>
  </si>
  <si>
    <t>LABOR COSTS</t>
  </si>
  <si>
    <t>Number</t>
  </si>
  <si>
    <t>VARIABLE DIRECT OPERATING COSTS</t>
  </si>
  <si>
    <t>$/yr</t>
  </si>
  <si>
    <t>CAPITAL REQUIREMENTS AT CAPACITY</t>
  </si>
  <si>
    <t>10 YEAR PROFIT AND LOSS STATEMENT</t>
  </si>
  <si>
    <t>TOTAL NET SALES</t>
  </si>
  <si>
    <t>General and Administrative Costs</t>
  </si>
  <si>
    <t>Total General &amp; Administrative</t>
  </si>
  <si>
    <t xml:space="preserve">Net Earnings   </t>
  </si>
  <si>
    <t>Waste Water</t>
  </si>
  <si>
    <t>Feasibility</t>
  </si>
  <si>
    <t>Construction Loan (interest)</t>
  </si>
  <si>
    <t>% Capacity Utilized</t>
  </si>
  <si>
    <t>Facilities, Docks, Refrigeration System</t>
  </si>
  <si>
    <t>Wastewater Treatment System</t>
  </si>
  <si>
    <t>Boilers/Piping</t>
  </si>
  <si>
    <t>Fire Protection</t>
  </si>
  <si>
    <t>PP&amp;E Items</t>
  </si>
  <si>
    <t>Cost ($)</t>
  </si>
  <si>
    <t>Pavement/Parking</t>
  </si>
  <si>
    <t>Total Plant</t>
  </si>
  <si>
    <t>Holding Pens</t>
  </si>
  <si>
    <t>Square footage of plant:</t>
  </si>
  <si>
    <t>Kill area</t>
  </si>
  <si>
    <t>Hide room</t>
  </si>
  <si>
    <t>Offal storage</t>
  </si>
  <si>
    <t>Hot box</t>
  </si>
  <si>
    <t>Processing/Carcass breakdown area</t>
  </si>
  <si>
    <t>Carcass aging/hanging</t>
  </si>
  <si>
    <t>Vac-Packing room</t>
  </si>
  <si>
    <t>Finished product storage</t>
  </si>
  <si>
    <t>Retail area</t>
  </si>
  <si>
    <t>Dressing/Changing rooms (empl. &amp; insp.)</t>
  </si>
  <si>
    <t>sq. ft.</t>
  </si>
  <si>
    <t>Total</t>
  </si>
  <si>
    <t>Refrigerated space</t>
  </si>
  <si>
    <t>Non-refrigerated space</t>
  </si>
  <si>
    <t>Salvage Value</t>
  </si>
  <si>
    <t>Office space (admin. &amp; inspector)</t>
  </si>
  <si>
    <t>Equipment</t>
  </si>
  <si>
    <t>Rails</t>
  </si>
  <si>
    <t>Tables, carts, &amp; lugs</t>
  </si>
  <si>
    <t>Labeling/boxing equipment</t>
  </si>
  <si>
    <t>Pallet jacks</t>
  </si>
  <si>
    <t>Slaughter floor equipment</t>
  </si>
  <si>
    <t>Total Equipment</t>
  </si>
  <si>
    <t>Trolleys (for sides of beef)</t>
  </si>
  <si>
    <t>Vac-packing &amp; vac-stuffers</t>
  </si>
  <si>
    <t>Plant</t>
  </si>
  <si>
    <t>Property</t>
  </si>
  <si>
    <t>Land for facilities</t>
  </si>
  <si>
    <t>Total Principle</t>
  </si>
  <si>
    <t>Total Interest</t>
  </si>
  <si>
    <t>Seasonal Interest</t>
  </si>
  <si>
    <t>Seasonal Loan</t>
  </si>
  <si>
    <t>Principal</t>
  </si>
  <si>
    <t>Balance</t>
  </si>
  <si>
    <t>Facilities</t>
  </si>
  <si>
    <t xml:space="preserve">Term = </t>
  </si>
  <si>
    <t>Interest =</t>
  </si>
  <si>
    <t>Loan Amount =</t>
  </si>
  <si>
    <t>Annual Payment</t>
  </si>
  <si>
    <t>term</t>
  </si>
  <si>
    <t>Interest rate</t>
  </si>
  <si>
    <t>Loan amount</t>
  </si>
  <si>
    <t>Building</t>
  </si>
  <si>
    <t>PP&amp;E- Capital per head</t>
  </si>
  <si>
    <t>Financing Assumptions</t>
  </si>
  <si>
    <t>Amount Financed (percent of PP&amp;E)</t>
  </si>
  <si>
    <t>Interest Rate</t>
  </si>
  <si>
    <t>Loan Term</t>
  </si>
  <si>
    <t>Amount Borrowed</t>
  </si>
  <si>
    <t>Start-Up Cattle Purchases</t>
  </si>
  <si>
    <t xml:space="preserve"> Construction General &amp; Admin.</t>
  </si>
  <si>
    <t>Office/Administrative</t>
  </si>
  <si>
    <t>Seasonal Loan Interest Rate</t>
  </si>
  <si>
    <t>Days of Operation (days/yr)</t>
  </si>
  <si>
    <t>Carcass weight</t>
  </si>
  <si>
    <t>Primal Rib</t>
  </si>
  <si>
    <t>Primal Chuck</t>
  </si>
  <si>
    <t>Primal Round</t>
  </si>
  <si>
    <t>Primal Loin</t>
  </si>
  <si>
    <t>Primal Flank</t>
  </si>
  <si>
    <t>Carcass Breakdown (%)</t>
  </si>
  <si>
    <t>Pct.</t>
  </si>
  <si>
    <t>Lbs.</t>
  </si>
  <si>
    <t>Wholesale Price</t>
  </si>
  <si>
    <t>Primal Shank/Brisket</t>
  </si>
  <si>
    <t>(Choice, $/cwt)</t>
  </si>
  <si>
    <t>(Choice, $/lb)</t>
  </si>
  <si>
    <t>Primal Short Plate</t>
  </si>
  <si>
    <t>Hide Handling (salt cost/hd)</t>
  </si>
  <si>
    <t xml:space="preserve">Sales Commission </t>
  </si>
  <si>
    <t>Hide Sales</t>
  </si>
  <si>
    <t>Rendering Pickup</t>
  </si>
  <si>
    <t>Operation Weeks per Year</t>
  </si>
  <si>
    <t>$/pickup</t>
  </si>
  <si>
    <t>Pickup Frequency</t>
  </si>
  <si>
    <t>pickups/wk</t>
  </si>
  <si>
    <t>Waste Management - weekly</t>
  </si>
  <si>
    <t>Input/Operating Assumptions</t>
  </si>
  <si>
    <t>Laundry Service</t>
  </si>
  <si>
    <t>$ / week</t>
  </si>
  <si>
    <t>Hides</t>
  </si>
  <si>
    <t>Trucking Expenses</t>
  </si>
  <si>
    <t>Total Revenues</t>
  </si>
  <si>
    <t>Cattle Purchases</t>
  </si>
  <si>
    <t>Equity (non-borrowed PPE, WC, Cont.)</t>
  </si>
  <si>
    <t>Annual Total Depreciation</t>
  </si>
  <si>
    <t>Facilities (incl. Lagoon)</t>
  </si>
  <si>
    <t>Equipment (fr. &amp; f.p.)</t>
  </si>
  <si>
    <t>Total Depreciation</t>
  </si>
  <si>
    <t>Accumulated Depreciation</t>
  </si>
  <si>
    <t>Total Accumulated Dep.</t>
  </si>
  <si>
    <t>30 year Straight Line</t>
  </si>
  <si>
    <t>Cost</t>
  </si>
  <si>
    <t>Life</t>
  </si>
  <si>
    <t>Salvage</t>
  </si>
  <si>
    <t>Period</t>
  </si>
  <si>
    <t>Depreciation/yr for 30 years</t>
  </si>
  <si>
    <t>Rate</t>
  </si>
  <si>
    <t>Equipment (fresh &amp; further processing)</t>
  </si>
  <si>
    <t>Facilities (incl. water treatment)</t>
  </si>
  <si>
    <t>7 year MACRS with half-year conversion (percentage from table)</t>
  </si>
  <si>
    <t>Slaughter/Breakdown Use</t>
  </si>
  <si>
    <t>Packaging (materials, boxes)</t>
  </si>
  <si>
    <t>Packaging Materials</t>
  </si>
  <si>
    <t>SFWB sales only</t>
  </si>
  <si>
    <t>Hide Handling</t>
  </si>
  <si>
    <t>Hide Handling Costs</t>
  </si>
  <si>
    <t>Minus Samples/Give-Aways</t>
  </si>
  <si>
    <t>TOTAL LABOR</t>
  </si>
  <si>
    <t>Labor Inflation Rate</t>
  </si>
  <si>
    <t>% per year</t>
  </si>
  <si>
    <t>Add'l G&amp;A (w/o Indirect Labor)</t>
  </si>
  <si>
    <t>Sub-Total - Direct Labor</t>
  </si>
  <si>
    <t>Startup Working Cap. &amp; Contingency</t>
  </si>
  <si>
    <t>Discount Rate</t>
  </si>
  <si>
    <t>Gross Margin</t>
  </si>
  <si>
    <t>Discount Factor</t>
  </si>
  <si>
    <t>PV of Income</t>
  </si>
  <si>
    <t>Total Expense</t>
  </si>
  <si>
    <t>Less Depreciation and Term Interest</t>
  </si>
  <si>
    <t>Cash Expenses</t>
  </si>
  <si>
    <t>PV of Expenses</t>
  </si>
  <si>
    <t>Benefits Less Costs</t>
  </si>
  <si>
    <t>PV Benefits Less PV Costs</t>
  </si>
  <si>
    <t>Total PV of Income</t>
  </si>
  <si>
    <t>Total PV of Expenses</t>
  </si>
  <si>
    <t>Net Present Value</t>
  </si>
  <si>
    <t>PV Benefit/PV Cost Ratio</t>
  </si>
  <si>
    <t>Return on Assets</t>
  </si>
  <si>
    <t>(after tax income/total PPE investment)</t>
  </si>
  <si>
    <t>Average ROA</t>
  </si>
  <si>
    <t>Return on (Beginning) Equity</t>
  </si>
  <si>
    <t>(after tax income/non-borrowed PPE investment)</t>
  </si>
  <si>
    <t>Average ROE</t>
  </si>
  <si>
    <t>Payback Period (years)</t>
  </si>
  <si>
    <t>(payback period only displayed if less than 10 years)</t>
  </si>
  <si>
    <t>Fed Steers/Heifers</t>
  </si>
  <si>
    <t>Waste Management</t>
  </si>
  <si>
    <t>Turn-Key Cost Estimates per Square Foot</t>
  </si>
  <si>
    <t>TOTAL REVENUE</t>
  </si>
  <si>
    <t>Misc.*</t>
  </si>
  <si>
    <t xml:space="preserve">Boxed Beef </t>
  </si>
  <si>
    <t>Cutout Value</t>
  </si>
  <si>
    <t>Value</t>
  </si>
  <si>
    <t>Wholesale</t>
  </si>
  <si>
    <t>Operational Days per Year</t>
  </si>
  <si>
    <t>Weeks per Year</t>
  </si>
  <si>
    <t>Buyer/Delivery Coordinator</t>
  </si>
  <si>
    <t>Usage Rate</t>
  </si>
  <si>
    <t>Carcass Value Assumptions</t>
  </si>
  <si>
    <t>as % of sales</t>
  </si>
  <si>
    <t>NA</t>
  </si>
  <si>
    <t>Wholesale Beef Values</t>
  </si>
  <si>
    <t>Offal Value (if marketable)</t>
  </si>
  <si>
    <t>(lbs/hd)</t>
  </si>
  <si>
    <t>($/cwt)</t>
  </si>
  <si>
    <t>*Hanging tender, suet, fat</t>
  </si>
  <si>
    <t>Dress Out Percentage</t>
  </si>
  <si>
    <t>(per-head average)</t>
  </si>
  <si>
    <t>Plant Slaughter Capacity per Day (maximum)</t>
  </si>
  <si>
    <t>Plant Capacity per Year (maximum)</t>
  </si>
  <si>
    <t>Samples/Give-Aways/Losses</t>
  </si>
  <si>
    <t>Benefits/Fringe (% of salaries)</t>
  </si>
  <si>
    <t>Offal Revenues</t>
  </si>
  <si>
    <t>REVENUE/HD</t>
  </si>
  <si>
    <t>EOY NET CASH (not cumulative)</t>
  </si>
  <si>
    <t>OPERATING/PRODUCTION ASSUMPTIONS</t>
  </si>
  <si>
    <t>Additional information is required on the following sheets:</t>
  </si>
  <si>
    <t>Capital Requirements</t>
  </si>
  <si>
    <t>Labor Costs</t>
  </si>
  <si>
    <t>Results of calculations are found on the following sheets:</t>
  </si>
  <si>
    <t>Loan Amortization</t>
  </si>
  <si>
    <t>Variable Costs</t>
  </si>
  <si>
    <t>Revenue</t>
  </si>
  <si>
    <t>Profit &amp; Loss</t>
  </si>
  <si>
    <t>Return on Investment</t>
  </si>
  <si>
    <t>CAPITAL REQUIREMENTS</t>
  </si>
  <si>
    <t>Operating/Production Assumptions</t>
  </si>
  <si>
    <t>LOAN AMORTIZATION</t>
  </si>
  <si>
    <t>Review the following:</t>
  </si>
  <si>
    <t>VARIABLE COSTS</t>
  </si>
  <si>
    <t>REVENUE</t>
  </si>
  <si>
    <t>PROFIT &amp; LOSS</t>
  </si>
  <si>
    <t>Discount Rate for NPV Calculations</t>
  </si>
  <si>
    <t>RETURN ON INVESTMENT</t>
  </si>
  <si>
    <t>Skip to input sheets:</t>
  </si>
  <si>
    <t>For questions or comments regarding the template, contact Dr. Rodney Holcomb at 405-744-6071 or by email at rodney.holcomb@okstate.edu.</t>
  </si>
  <si>
    <t>Start using the template</t>
  </si>
  <si>
    <t>Oklahoma State University</t>
  </si>
  <si>
    <t>Rodney B. Holcomb and Phil Kenkel*</t>
  </si>
  <si>
    <t>*Authors are, respectively:  Professor and Browning Endowed Professor of Food Science (Dept. of Agricultural Economics/Kerr Food &amp; Ag Products Center) and Professor and Fitzwater Endowed Chair for Cooperative Studies (Dept. of Agricultural Economics).</t>
  </si>
  <si>
    <t>This template was designed to assist agricultural producers and entrepreneurs interested in developing and operating a fresh beef packing plant.  The template allows users to assess and compare the costs of alternative plant construction and equipment costs, operational scales, livestock characteristics, and meat and by-product values.  Users of the template can utilize these comparisons to determine the viability of building and operating a small, medium, or large-scale beef slaughter facility  It also provides users an opportunity to examine the sensitivity of their chosen plant layout and processing system to changes in a number of cost factors and/or changes in market prices for inputs and outputs.</t>
  </si>
  <si>
    <r>
      <rPr>
        <b/>
        <sz val="12"/>
        <color indexed="8"/>
        <rFont val="Times New Roman"/>
        <family val="1"/>
      </rPr>
      <t>NOTE:</t>
    </r>
    <r>
      <rPr>
        <sz val="12"/>
        <rFont val="Times New Roman"/>
        <family val="1"/>
      </rPr>
      <t xml:space="preserve">  The true costs of operating a fresh beef packing plant vary greatly by the size and scale of operations, state versus federal (USDA-FSIS) inspection, and the addition of various "further processing" activities performed by the plant.  To better understand some of the issues related to plant construction and operation, it is recommended that users of this template read the attached PDF file (see icon to the right) and the suggested reference materials therein.</t>
    </r>
  </si>
  <si>
    <t>Users of the template are requested to provide the appropriate information in the yellow-shaded cells.  The template will use these inputs to make calculations for operations, profit/loss, and returns on investment.</t>
  </si>
  <si>
    <t>Feasibility Template for a Fresh Beef Packing Plant</t>
  </si>
  <si>
    <t>Other Financial Considerations</t>
  </si>
  <si>
    <t>Rates</t>
  </si>
  <si>
    <t>Overtime/Bonus</t>
  </si>
</sst>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
    <numFmt numFmtId="166" formatCode="&quot;$&quot;#,##0.00"/>
    <numFmt numFmtId="167" formatCode="&quot;$&quot;#,##0.0000"/>
    <numFmt numFmtId="168" formatCode="0.0"/>
    <numFmt numFmtId="169" formatCode="0.0000"/>
    <numFmt numFmtId="170" formatCode="0.000000000"/>
    <numFmt numFmtId="171" formatCode="0.00000000"/>
    <numFmt numFmtId="172" formatCode="0.0000000"/>
    <numFmt numFmtId="173" formatCode="0.000000"/>
    <numFmt numFmtId="174" formatCode="0.00000"/>
    <numFmt numFmtId="175" formatCode="0.000"/>
    <numFmt numFmtId="176" formatCode="&quot;$&quot;#,##0.000"/>
    <numFmt numFmtId="177" formatCode="&quot;$&quot;#,##0.0"/>
    <numFmt numFmtId="178" formatCode="#,##0.0000"/>
    <numFmt numFmtId="179" formatCode="#,##0.0"/>
    <numFmt numFmtId="180" formatCode="&quot;$&quot;#,##0.00000"/>
    <numFmt numFmtId="181" formatCode="&quot;$&quot;#,##0.0_);[Red]\(&quot;$&quot;#,##0.0\)"/>
    <numFmt numFmtId="182" formatCode="&quot;$&quot;#,##0.000_);[Red]\(&quot;$&quot;#,##0.000\)"/>
    <numFmt numFmtId="183" formatCode="_(&quot;$&quot;* #,##0.0_);_(&quot;$&quot;* \(#,##0.0\);_(&quot;$&quot;* &quot;-&quot;?_);_(@_)"/>
    <numFmt numFmtId="184" formatCode="&quot;$&quot;#,##0.0_);\(&quot;$&quot;#,##0.0\)"/>
    <numFmt numFmtId="185" formatCode="#,##0.000"/>
    <numFmt numFmtId="186" formatCode="&quot;$&quot;#,##0.000000"/>
    <numFmt numFmtId="187" formatCode="&quot;$&quot;#,##0.0000000"/>
    <numFmt numFmtId="188" formatCode="&quot;$&quot;#,##0.0000_);[Red]\(&quot;$&quot;#,##0.0000\)"/>
    <numFmt numFmtId="189" formatCode="&quot;Yes&quot;;&quot;Yes&quot;;&quot;No&quot;"/>
    <numFmt numFmtId="190" formatCode="&quot;True&quot;;&quot;True&quot;;&quot;False&quot;"/>
    <numFmt numFmtId="191" formatCode="&quot;On&quot;;&quot;On&quot;;&quot;Off&quot;"/>
    <numFmt numFmtId="192" formatCode="_(* #,##0.0_);_(* \(#,##0.0\);_(* &quot;-&quot;??_);_(@_)"/>
    <numFmt numFmtId="193" formatCode="_(* #,##0_);_(* \(#,##0\);_(* &quot;-&quot;??_);_(@_)"/>
    <numFmt numFmtId="194" formatCode="[$-409]dddd\,\ mmmm\ dd\,\ yyyy"/>
    <numFmt numFmtId="195" formatCode="[$-409]h:mm:ss\ AM/PM"/>
    <numFmt numFmtId="196" formatCode="[$€-2]\ #,##0.00_);[Red]\([$€-2]\ #,##0.00\)"/>
    <numFmt numFmtId="197" formatCode="0.000%"/>
    <numFmt numFmtId="198" formatCode="\$#,##0"/>
    <numFmt numFmtId="199" formatCode="\$#,##0.00"/>
  </numFmts>
  <fonts count="71">
    <font>
      <sz val="10"/>
      <name val="Arial"/>
      <family val="0"/>
    </font>
    <font>
      <u val="single"/>
      <sz val="10"/>
      <color indexed="12"/>
      <name val="Arial"/>
      <family val="2"/>
    </font>
    <font>
      <u val="single"/>
      <sz val="10"/>
      <color indexed="36"/>
      <name val="Arial"/>
      <family val="2"/>
    </font>
    <font>
      <b/>
      <sz val="8"/>
      <color indexed="9"/>
      <name val="Tahoma"/>
      <family val="2"/>
    </font>
    <font>
      <b/>
      <sz val="8"/>
      <color indexed="8"/>
      <name val="Tahoma"/>
      <family val="2"/>
    </font>
    <font>
      <sz val="8"/>
      <name val="Tahoma"/>
      <family val="2"/>
    </font>
    <font>
      <sz val="12"/>
      <name val="Times New Roman"/>
      <family val="1"/>
    </font>
    <font>
      <b/>
      <sz val="12"/>
      <name val="Times New Roman"/>
      <family val="1"/>
    </font>
    <font>
      <b/>
      <sz val="16"/>
      <name val="Times New Roman"/>
      <family val="1"/>
    </font>
    <font>
      <sz val="12"/>
      <color indexed="9"/>
      <name val="Times New Roman"/>
      <family val="1"/>
    </font>
    <font>
      <b/>
      <sz val="16"/>
      <color indexed="9"/>
      <name val="Times New Roman"/>
      <family val="1"/>
    </font>
    <font>
      <b/>
      <sz val="12"/>
      <color indexed="48"/>
      <name val="Times New Roman"/>
      <family val="1"/>
    </font>
    <font>
      <b/>
      <sz val="12"/>
      <color indexed="9"/>
      <name val="Times New Roman"/>
      <family val="1"/>
    </font>
    <font>
      <sz val="12"/>
      <color indexed="48"/>
      <name val="Times New Roman"/>
      <family val="1"/>
    </font>
    <font>
      <b/>
      <u val="single"/>
      <sz val="12"/>
      <name val="Times New Roman"/>
      <family val="1"/>
    </font>
    <font>
      <sz val="10"/>
      <name val="Times New Roman"/>
      <family val="1"/>
    </font>
    <font>
      <b/>
      <sz val="10"/>
      <name val="Times New Roman"/>
      <family val="1"/>
    </font>
    <font>
      <sz val="16"/>
      <color indexed="9"/>
      <name val="Times New Roman"/>
      <family val="1"/>
    </font>
    <font>
      <sz val="12"/>
      <name val="Tahoma"/>
      <family val="2"/>
    </font>
    <font>
      <b/>
      <sz val="12"/>
      <name val="Tahoma"/>
      <family val="2"/>
    </font>
    <font>
      <u val="single"/>
      <sz val="12"/>
      <name val="Times New Roman"/>
      <family val="1"/>
    </font>
    <font>
      <sz val="14"/>
      <name val="Times New Roman"/>
      <family val="1"/>
    </font>
    <font>
      <b/>
      <sz val="14"/>
      <name val="Times New Roman"/>
      <family val="1"/>
    </font>
    <font>
      <u val="single"/>
      <sz val="12"/>
      <color indexed="12"/>
      <name val="Times New Roman"/>
      <family val="1"/>
    </font>
    <font>
      <b/>
      <sz val="12"/>
      <color indexed="8"/>
      <name val="Times New Roman"/>
      <family val="1"/>
    </font>
    <font>
      <i/>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10"/>
      <name val="Times New Roman"/>
      <family val="1"/>
    </font>
    <font>
      <sz val="12"/>
      <color indexed="30"/>
      <name val="Times New Roman"/>
      <family val="1"/>
    </font>
    <font>
      <b/>
      <sz val="20"/>
      <color indexed="8"/>
      <name val="Times New Roman"/>
      <family val="1"/>
    </font>
    <font>
      <i/>
      <sz val="14"/>
      <color indexed="8"/>
      <name val="Times New Roman"/>
      <family val="1"/>
    </font>
    <font>
      <i/>
      <sz val="12"/>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FF0000"/>
      <name val="Times New Roman"/>
      <family val="1"/>
    </font>
    <font>
      <sz val="12"/>
      <color rgb="FF0070C0"/>
      <name val="Times New Roman"/>
      <family val="1"/>
    </font>
    <font>
      <b/>
      <sz val="20"/>
      <color theme="1"/>
      <name val="Times New Roman"/>
      <family val="1"/>
    </font>
    <font>
      <i/>
      <sz val="14"/>
      <color theme="1"/>
      <name val="Times New Roman"/>
      <family val="1"/>
    </font>
    <font>
      <i/>
      <sz val="12"/>
      <color theme="1"/>
      <name val="Times New Roman"/>
      <family val="1"/>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8"/>
        <bgColor indexed="64"/>
      </patternFill>
    </fill>
    <fill>
      <patternFill patternType="solid">
        <fgColor indexed="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0"/>
        <bgColor indexed="64"/>
      </patternFill>
    </fill>
    <fill>
      <patternFill patternType="solid">
        <fgColor rgb="FFFFFF99"/>
        <bgColor indexed="64"/>
      </patternFill>
    </fill>
    <fill>
      <patternFill patternType="solid">
        <fgColor indexed="43"/>
        <bgColor indexed="64"/>
      </patternFill>
    </fill>
  </fills>
  <borders count="37">
    <border>
      <left/>
      <right/>
      <top/>
      <bottom/>
      <diagonal/>
    </border>
    <border>
      <left style="thin"/>
      <right>
        <color indexed="63"/>
      </right>
      <top style="thin"/>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color indexed="63"/>
      </right>
      <top>
        <color indexed="63"/>
      </top>
      <bottom>
        <color indexed="63"/>
      </bottom>
    </border>
    <border>
      <left>
        <color indexed="63"/>
      </left>
      <right>
        <color indexed="63"/>
      </right>
      <top style="medium"/>
      <bottom style="medium"/>
    </border>
    <border>
      <left>
        <color indexed="63"/>
      </left>
      <right>
        <color indexed="63"/>
      </right>
      <top>
        <color indexed="63"/>
      </top>
      <bottom style="mediu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bottom style="thin"/>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thin"/>
    </border>
    <border>
      <left>
        <color indexed="63"/>
      </left>
      <right>
        <color indexed="63"/>
      </right>
      <top style="thin"/>
      <bottom>
        <color indexed="63"/>
      </bottom>
    </border>
    <border>
      <left style="medium"/>
      <right>
        <color indexed="63"/>
      </right>
      <top style="thin"/>
      <bottom>
        <color indexed="63"/>
      </bottom>
    </border>
    <border>
      <left style="medium"/>
      <right>
        <color indexed="63"/>
      </right>
      <top>
        <color indexed="63"/>
      </top>
      <bottom style="thin"/>
    </border>
    <border>
      <left>
        <color indexed="63"/>
      </left>
      <right style="medium"/>
      <top>
        <color indexed="63"/>
      </top>
      <bottom style="thin"/>
    </border>
    <border>
      <left>
        <color indexed="63"/>
      </left>
      <right style="medium"/>
      <top style="thin"/>
      <bottom style="thin"/>
    </border>
    <border>
      <left>
        <color indexed="63"/>
      </left>
      <right style="medium"/>
      <top style="thin"/>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style="medium"/>
      <right>
        <color indexed="63"/>
      </right>
      <top style="medium"/>
      <bottom style="medium"/>
    </border>
    <border>
      <left>
        <color indexed="63"/>
      </left>
      <right style="medium"/>
      <top style="medium"/>
      <bottom style="medium"/>
    </border>
    <border>
      <left style="medium"/>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color indexed="63"/>
      </right>
      <top style="medium"/>
      <bottom style="thin"/>
    </border>
    <border>
      <left>
        <color indexed="63"/>
      </left>
      <right style="medium"/>
      <top style="medium"/>
      <bottom style="thin"/>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37" fontId="5" fillId="26" borderId="1" applyBorder="0" applyProtection="0">
      <alignment vertical="center"/>
    </xf>
    <xf numFmtId="0" fontId="50" fillId="27" borderId="0" applyNumberFormat="0" applyBorder="0" applyAlignment="0" applyProtection="0"/>
    <xf numFmtId="0" fontId="51" fillId="28" borderId="2" applyNumberFormat="0" applyAlignment="0" applyProtection="0"/>
    <xf numFmtId="0" fontId="52" fillId="29"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53" fillId="0" borderId="0" applyNumberFormat="0" applyFill="0" applyBorder="0" applyAlignment="0" applyProtection="0"/>
    <xf numFmtId="0" fontId="2" fillId="0" borderId="0" applyNumberFormat="0" applyFill="0" applyBorder="0" applyAlignment="0" applyProtection="0"/>
    <xf numFmtId="0" fontId="54" fillId="30" borderId="0" applyNumberFormat="0" applyBorder="0" applyAlignment="0" applyProtection="0"/>
    <xf numFmtId="37" fontId="3" fillId="31" borderId="4" applyBorder="0">
      <alignment horizontal="left" vertical="center" indent="1"/>
      <protection/>
    </xf>
    <xf numFmtId="37" fontId="4" fillId="0" borderId="5">
      <alignment vertical="center"/>
      <protection/>
    </xf>
    <xf numFmtId="0" fontId="4" fillId="32" borderId="6" applyNumberFormat="0">
      <alignment horizontal="left" vertical="top" indent="1"/>
      <protection/>
    </xf>
    <xf numFmtId="0" fontId="4" fillId="26" borderId="0" applyBorder="0">
      <alignment horizontal="left" vertical="center" indent="1"/>
      <protection/>
    </xf>
    <xf numFmtId="0" fontId="4" fillId="0" borderId="6" applyNumberFormat="0" applyFill="0">
      <alignment horizontal="centerContinuous" vertical="top"/>
      <protection/>
    </xf>
    <xf numFmtId="0" fontId="55" fillId="0" borderId="7" applyNumberFormat="0" applyFill="0" applyAlignment="0" applyProtection="0"/>
    <xf numFmtId="0" fontId="56" fillId="0" borderId="8" applyNumberFormat="0" applyFill="0" applyAlignment="0" applyProtection="0"/>
    <xf numFmtId="0" fontId="57" fillId="0" borderId="9" applyNumberFormat="0" applyFill="0" applyAlignment="0" applyProtection="0"/>
    <xf numFmtId="0" fontId="57" fillId="0" borderId="0" applyNumberFormat="0" applyFill="0" applyBorder="0" applyAlignment="0" applyProtection="0"/>
    <xf numFmtId="0" fontId="1" fillId="0" borderId="0" applyNumberFormat="0" applyFill="0" applyBorder="0" applyAlignment="0" applyProtection="0"/>
    <xf numFmtId="0" fontId="58" fillId="33" borderId="2" applyNumberFormat="0" applyAlignment="0" applyProtection="0"/>
    <xf numFmtId="0" fontId="59" fillId="0" borderId="10" applyNumberFormat="0" applyFill="0" applyAlignment="0" applyProtection="0"/>
    <xf numFmtId="0" fontId="60" fillId="34" borderId="0" applyNumberFormat="0" applyBorder="0" applyAlignment="0" applyProtection="0"/>
    <xf numFmtId="4" fontId="5" fillId="26" borderId="11" applyBorder="0">
      <alignment horizontal="left" vertical="center" indent="2"/>
      <protection/>
    </xf>
    <xf numFmtId="0" fontId="0" fillId="0" borderId="0" applyFill="0" applyBorder="0">
      <alignment/>
      <protection/>
    </xf>
    <xf numFmtId="0" fontId="0" fillId="0" borderId="0">
      <alignment/>
      <protection/>
    </xf>
    <xf numFmtId="0" fontId="0" fillId="0" borderId="0" applyFill="0" applyBorder="0">
      <alignment/>
      <protection/>
    </xf>
    <xf numFmtId="0" fontId="0" fillId="35" borderId="12" applyNumberFormat="0" applyFont="0" applyAlignment="0" applyProtection="0"/>
    <xf numFmtId="0" fontId="61" fillId="28"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14" applyNumberFormat="0" applyFill="0" applyAlignment="0" applyProtection="0"/>
    <xf numFmtId="0" fontId="64" fillId="0" borderId="0" applyNumberFormat="0" applyFill="0" applyBorder="0" applyAlignment="0" applyProtection="0"/>
  </cellStyleXfs>
  <cellXfs count="502">
    <xf numFmtId="0" fontId="0" fillId="0" borderId="0" xfId="0" applyAlignment="1">
      <alignment/>
    </xf>
    <xf numFmtId="0" fontId="6" fillId="0" borderId="0" xfId="0" applyFont="1" applyBorder="1" applyAlignment="1">
      <alignment/>
    </xf>
    <xf numFmtId="0" fontId="6" fillId="0" borderId="0" xfId="0" applyFont="1" applyFill="1" applyBorder="1" applyAlignment="1">
      <alignment horizontal="center"/>
    </xf>
    <xf numFmtId="0" fontId="6" fillId="0" borderId="0" xfId="0" applyFont="1" applyBorder="1" applyAlignment="1">
      <alignment horizontal="center"/>
    </xf>
    <xf numFmtId="0" fontId="7" fillId="0" borderId="0" xfId="0" applyFont="1" applyBorder="1" applyAlignment="1">
      <alignment horizontal="left"/>
    </xf>
    <xf numFmtId="164" fontId="6" fillId="0" borderId="0" xfId="0" applyNumberFormat="1" applyFont="1" applyBorder="1" applyAlignment="1">
      <alignment horizontal="center"/>
    </xf>
    <xf numFmtId="165" fontId="6" fillId="0" borderId="0" xfId="0" applyNumberFormat="1" applyFont="1" applyFill="1" applyBorder="1" applyAlignment="1">
      <alignment horizontal="right"/>
    </xf>
    <xf numFmtId="0" fontId="6" fillId="0" borderId="0" xfId="0" applyFont="1" applyBorder="1" applyAlignment="1">
      <alignment horizontal="right"/>
    </xf>
    <xf numFmtId="165" fontId="6" fillId="0" borderId="0" xfId="0" applyNumberFormat="1" applyFont="1" applyBorder="1" applyAlignment="1">
      <alignment horizontal="center"/>
    </xf>
    <xf numFmtId="165" fontId="6" fillId="0" borderId="0" xfId="0" applyNumberFormat="1" applyFont="1" applyFill="1" applyBorder="1" applyAlignment="1">
      <alignment horizontal="center"/>
    </xf>
    <xf numFmtId="44" fontId="6" fillId="0" borderId="0" xfId="46" applyFont="1" applyBorder="1" applyAlignment="1">
      <alignment horizontal="center"/>
    </xf>
    <xf numFmtId="0" fontId="7" fillId="0" borderId="0" xfId="0" applyFont="1" applyBorder="1" applyAlignment="1">
      <alignment horizontal="center"/>
    </xf>
    <xf numFmtId="0" fontId="7" fillId="0" borderId="0" xfId="0" applyFont="1" applyBorder="1" applyAlignment="1">
      <alignment/>
    </xf>
    <xf numFmtId="0" fontId="10" fillId="36" borderId="0" xfId="0" applyFont="1" applyFill="1" applyBorder="1" applyAlignment="1">
      <alignment horizontal="center"/>
    </xf>
    <xf numFmtId="0" fontId="7" fillId="0" borderId="0" xfId="0" applyFont="1" applyFill="1" applyBorder="1" applyAlignment="1">
      <alignment horizontal="center"/>
    </xf>
    <xf numFmtId="0" fontId="9" fillId="36" borderId="0" xfId="0" applyFont="1" applyFill="1" applyBorder="1" applyAlignment="1">
      <alignment horizontal="center"/>
    </xf>
    <xf numFmtId="0" fontId="6" fillId="0" borderId="0" xfId="0" applyFont="1" applyFill="1" applyBorder="1" applyAlignment="1">
      <alignment/>
    </xf>
    <xf numFmtId="0" fontId="10" fillId="0" borderId="0" xfId="0" applyFont="1" applyFill="1" applyBorder="1" applyAlignment="1">
      <alignment/>
    </xf>
    <xf numFmtId="0" fontId="9" fillId="0" borderId="0" xfId="0" applyFont="1" applyFill="1" applyBorder="1" applyAlignment="1">
      <alignment/>
    </xf>
    <xf numFmtId="0" fontId="6" fillId="0" borderId="0" xfId="0" applyFont="1" applyFill="1" applyBorder="1" applyAlignment="1">
      <alignment horizontal="left"/>
    </xf>
    <xf numFmtId="0" fontId="6" fillId="0" borderId="0" xfId="0" applyFont="1" applyFill="1" applyBorder="1" applyAlignment="1">
      <alignment horizontal="right"/>
    </xf>
    <xf numFmtId="0" fontId="6" fillId="0" borderId="15" xfId="0" applyFont="1" applyBorder="1" applyAlignment="1">
      <alignment horizontal="left"/>
    </xf>
    <xf numFmtId="0" fontId="6" fillId="0" borderId="16" xfId="0" applyFont="1" applyBorder="1" applyAlignment="1">
      <alignment horizontal="right"/>
    </xf>
    <xf numFmtId="165" fontId="6" fillId="0" borderId="17" xfId="0" applyNumberFormat="1" applyFont="1" applyFill="1" applyBorder="1" applyAlignment="1">
      <alignment horizontal="center"/>
    </xf>
    <xf numFmtId="165" fontId="6" fillId="0" borderId="18" xfId="0" applyNumberFormat="1" applyFont="1" applyFill="1" applyBorder="1" applyAlignment="1">
      <alignment horizontal="center"/>
    </xf>
    <xf numFmtId="0" fontId="6" fillId="0" borderId="17" xfId="0" applyFont="1" applyBorder="1" applyAlignment="1">
      <alignment horizontal="center"/>
    </xf>
    <xf numFmtId="0" fontId="7" fillId="0" borderId="16" xfId="0" applyFont="1" applyBorder="1" applyAlignment="1">
      <alignment horizontal="left"/>
    </xf>
    <xf numFmtId="164" fontId="7" fillId="0" borderId="0" xfId="0" applyNumberFormat="1" applyFont="1" applyBorder="1" applyAlignment="1">
      <alignment horizontal="center"/>
    </xf>
    <xf numFmtId="0" fontId="7" fillId="0" borderId="0" xfId="0" applyFont="1" applyFill="1" applyBorder="1" applyAlignment="1">
      <alignment/>
    </xf>
    <xf numFmtId="165" fontId="7" fillId="0" borderId="0" xfId="0" applyNumberFormat="1" applyFont="1" applyFill="1" applyBorder="1" applyAlignment="1">
      <alignment horizontal="center"/>
    </xf>
    <xf numFmtId="0" fontId="6" fillId="0" borderId="19" xfId="0" applyFont="1" applyBorder="1" applyAlignment="1">
      <alignment horizontal="center"/>
    </xf>
    <xf numFmtId="0" fontId="6" fillId="0" borderId="20" xfId="0" applyFont="1" applyBorder="1" applyAlignment="1">
      <alignment horizontal="center"/>
    </xf>
    <xf numFmtId="0" fontId="6" fillId="0" borderId="19" xfId="0" applyFont="1" applyBorder="1" applyAlignment="1" applyProtection="1">
      <alignment horizontal="center"/>
      <protection locked="0"/>
    </xf>
    <xf numFmtId="0" fontId="6" fillId="0" borderId="19" xfId="0" applyFont="1" applyBorder="1" applyAlignment="1" applyProtection="1">
      <alignment horizontal="center"/>
      <protection/>
    </xf>
    <xf numFmtId="164" fontId="13" fillId="0" borderId="17" xfId="0" applyNumberFormat="1" applyFont="1" applyBorder="1" applyAlignment="1" applyProtection="1">
      <alignment horizontal="center"/>
      <protection locked="0"/>
    </xf>
    <xf numFmtId="0" fontId="7" fillId="0" borderId="21" xfId="0" applyFont="1" applyBorder="1" applyAlignment="1">
      <alignment horizontal="left"/>
    </xf>
    <xf numFmtId="0" fontId="7" fillId="0" borderId="16" xfId="0" applyFont="1" applyBorder="1" applyAlignment="1">
      <alignment horizontal="right"/>
    </xf>
    <xf numFmtId="0" fontId="7" fillId="0" borderId="22" xfId="0" applyFont="1" applyBorder="1" applyAlignment="1">
      <alignment horizontal="center"/>
    </xf>
    <xf numFmtId="0" fontId="7" fillId="0" borderId="22" xfId="0" applyFont="1" applyBorder="1" applyAlignment="1" applyProtection="1">
      <alignment horizontal="right"/>
      <protection/>
    </xf>
    <xf numFmtId="0" fontId="7" fillId="0" borderId="22" xfId="0" applyFont="1" applyBorder="1" applyAlignment="1" applyProtection="1">
      <alignment horizontal="left"/>
      <protection/>
    </xf>
    <xf numFmtId="0" fontId="7" fillId="0" borderId="0" xfId="0" applyFont="1" applyBorder="1" applyAlignment="1">
      <alignment/>
    </xf>
    <xf numFmtId="164" fontId="13" fillId="0" borderId="23" xfId="0" applyNumberFormat="1" applyFont="1" applyBorder="1" applyAlignment="1" applyProtection="1">
      <alignment horizontal="center"/>
      <protection locked="0"/>
    </xf>
    <xf numFmtId="0" fontId="7" fillId="0" borderId="16" xfId="0" applyFont="1" applyBorder="1" applyAlignment="1">
      <alignment/>
    </xf>
    <xf numFmtId="164" fontId="6" fillId="0" borderId="24" xfId="0" applyNumberFormat="1" applyFont="1" applyBorder="1" applyAlignment="1">
      <alignment horizontal="center"/>
    </xf>
    <xf numFmtId="0" fontId="14" fillId="0" borderId="0" xfId="0" applyFont="1" applyBorder="1" applyAlignment="1">
      <alignment horizontal="center"/>
    </xf>
    <xf numFmtId="0" fontId="7" fillId="0" borderId="0" xfId="0" applyFont="1" applyFill="1" applyBorder="1" applyAlignment="1">
      <alignment horizontal="left" vertical="center"/>
    </xf>
    <xf numFmtId="0" fontId="7" fillId="0" borderId="16" xfId="0" applyFont="1" applyFill="1" applyBorder="1" applyAlignment="1">
      <alignment horizontal="left"/>
    </xf>
    <xf numFmtId="165" fontId="6" fillId="0" borderId="17" xfId="0" applyNumberFormat="1" applyFont="1" applyBorder="1" applyAlignment="1">
      <alignment horizontal="center"/>
    </xf>
    <xf numFmtId="166" fontId="6" fillId="0" borderId="18" xfId="0" applyNumberFormat="1" applyFont="1" applyBorder="1" applyAlignment="1">
      <alignment horizontal="center"/>
    </xf>
    <xf numFmtId="0" fontId="12" fillId="0" borderId="17" xfId="0" applyFont="1" applyFill="1" applyBorder="1" applyAlignment="1">
      <alignment horizontal="center" vertical="center"/>
    </xf>
    <xf numFmtId="0" fontId="7" fillId="0" borderId="6" xfId="0" applyFont="1" applyFill="1" applyBorder="1" applyAlignment="1">
      <alignment horizontal="left" vertical="center"/>
    </xf>
    <xf numFmtId="0" fontId="6" fillId="0" borderId="25" xfId="0" applyFont="1" applyBorder="1" applyAlignment="1">
      <alignment horizontal="center"/>
    </xf>
    <xf numFmtId="0" fontId="6" fillId="0" borderId="22" xfId="0" applyFont="1" applyBorder="1" applyAlignment="1">
      <alignment horizontal="center"/>
    </xf>
    <xf numFmtId="165" fontId="6" fillId="0" borderId="23" xfId="0" applyNumberFormat="1" applyFont="1" applyBorder="1" applyAlignment="1">
      <alignment horizontal="center"/>
    </xf>
    <xf numFmtId="165" fontId="6" fillId="0" borderId="25" xfId="0" applyNumberFormat="1" applyFont="1" applyBorder="1" applyAlignment="1">
      <alignment horizontal="center"/>
    </xf>
    <xf numFmtId="165" fontId="7" fillId="0" borderId="24" xfId="0" applyNumberFormat="1" applyFont="1" applyBorder="1" applyAlignment="1">
      <alignment horizontal="center"/>
    </xf>
    <xf numFmtId="0" fontId="6" fillId="0" borderId="22" xfId="0" applyFont="1" applyBorder="1" applyAlignment="1">
      <alignment horizontal="right"/>
    </xf>
    <xf numFmtId="0" fontId="8" fillId="0" borderId="26" xfId="0" applyFont="1" applyBorder="1" applyAlignment="1">
      <alignment horizontal="left"/>
    </xf>
    <xf numFmtId="164" fontId="6" fillId="0" borderId="6" xfId="0" applyNumberFormat="1" applyFont="1" applyBorder="1" applyAlignment="1">
      <alignment horizontal="center"/>
    </xf>
    <xf numFmtId="0" fontId="7" fillId="0" borderId="11" xfId="0" applyFont="1" applyBorder="1" applyAlignment="1">
      <alignment horizontal="left"/>
    </xf>
    <xf numFmtId="0" fontId="9" fillId="0" borderId="0" xfId="0" applyFont="1" applyFill="1" applyBorder="1" applyAlignment="1">
      <alignment horizontal="center"/>
    </xf>
    <xf numFmtId="0" fontId="15" fillId="0" borderId="0" xfId="0" applyFont="1" applyFill="1" applyBorder="1" applyAlignment="1">
      <alignment/>
    </xf>
    <xf numFmtId="165" fontId="13" fillId="0" borderId="0" xfId="0" applyNumberFormat="1" applyFont="1" applyFill="1" applyBorder="1" applyAlignment="1" applyProtection="1">
      <alignment/>
      <protection locked="0"/>
    </xf>
    <xf numFmtId="0" fontId="13" fillId="0" borderId="0" xfId="0" applyFont="1" applyFill="1" applyBorder="1" applyAlignment="1" applyProtection="1">
      <alignment/>
      <protection locked="0"/>
    </xf>
    <xf numFmtId="165" fontId="6" fillId="0" borderId="0" xfId="0" applyNumberFormat="1" applyFont="1" applyFill="1" applyBorder="1" applyAlignment="1">
      <alignment/>
    </xf>
    <xf numFmtId="165" fontId="7" fillId="0" borderId="0" xfId="0" applyNumberFormat="1" applyFont="1" applyFill="1" applyBorder="1" applyAlignment="1">
      <alignment/>
    </xf>
    <xf numFmtId="166" fontId="6" fillId="0" borderId="0" xfId="0" applyNumberFormat="1" applyFont="1" applyFill="1" applyBorder="1" applyAlignment="1">
      <alignment/>
    </xf>
    <xf numFmtId="0" fontId="17" fillId="0" borderId="0" xfId="0" applyFont="1" applyFill="1" applyBorder="1" applyAlignment="1">
      <alignment/>
    </xf>
    <xf numFmtId="0" fontId="10" fillId="0" borderId="0" xfId="0" applyFont="1" applyFill="1" applyBorder="1" applyAlignment="1">
      <alignment horizontal="center"/>
    </xf>
    <xf numFmtId="0" fontId="8" fillId="0" borderId="0" xfId="0" applyFont="1" applyFill="1" applyBorder="1" applyAlignment="1">
      <alignment/>
    </xf>
    <xf numFmtId="0" fontId="7" fillId="0" borderId="0" xfId="0" applyFont="1" applyFill="1" applyBorder="1" applyAlignment="1">
      <alignment horizontal="left"/>
    </xf>
    <xf numFmtId="0" fontId="7" fillId="0" borderId="17" xfId="0" applyFont="1" applyFill="1" applyBorder="1" applyAlignment="1">
      <alignment horizontal="left"/>
    </xf>
    <xf numFmtId="0" fontId="6" fillId="0" borderId="16" xfId="0" applyFont="1" applyFill="1" applyBorder="1" applyAlignment="1">
      <alignment horizontal="right"/>
    </xf>
    <xf numFmtId="165" fontId="6" fillId="0" borderId="17" xfId="0" applyNumberFormat="1" applyFont="1" applyFill="1" applyBorder="1" applyAlignment="1">
      <alignment/>
    </xf>
    <xf numFmtId="0" fontId="7" fillId="0" borderId="16" xfId="0" applyFont="1" applyFill="1" applyBorder="1" applyAlignment="1">
      <alignment/>
    </xf>
    <xf numFmtId="165" fontId="7" fillId="0" borderId="17" xfId="0" applyNumberFormat="1" applyFont="1" applyFill="1" applyBorder="1" applyAlignment="1">
      <alignment/>
    </xf>
    <xf numFmtId="0" fontId="7" fillId="0" borderId="15" xfId="0" applyFont="1" applyFill="1" applyBorder="1" applyAlignment="1">
      <alignment horizontal="left"/>
    </xf>
    <xf numFmtId="0" fontId="7" fillId="0" borderId="26" xfId="0" applyFont="1" applyFill="1" applyBorder="1" applyAlignment="1">
      <alignment horizontal="left"/>
    </xf>
    <xf numFmtId="0" fontId="7" fillId="0" borderId="27" xfId="0" applyFont="1" applyFill="1" applyBorder="1" applyAlignment="1">
      <alignment horizontal="left"/>
    </xf>
    <xf numFmtId="165" fontId="6" fillId="0" borderId="17" xfId="0" applyNumberFormat="1" applyFont="1" applyFill="1" applyBorder="1" applyAlignment="1" applyProtection="1">
      <alignment/>
      <protection/>
    </xf>
    <xf numFmtId="165" fontId="7" fillId="0" borderId="17" xfId="0" applyNumberFormat="1" applyFont="1" applyFill="1" applyBorder="1" applyAlignment="1" applyProtection="1">
      <alignment/>
      <protection/>
    </xf>
    <xf numFmtId="0" fontId="7" fillId="0" borderId="28" xfId="0" applyFont="1" applyFill="1" applyBorder="1" applyAlignment="1">
      <alignment/>
    </xf>
    <xf numFmtId="0" fontId="7" fillId="0" borderId="6" xfId="0" applyFont="1" applyFill="1" applyBorder="1" applyAlignment="1">
      <alignment/>
    </xf>
    <xf numFmtId="0" fontId="15" fillId="0" borderId="0" xfId="0" applyFont="1" applyFill="1" applyBorder="1" applyAlignment="1">
      <alignment horizontal="center"/>
    </xf>
    <xf numFmtId="44" fontId="6" fillId="0" borderId="0" xfId="46" applyFont="1" applyFill="1" applyBorder="1" applyAlignment="1">
      <alignment/>
    </xf>
    <xf numFmtId="44" fontId="7" fillId="0" borderId="0" xfId="46" applyFont="1" applyFill="1" applyBorder="1" applyAlignment="1">
      <alignment/>
    </xf>
    <xf numFmtId="0" fontId="15" fillId="0" borderId="20" xfId="0" applyFont="1" applyFill="1" applyBorder="1" applyAlignment="1">
      <alignment horizontal="center"/>
    </xf>
    <xf numFmtId="44" fontId="6" fillId="0" borderId="20" xfId="46" applyFont="1" applyFill="1" applyBorder="1" applyAlignment="1">
      <alignment/>
    </xf>
    <xf numFmtId="0" fontId="16" fillId="0" borderId="19" xfId="0" applyFont="1" applyFill="1" applyBorder="1" applyAlignment="1">
      <alignment horizontal="center"/>
    </xf>
    <xf numFmtId="44" fontId="7" fillId="0" borderId="19" xfId="46" applyFont="1" applyFill="1" applyBorder="1" applyAlignment="1">
      <alignment/>
    </xf>
    <xf numFmtId="0" fontId="7" fillId="0" borderId="21" xfId="0" applyFont="1" applyFill="1" applyBorder="1" applyAlignment="1">
      <alignment/>
    </xf>
    <xf numFmtId="44" fontId="6" fillId="0" borderId="25" xfId="46" applyFont="1" applyFill="1" applyBorder="1" applyAlignment="1">
      <alignment/>
    </xf>
    <xf numFmtId="0" fontId="7" fillId="0" borderId="22" xfId="0" applyFont="1" applyFill="1" applyBorder="1" applyAlignment="1">
      <alignment/>
    </xf>
    <xf numFmtId="44" fontId="7" fillId="0" borderId="23" xfId="46" applyFont="1" applyFill="1" applyBorder="1" applyAlignment="1">
      <alignment/>
    </xf>
    <xf numFmtId="167" fontId="6" fillId="0" borderId="16" xfId="0" applyNumberFormat="1" applyFont="1" applyFill="1" applyBorder="1" applyAlignment="1">
      <alignment horizontal="right"/>
    </xf>
    <xf numFmtId="44" fontId="6" fillId="0" borderId="17" xfId="46" applyFont="1" applyFill="1" applyBorder="1" applyAlignment="1">
      <alignment/>
    </xf>
    <xf numFmtId="167" fontId="7" fillId="0" borderId="22" xfId="0" applyNumberFormat="1" applyFont="1" applyFill="1" applyBorder="1" applyAlignment="1">
      <alignment horizontal="left"/>
    </xf>
    <xf numFmtId="0" fontId="7" fillId="0" borderId="16" xfId="0" applyFont="1" applyFill="1" applyBorder="1" applyAlignment="1">
      <alignment horizontal="right"/>
    </xf>
    <xf numFmtId="0" fontId="7" fillId="0" borderId="28" xfId="0" applyFont="1" applyFill="1" applyBorder="1" applyAlignment="1">
      <alignment horizontal="left"/>
    </xf>
    <xf numFmtId="44" fontId="7" fillId="0" borderId="6" xfId="46" applyFont="1" applyFill="1" applyBorder="1" applyAlignment="1">
      <alignment/>
    </xf>
    <xf numFmtId="44" fontId="7" fillId="0" borderId="18" xfId="46" applyFont="1" applyFill="1" applyBorder="1" applyAlignment="1">
      <alignment/>
    </xf>
    <xf numFmtId="0" fontId="15" fillId="0" borderId="0" xfId="0" applyFont="1" applyFill="1" applyBorder="1" applyAlignment="1" applyProtection="1">
      <alignment horizontal="center"/>
      <protection/>
    </xf>
    <xf numFmtId="3" fontId="6" fillId="0" borderId="0" xfId="0" applyNumberFormat="1" applyFont="1" applyFill="1" applyBorder="1" applyAlignment="1" applyProtection="1">
      <alignment/>
      <protection/>
    </xf>
    <xf numFmtId="3" fontId="7" fillId="0" borderId="0" xfId="0" applyNumberFormat="1" applyFont="1" applyFill="1" applyBorder="1" applyAlignment="1" applyProtection="1">
      <alignment/>
      <protection/>
    </xf>
    <xf numFmtId="166" fontId="6" fillId="0" borderId="0" xfId="0" applyNumberFormat="1" applyFont="1" applyFill="1" applyBorder="1" applyAlignment="1" applyProtection="1">
      <alignment/>
      <protection/>
    </xf>
    <xf numFmtId="0" fontId="9" fillId="0" borderId="0" xfId="0" applyFont="1" applyFill="1" applyBorder="1" applyAlignment="1" applyProtection="1">
      <alignment horizontal="center"/>
      <protection/>
    </xf>
    <xf numFmtId="0" fontId="12" fillId="0" borderId="0" xfId="0" applyFont="1" applyFill="1" applyBorder="1" applyAlignment="1" applyProtection="1">
      <alignment horizontal="center"/>
      <protection/>
    </xf>
    <xf numFmtId="9" fontId="11" fillId="0" borderId="0" xfId="0" applyNumberFormat="1" applyFont="1" applyFill="1" applyBorder="1" applyAlignment="1" applyProtection="1">
      <alignment horizontal="center"/>
      <protection locked="0"/>
    </xf>
    <xf numFmtId="166" fontId="6" fillId="0" borderId="17" xfId="0" applyNumberFormat="1" applyFont="1" applyFill="1" applyBorder="1" applyAlignment="1" applyProtection="1">
      <alignment/>
      <protection/>
    </xf>
    <xf numFmtId="0" fontId="6" fillId="0" borderId="28" xfId="0" applyFont="1" applyFill="1" applyBorder="1" applyAlignment="1">
      <alignment/>
    </xf>
    <xf numFmtId="0" fontId="6" fillId="0" borderId="6" xfId="0" applyFont="1" applyFill="1" applyBorder="1" applyAlignment="1">
      <alignment/>
    </xf>
    <xf numFmtId="166" fontId="7" fillId="0" borderId="0" xfId="0" applyNumberFormat="1" applyFont="1" applyFill="1" applyBorder="1" applyAlignment="1" applyProtection="1">
      <alignment/>
      <protection/>
    </xf>
    <xf numFmtId="3" fontId="12" fillId="0" borderId="0" xfId="0" applyNumberFormat="1" applyFont="1" applyFill="1" applyBorder="1" applyAlignment="1">
      <alignment horizontal="center"/>
    </xf>
    <xf numFmtId="3" fontId="9" fillId="0" borderId="0" xfId="0" applyNumberFormat="1" applyFont="1" applyFill="1" applyBorder="1" applyAlignment="1">
      <alignment horizontal="center"/>
    </xf>
    <xf numFmtId="3" fontId="7" fillId="0" borderId="0" xfId="0" applyNumberFormat="1" applyFont="1" applyFill="1" applyBorder="1" applyAlignment="1">
      <alignment horizontal="center"/>
    </xf>
    <xf numFmtId="3" fontId="6" fillId="0" borderId="0" xfId="0" applyNumberFormat="1" applyFont="1" applyFill="1" applyBorder="1" applyAlignment="1">
      <alignment horizontal="center"/>
    </xf>
    <xf numFmtId="3" fontId="6" fillId="0" borderId="0" xfId="0" applyNumberFormat="1" applyFont="1" applyFill="1" applyBorder="1" applyAlignment="1">
      <alignment horizontal="right"/>
    </xf>
    <xf numFmtId="165" fontId="7" fillId="0" borderId="0" xfId="0" applyNumberFormat="1" applyFont="1" applyFill="1" applyBorder="1" applyAlignment="1">
      <alignment horizontal="left"/>
    </xf>
    <xf numFmtId="165" fontId="6" fillId="0" borderId="0" xfId="0" applyNumberFormat="1" applyFont="1" applyFill="1" applyBorder="1" applyAlignment="1">
      <alignment horizontal="left"/>
    </xf>
    <xf numFmtId="165" fontId="7" fillId="0" borderId="0" xfId="0" applyNumberFormat="1" applyFont="1" applyFill="1" applyBorder="1" applyAlignment="1">
      <alignment horizontal="right"/>
    </xf>
    <xf numFmtId="10" fontId="6" fillId="0" borderId="0" xfId="71" applyNumberFormat="1" applyFont="1" applyFill="1" applyBorder="1" applyAlignment="1">
      <alignment horizontal="center"/>
    </xf>
    <xf numFmtId="9" fontId="6" fillId="0" borderId="0" xfId="71" applyFont="1" applyFill="1" applyBorder="1" applyAlignment="1">
      <alignment horizontal="center"/>
    </xf>
    <xf numFmtId="164" fontId="6" fillId="0" borderId="0" xfId="0" applyNumberFormat="1" applyFont="1" applyFill="1" applyBorder="1" applyAlignment="1">
      <alignment horizontal="right"/>
    </xf>
    <xf numFmtId="3" fontId="7" fillId="0" borderId="15" xfId="0" applyNumberFormat="1" applyFont="1" applyFill="1" applyBorder="1" applyAlignment="1">
      <alignment horizontal="left"/>
    </xf>
    <xf numFmtId="3" fontId="6" fillId="0" borderId="26" xfId="0" applyNumberFormat="1" applyFont="1" applyFill="1" applyBorder="1" applyAlignment="1">
      <alignment horizontal="center"/>
    </xf>
    <xf numFmtId="3" fontId="6" fillId="0" borderId="26" xfId="0" applyNumberFormat="1" applyFont="1" applyFill="1" applyBorder="1" applyAlignment="1">
      <alignment horizontal="left"/>
    </xf>
    <xf numFmtId="3" fontId="7" fillId="0" borderId="26" xfId="0" applyNumberFormat="1" applyFont="1" applyFill="1" applyBorder="1" applyAlignment="1">
      <alignment horizontal="center"/>
    </xf>
    <xf numFmtId="3" fontId="7" fillId="0" borderId="27" xfId="0" applyNumberFormat="1" applyFont="1" applyFill="1" applyBorder="1" applyAlignment="1">
      <alignment horizontal="center"/>
    </xf>
    <xf numFmtId="3" fontId="6" fillId="0" borderId="16" xfId="0" applyNumberFormat="1" applyFont="1" applyFill="1" applyBorder="1" applyAlignment="1">
      <alignment horizontal="left"/>
    </xf>
    <xf numFmtId="165" fontId="7" fillId="0" borderId="16" xfId="0" applyNumberFormat="1" applyFont="1" applyFill="1" applyBorder="1" applyAlignment="1">
      <alignment horizontal="left"/>
    </xf>
    <xf numFmtId="165" fontId="7" fillId="0" borderId="17" xfId="0" applyNumberFormat="1" applyFont="1" applyFill="1" applyBorder="1" applyAlignment="1">
      <alignment horizontal="center"/>
    </xf>
    <xf numFmtId="165" fontId="7" fillId="0" borderId="28" xfId="0" applyNumberFormat="1" applyFont="1" applyFill="1" applyBorder="1" applyAlignment="1">
      <alignment horizontal="left"/>
    </xf>
    <xf numFmtId="165" fontId="6" fillId="0" borderId="6" xfId="0" applyNumberFormat="1" applyFont="1" applyFill="1" applyBorder="1" applyAlignment="1">
      <alignment horizontal="left"/>
    </xf>
    <xf numFmtId="165" fontId="7" fillId="0" borderId="6" xfId="0" applyNumberFormat="1" applyFont="1" applyFill="1" applyBorder="1" applyAlignment="1">
      <alignment horizontal="left"/>
    </xf>
    <xf numFmtId="165" fontId="6" fillId="0" borderId="6" xfId="0" applyNumberFormat="1" applyFont="1" applyFill="1" applyBorder="1" applyAlignment="1">
      <alignment horizontal="center"/>
    </xf>
    <xf numFmtId="165" fontId="7" fillId="0" borderId="15" xfId="0" applyNumberFormat="1" applyFont="1" applyFill="1" applyBorder="1" applyAlignment="1">
      <alignment horizontal="left"/>
    </xf>
    <xf numFmtId="165" fontId="6" fillId="0" borderId="26" xfId="0" applyNumberFormat="1" applyFont="1" applyFill="1" applyBorder="1" applyAlignment="1">
      <alignment horizontal="left"/>
    </xf>
    <xf numFmtId="165" fontId="7" fillId="0" borderId="26" xfId="0" applyNumberFormat="1" applyFont="1" applyFill="1" applyBorder="1" applyAlignment="1">
      <alignment horizontal="left"/>
    </xf>
    <xf numFmtId="165" fontId="6" fillId="0" borderId="26" xfId="0" applyNumberFormat="1" applyFont="1" applyFill="1" applyBorder="1" applyAlignment="1">
      <alignment horizontal="center"/>
    </xf>
    <xf numFmtId="165" fontId="6" fillId="0" borderId="27" xfId="0" applyNumberFormat="1" applyFont="1" applyFill="1" applyBorder="1" applyAlignment="1">
      <alignment horizontal="center"/>
    </xf>
    <xf numFmtId="165" fontId="7" fillId="0" borderId="29" xfId="0" applyNumberFormat="1" applyFont="1" applyFill="1" applyBorder="1" applyAlignment="1">
      <alignment horizontal="left"/>
    </xf>
    <xf numFmtId="165" fontId="6" fillId="0" borderId="5" xfId="0" applyNumberFormat="1" applyFont="1" applyFill="1" applyBorder="1" applyAlignment="1">
      <alignment horizontal="center"/>
    </xf>
    <xf numFmtId="165" fontId="7" fillId="0" borderId="5" xfId="0" applyNumberFormat="1" applyFont="1" applyFill="1" applyBorder="1" applyAlignment="1">
      <alignment horizontal="left"/>
    </xf>
    <xf numFmtId="165" fontId="7" fillId="0" borderId="5" xfId="0" applyNumberFormat="1" applyFont="1" applyFill="1" applyBorder="1" applyAlignment="1">
      <alignment horizontal="right"/>
    </xf>
    <xf numFmtId="165" fontId="7" fillId="0" borderId="5" xfId="0" applyNumberFormat="1" applyFont="1" applyFill="1" applyBorder="1" applyAlignment="1">
      <alignment horizontal="center"/>
    </xf>
    <xf numFmtId="165" fontId="7" fillId="0" borderId="30" xfId="0" applyNumberFormat="1" applyFont="1" applyFill="1" applyBorder="1" applyAlignment="1">
      <alignment horizontal="center"/>
    </xf>
    <xf numFmtId="0" fontId="6" fillId="0" borderId="16" xfId="0" applyFont="1" applyFill="1" applyBorder="1" applyAlignment="1">
      <alignment/>
    </xf>
    <xf numFmtId="165" fontId="6" fillId="0" borderId="6" xfId="0" applyNumberFormat="1" applyFont="1" applyFill="1" applyBorder="1" applyAlignment="1">
      <alignment/>
    </xf>
    <xf numFmtId="0" fontId="7" fillId="0" borderId="26" xfId="0" applyFont="1" applyFill="1" applyBorder="1" applyAlignment="1">
      <alignment horizontal="right"/>
    </xf>
    <xf numFmtId="165" fontId="7" fillId="0" borderId="26" xfId="0" applyNumberFormat="1" applyFont="1" applyFill="1" applyBorder="1" applyAlignment="1">
      <alignment horizontal="center"/>
    </xf>
    <xf numFmtId="165" fontId="7" fillId="0" borderId="27" xfId="0" applyNumberFormat="1" applyFont="1" applyFill="1" applyBorder="1" applyAlignment="1">
      <alignment horizontal="center"/>
    </xf>
    <xf numFmtId="165" fontId="6" fillId="0" borderId="5" xfId="0" applyNumberFormat="1" applyFont="1" applyFill="1" applyBorder="1" applyAlignment="1">
      <alignment/>
    </xf>
    <xf numFmtId="165" fontId="6" fillId="0" borderId="5" xfId="0" applyNumberFormat="1" applyFont="1" applyFill="1" applyBorder="1" applyAlignment="1">
      <alignment horizontal="left"/>
    </xf>
    <xf numFmtId="165" fontId="6" fillId="0" borderId="16" xfId="0" applyNumberFormat="1" applyFont="1" applyFill="1" applyBorder="1" applyAlignment="1">
      <alignment/>
    </xf>
    <xf numFmtId="165" fontId="6" fillId="0" borderId="28" xfId="0" applyNumberFormat="1" applyFont="1" applyFill="1" applyBorder="1" applyAlignment="1">
      <alignment horizontal="center"/>
    </xf>
    <xf numFmtId="165" fontId="7" fillId="0" borderId="6" xfId="0" applyNumberFormat="1" applyFont="1" applyFill="1" applyBorder="1" applyAlignment="1">
      <alignment horizontal="center"/>
    </xf>
    <xf numFmtId="165" fontId="7" fillId="0" borderId="18" xfId="0" applyNumberFormat="1" applyFont="1" applyFill="1" applyBorder="1" applyAlignment="1">
      <alignment horizontal="center"/>
    </xf>
    <xf numFmtId="165" fontId="6" fillId="0" borderId="15" xfId="0" applyNumberFormat="1" applyFont="1" applyFill="1" applyBorder="1" applyAlignment="1">
      <alignment/>
    </xf>
    <xf numFmtId="0" fontId="6" fillId="0" borderId="6" xfId="0" applyFont="1" applyFill="1" applyBorder="1" applyAlignment="1">
      <alignment horizontal="right"/>
    </xf>
    <xf numFmtId="9" fontId="6" fillId="0" borderId="6" xfId="0" applyNumberFormat="1" applyFont="1" applyFill="1" applyBorder="1" applyAlignment="1">
      <alignment horizontal="center"/>
    </xf>
    <xf numFmtId="165" fontId="7" fillId="0" borderId="6" xfId="0" applyNumberFormat="1" applyFont="1" applyFill="1" applyBorder="1" applyAlignment="1">
      <alignment/>
    </xf>
    <xf numFmtId="0" fontId="7" fillId="0" borderId="6" xfId="0" applyFont="1" applyFill="1" applyBorder="1" applyAlignment="1">
      <alignment horizontal="right"/>
    </xf>
    <xf numFmtId="165" fontId="6" fillId="0" borderId="16" xfId="0" applyNumberFormat="1" applyFont="1" applyFill="1" applyBorder="1" applyAlignment="1">
      <alignment horizontal="left"/>
    </xf>
    <xf numFmtId="165" fontId="9" fillId="0" borderId="0" xfId="0" applyNumberFormat="1" applyFont="1" applyFill="1" applyBorder="1" applyAlignment="1">
      <alignment horizontal="center"/>
    </xf>
    <xf numFmtId="165" fontId="9" fillId="0" borderId="0" xfId="0" applyNumberFormat="1" applyFont="1" applyFill="1" applyBorder="1" applyAlignment="1">
      <alignment/>
    </xf>
    <xf numFmtId="165" fontId="7" fillId="0" borderId="28" xfId="0" applyNumberFormat="1" applyFont="1" applyFill="1" applyBorder="1" applyAlignment="1">
      <alignment/>
    </xf>
    <xf numFmtId="0" fontId="16" fillId="0" borderId="6" xfId="0" applyFont="1" applyFill="1" applyBorder="1" applyAlignment="1">
      <alignment horizontal="center"/>
    </xf>
    <xf numFmtId="0" fontId="13" fillId="0" borderId="23" xfId="0" applyFont="1" applyBorder="1" applyAlignment="1" applyProtection="1">
      <alignment horizontal="center"/>
      <protection locked="0"/>
    </xf>
    <xf numFmtId="169" fontId="6" fillId="0" borderId="19" xfId="0" applyNumberFormat="1" applyFont="1" applyBorder="1" applyAlignment="1" applyProtection="1">
      <alignment horizontal="center"/>
      <protection locked="0"/>
    </xf>
    <xf numFmtId="0" fontId="6" fillId="0" borderId="0" xfId="0" applyFont="1" applyBorder="1" applyAlignment="1">
      <alignment horizontal="left"/>
    </xf>
    <xf numFmtId="0" fontId="14" fillId="0" borderId="0" xfId="0" applyFont="1" applyBorder="1" applyAlignment="1">
      <alignment/>
    </xf>
    <xf numFmtId="165" fontId="6" fillId="0" borderId="17" xfId="0" applyNumberFormat="1" applyFont="1" applyBorder="1" applyAlignment="1" applyProtection="1">
      <alignment horizontal="center"/>
      <protection locked="0"/>
    </xf>
    <xf numFmtId="0" fontId="7" fillId="0" borderId="0" xfId="0" applyFont="1" applyBorder="1" applyAlignment="1">
      <alignment horizontal="right"/>
    </xf>
    <xf numFmtId="193" fontId="7" fillId="0" borderId="0" xfId="43" applyNumberFormat="1" applyFont="1" applyBorder="1" applyAlignment="1">
      <alignment horizontal="center"/>
    </xf>
    <xf numFmtId="165" fontId="6" fillId="0" borderId="0" xfId="46" applyNumberFormat="1" applyFont="1" applyBorder="1" applyAlignment="1">
      <alignment horizontal="center"/>
    </xf>
    <xf numFmtId="165" fontId="7" fillId="0" borderId="0" xfId="46" applyNumberFormat="1" applyFont="1" applyBorder="1" applyAlignment="1">
      <alignment horizontal="center"/>
    </xf>
    <xf numFmtId="165" fontId="6" fillId="0" borderId="20" xfId="0" applyNumberFormat="1" applyFont="1" applyBorder="1" applyAlignment="1" applyProtection="1">
      <alignment horizontal="center"/>
      <protection locked="0"/>
    </xf>
    <xf numFmtId="165" fontId="6" fillId="0" borderId="0" xfId="0" applyNumberFormat="1" applyFont="1" applyBorder="1" applyAlignment="1" applyProtection="1">
      <alignment horizontal="center"/>
      <protection locked="0"/>
    </xf>
    <xf numFmtId="0" fontId="6" fillId="0" borderId="16" xfId="0" applyFont="1" applyFill="1" applyBorder="1" applyAlignment="1">
      <alignment horizontal="left"/>
    </xf>
    <xf numFmtId="0" fontId="6" fillId="0" borderId="28" xfId="0" applyFont="1" applyFill="1" applyBorder="1" applyAlignment="1">
      <alignment horizontal="left"/>
    </xf>
    <xf numFmtId="3" fontId="6" fillId="0" borderId="18" xfId="0" applyNumberFormat="1" applyFont="1" applyBorder="1" applyAlignment="1">
      <alignment horizontal="center"/>
    </xf>
    <xf numFmtId="165" fontId="15" fillId="0" borderId="0" xfId="67" applyNumberFormat="1" applyFont="1">
      <alignment/>
      <protection/>
    </xf>
    <xf numFmtId="0" fontId="15" fillId="0" borderId="0" xfId="67" applyFont="1">
      <alignment/>
      <protection/>
    </xf>
    <xf numFmtId="0" fontId="15" fillId="0" borderId="0" xfId="67" applyNumberFormat="1" applyFont="1" applyAlignment="1">
      <alignment horizontal="center"/>
      <protection/>
    </xf>
    <xf numFmtId="165" fontId="15" fillId="0" borderId="0" xfId="67" applyNumberFormat="1" applyFont="1" applyAlignment="1">
      <alignment horizontal="right"/>
      <protection/>
    </xf>
    <xf numFmtId="10" fontId="15" fillId="0" borderId="0" xfId="67" applyNumberFormat="1" applyFont="1">
      <alignment/>
      <protection/>
    </xf>
    <xf numFmtId="0" fontId="15" fillId="0" borderId="0" xfId="67" applyNumberFormat="1" applyFont="1">
      <alignment/>
      <protection/>
    </xf>
    <xf numFmtId="165" fontId="15" fillId="0" borderId="0" xfId="67" applyNumberFormat="1" applyFont="1" applyAlignment="1">
      <alignment horizontal="center"/>
      <protection/>
    </xf>
    <xf numFmtId="164" fontId="15" fillId="0" borderId="0" xfId="72" applyNumberFormat="1" applyFont="1" applyAlignment="1">
      <alignment horizontal="center"/>
    </xf>
    <xf numFmtId="0" fontId="6" fillId="0" borderId="0" xfId="0" applyFont="1" applyAlignment="1">
      <alignment/>
    </xf>
    <xf numFmtId="0" fontId="7" fillId="0" borderId="0" xfId="0" applyFont="1" applyAlignment="1">
      <alignment horizontal="center"/>
    </xf>
    <xf numFmtId="0" fontId="6" fillId="0" borderId="0" xfId="0" applyFont="1" applyAlignment="1">
      <alignment horizontal="right"/>
    </xf>
    <xf numFmtId="10" fontId="6" fillId="0" borderId="0" xfId="0" applyNumberFormat="1" applyFont="1" applyAlignment="1">
      <alignment horizontal="right"/>
    </xf>
    <xf numFmtId="0" fontId="7" fillId="0" borderId="0" xfId="0" applyFont="1" applyAlignment="1">
      <alignment horizontal="right"/>
    </xf>
    <xf numFmtId="10" fontId="6" fillId="0" borderId="0" xfId="71" applyNumberFormat="1" applyFont="1" applyAlignment="1">
      <alignment horizontal="right"/>
    </xf>
    <xf numFmtId="166" fontId="6" fillId="0" borderId="0" xfId="0" applyNumberFormat="1" applyFont="1" applyAlignment="1">
      <alignment horizontal="right"/>
    </xf>
    <xf numFmtId="0" fontId="6" fillId="0" borderId="0" xfId="0" applyFont="1" applyAlignment="1">
      <alignment horizontal="left"/>
    </xf>
    <xf numFmtId="0" fontId="65" fillId="0" borderId="0" xfId="0" applyFont="1" applyAlignment="1">
      <alignment/>
    </xf>
    <xf numFmtId="166" fontId="66" fillId="0" borderId="0" xfId="0" applyNumberFormat="1" applyFont="1" applyAlignment="1">
      <alignment horizontal="right"/>
    </xf>
    <xf numFmtId="9" fontId="66" fillId="0" borderId="0" xfId="71" applyFont="1" applyAlignment="1">
      <alignment horizontal="right"/>
    </xf>
    <xf numFmtId="0" fontId="14" fillId="0" borderId="0" xfId="0" applyFont="1" applyAlignment="1">
      <alignment/>
    </xf>
    <xf numFmtId="0" fontId="14" fillId="0" borderId="0" xfId="0" applyFont="1" applyAlignment="1">
      <alignment horizontal="right"/>
    </xf>
    <xf numFmtId="0" fontId="6" fillId="0" borderId="16" xfId="0" applyFont="1" applyFill="1" applyBorder="1" applyAlignment="1" applyProtection="1">
      <alignment horizontal="right"/>
      <protection/>
    </xf>
    <xf numFmtId="0" fontId="6" fillId="0" borderId="0" xfId="0" applyFont="1" applyFill="1" applyBorder="1" applyAlignment="1" applyProtection="1">
      <alignment horizontal="right"/>
      <protection/>
    </xf>
    <xf numFmtId="0" fontId="14" fillId="0" borderId="0" xfId="0" applyFont="1" applyFill="1" applyBorder="1" applyAlignment="1">
      <alignment horizontal="center"/>
    </xf>
    <xf numFmtId="0" fontId="6" fillId="0" borderId="6" xfId="0" applyFont="1" applyBorder="1" applyAlignment="1">
      <alignment horizontal="left"/>
    </xf>
    <xf numFmtId="166" fontId="6" fillId="0" borderId="0" xfId="0" applyNumberFormat="1" applyFont="1" applyBorder="1" applyAlignment="1" applyProtection="1">
      <alignment horizontal="center"/>
      <protection locked="0"/>
    </xf>
    <xf numFmtId="164" fontId="6" fillId="0" borderId="20" xfId="0" applyNumberFormat="1" applyFont="1" applyBorder="1" applyAlignment="1" applyProtection="1">
      <alignment horizontal="center"/>
      <protection locked="0"/>
    </xf>
    <xf numFmtId="164" fontId="6" fillId="0" borderId="0" xfId="0" applyNumberFormat="1" applyFont="1" applyBorder="1" applyAlignment="1" applyProtection="1">
      <alignment horizontal="center"/>
      <protection locked="0"/>
    </xf>
    <xf numFmtId="0" fontId="6" fillId="0" borderId="0" xfId="0" applyFont="1" applyBorder="1" applyAlignment="1" applyProtection="1">
      <alignment horizontal="center"/>
      <protection locked="0"/>
    </xf>
    <xf numFmtId="166" fontId="6" fillId="0" borderId="20" xfId="0" applyNumberFormat="1" applyFont="1" applyBorder="1" applyAlignment="1" applyProtection="1">
      <alignment horizontal="center"/>
      <protection locked="0"/>
    </xf>
    <xf numFmtId="0" fontId="7" fillId="0" borderId="28" xfId="0" applyFont="1" applyBorder="1" applyAlignment="1">
      <alignment/>
    </xf>
    <xf numFmtId="0" fontId="6" fillId="0" borderId="21" xfId="0" applyFont="1" applyBorder="1" applyAlignment="1">
      <alignment horizontal="left"/>
    </xf>
    <xf numFmtId="0" fontId="6" fillId="0" borderId="16" xfId="0" applyFont="1" applyBorder="1" applyAlignment="1">
      <alignment horizontal="left"/>
    </xf>
    <xf numFmtId="0" fontId="6" fillId="0" borderId="17" xfId="0" applyFont="1" applyFill="1" applyBorder="1" applyAlignment="1">
      <alignment horizontal="center"/>
    </xf>
    <xf numFmtId="0" fontId="6" fillId="0" borderId="18" xfId="0" applyFont="1" applyFill="1" applyBorder="1" applyAlignment="1">
      <alignment horizontal="center"/>
    </xf>
    <xf numFmtId="165" fontId="7" fillId="0" borderId="17" xfId="0" applyNumberFormat="1" applyFont="1" applyBorder="1" applyAlignment="1">
      <alignment horizontal="center"/>
    </xf>
    <xf numFmtId="0" fontId="6" fillId="0" borderId="16" xfId="0" applyFont="1" applyBorder="1" applyAlignment="1">
      <alignment/>
    </xf>
    <xf numFmtId="9" fontId="6" fillId="0" borderId="0" xfId="0" applyNumberFormat="1" applyFont="1" applyFill="1" applyBorder="1" applyAlignment="1">
      <alignment/>
    </xf>
    <xf numFmtId="0" fontId="7" fillId="0" borderId="0" xfId="0" applyFont="1" applyFill="1" applyBorder="1" applyAlignment="1">
      <alignment horizontal="right"/>
    </xf>
    <xf numFmtId="0" fontId="7" fillId="0" borderId="0" xfId="0" applyFont="1" applyAlignment="1" applyProtection="1">
      <alignment horizontal="center"/>
      <protection/>
    </xf>
    <xf numFmtId="0" fontId="6" fillId="0" borderId="0" xfId="0" applyFont="1" applyAlignment="1" applyProtection="1">
      <alignment/>
      <protection/>
    </xf>
    <xf numFmtId="0" fontId="7" fillId="0" borderId="0" xfId="0" applyFont="1" applyAlignment="1" applyProtection="1">
      <alignment/>
      <protection/>
    </xf>
    <xf numFmtId="6" fontId="6" fillId="0" borderId="0" xfId="0" applyNumberFormat="1" applyFont="1" applyAlignment="1" applyProtection="1">
      <alignment/>
      <protection/>
    </xf>
    <xf numFmtId="6" fontId="6" fillId="0" borderId="0" xfId="0" applyNumberFormat="1" applyFont="1" applyFill="1" applyAlignment="1" applyProtection="1">
      <alignment/>
      <protection/>
    </xf>
    <xf numFmtId="0" fontId="6" fillId="0" borderId="0" xfId="0" applyFont="1" applyAlignment="1" applyProtection="1">
      <alignment horizontal="center"/>
      <protection/>
    </xf>
    <xf numFmtId="0" fontId="6" fillId="0" borderId="0" xfId="0" applyNumberFormat="1" applyFont="1" applyAlignment="1" applyProtection="1">
      <alignment/>
      <protection/>
    </xf>
    <xf numFmtId="44" fontId="6" fillId="0" borderId="0" xfId="0" applyNumberFormat="1" applyFont="1" applyFill="1" applyAlignment="1" applyProtection="1">
      <alignment/>
      <protection/>
    </xf>
    <xf numFmtId="6" fontId="7" fillId="0" borderId="0" xfId="0" applyNumberFormat="1" applyFont="1" applyAlignment="1" applyProtection="1">
      <alignment horizontal="center"/>
      <protection/>
    </xf>
    <xf numFmtId="10" fontId="6" fillId="0" borderId="0" xfId="0" applyNumberFormat="1" applyFont="1" applyFill="1" applyAlignment="1" applyProtection="1">
      <alignment/>
      <protection/>
    </xf>
    <xf numFmtId="165" fontId="6" fillId="0" borderId="0" xfId="0" applyNumberFormat="1" applyFont="1" applyFill="1" applyAlignment="1" applyProtection="1">
      <alignment/>
      <protection/>
    </xf>
    <xf numFmtId="10" fontId="6" fillId="0" borderId="0" xfId="0" applyNumberFormat="1" applyFont="1" applyAlignment="1" applyProtection="1">
      <alignment vertical="top" wrapText="1"/>
      <protection/>
    </xf>
    <xf numFmtId="10" fontId="6" fillId="0" borderId="0" xfId="0" applyNumberFormat="1" applyFont="1" applyBorder="1" applyAlignment="1">
      <alignment/>
    </xf>
    <xf numFmtId="10" fontId="6" fillId="0" borderId="0" xfId="71" applyNumberFormat="1" applyFont="1" applyBorder="1" applyAlignment="1">
      <alignment/>
    </xf>
    <xf numFmtId="0" fontId="7" fillId="0" borderId="31" xfId="0" applyFont="1" applyFill="1" applyBorder="1" applyAlignment="1">
      <alignment/>
    </xf>
    <xf numFmtId="0" fontId="15" fillId="0" borderId="11" xfId="0" applyFont="1" applyFill="1" applyBorder="1" applyAlignment="1">
      <alignment horizontal="center"/>
    </xf>
    <xf numFmtId="44" fontId="6" fillId="0" borderId="11" xfId="46" applyFont="1" applyFill="1" applyBorder="1" applyAlignment="1">
      <alignment/>
    </xf>
    <xf numFmtId="3" fontId="7" fillId="0" borderId="16" xfId="0" applyNumberFormat="1" applyFont="1" applyFill="1" applyBorder="1" applyAlignment="1">
      <alignment horizontal="left"/>
    </xf>
    <xf numFmtId="0" fontId="7" fillId="0" borderId="11" xfId="0" applyFont="1" applyFill="1" applyBorder="1" applyAlignment="1">
      <alignment/>
    </xf>
    <xf numFmtId="0" fontId="6" fillId="0" borderId="0" xfId="0" applyFont="1" applyFill="1" applyBorder="1" applyAlignment="1">
      <alignment/>
    </xf>
    <xf numFmtId="165" fontId="6" fillId="0" borderId="0" xfId="0" applyNumberFormat="1" applyFont="1" applyFill="1" applyBorder="1" applyAlignment="1" applyProtection="1">
      <alignment/>
      <protection locked="0"/>
    </xf>
    <xf numFmtId="0" fontId="6" fillId="8" borderId="29" xfId="0" applyFont="1" applyFill="1" applyBorder="1" applyAlignment="1">
      <alignment/>
    </xf>
    <xf numFmtId="0" fontId="8" fillId="8" borderId="5" xfId="0" applyFont="1" applyFill="1" applyBorder="1" applyAlignment="1">
      <alignment horizontal="center"/>
    </xf>
    <xf numFmtId="0" fontId="8" fillId="8" borderId="5" xfId="0" applyFont="1" applyFill="1" applyBorder="1" applyAlignment="1">
      <alignment horizontal="left"/>
    </xf>
    <xf numFmtId="0" fontId="8" fillId="8" borderId="30" xfId="0" applyFont="1" applyFill="1" applyBorder="1" applyAlignment="1">
      <alignment horizontal="left"/>
    </xf>
    <xf numFmtId="0" fontId="7" fillId="8" borderId="16" xfId="0" applyFont="1" applyFill="1" applyBorder="1" applyAlignment="1">
      <alignment horizontal="left"/>
    </xf>
    <xf numFmtId="0" fontId="6" fillId="8" borderId="0" xfId="0" applyFont="1" applyFill="1" applyBorder="1" applyAlignment="1">
      <alignment horizontal="center"/>
    </xf>
    <xf numFmtId="0" fontId="6" fillId="8" borderId="17" xfId="0" applyFont="1" applyFill="1" applyBorder="1" applyAlignment="1">
      <alignment horizontal="center"/>
    </xf>
    <xf numFmtId="0" fontId="8" fillId="8" borderId="15" xfId="0" applyFont="1" applyFill="1" applyBorder="1" applyAlignment="1">
      <alignment/>
    </xf>
    <xf numFmtId="0" fontId="8" fillId="8" borderId="26" xfId="0" applyFont="1" applyFill="1" applyBorder="1" applyAlignment="1">
      <alignment/>
    </xf>
    <xf numFmtId="9" fontId="8" fillId="8" borderId="26" xfId="71" applyFont="1" applyFill="1" applyBorder="1" applyAlignment="1" applyProtection="1">
      <alignment horizontal="center"/>
      <protection locked="0"/>
    </xf>
    <xf numFmtId="9" fontId="8" fillId="8" borderId="27" xfId="71" applyFont="1" applyFill="1" applyBorder="1" applyAlignment="1" applyProtection="1">
      <alignment horizontal="center"/>
      <protection locked="0"/>
    </xf>
    <xf numFmtId="0" fontId="7" fillId="8" borderId="16" xfId="0" applyFont="1" applyFill="1" applyBorder="1" applyAlignment="1">
      <alignment horizontal="center"/>
    </xf>
    <xf numFmtId="0" fontId="7" fillId="8" borderId="0" xfId="0" applyFont="1" applyFill="1" applyBorder="1" applyAlignment="1">
      <alignment horizontal="center"/>
    </xf>
    <xf numFmtId="0" fontId="7" fillId="8" borderId="17" xfId="0" applyFont="1" applyFill="1" applyBorder="1" applyAlignment="1">
      <alignment horizontal="center"/>
    </xf>
    <xf numFmtId="0" fontId="6" fillId="8" borderId="15" xfId="0" applyFont="1" applyFill="1" applyBorder="1" applyAlignment="1">
      <alignment/>
    </xf>
    <xf numFmtId="0" fontId="7" fillId="8" borderId="26" xfId="0" applyFont="1" applyFill="1" applyBorder="1" applyAlignment="1">
      <alignment horizontal="center"/>
    </xf>
    <xf numFmtId="0" fontId="8" fillId="8" borderId="26" xfId="0" applyFont="1" applyFill="1" applyBorder="1" applyAlignment="1">
      <alignment horizontal="left"/>
    </xf>
    <xf numFmtId="0" fontId="6" fillId="8" borderId="26" xfId="0" applyFont="1" applyFill="1" applyBorder="1" applyAlignment="1">
      <alignment horizontal="center"/>
    </xf>
    <xf numFmtId="0" fontId="6" fillId="8" borderId="26" xfId="0" applyFont="1" applyFill="1" applyBorder="1" applyAlignment="1">
      <alignment/>
    </xf>
    <xf numFmtId="0" fontId="6" fillId="8" borderId="27" xfId="0" applyFont="1" applyFill="1" applyBorder="1" applyAlignment="1">
      <alignment horizontal="center"/>
    </xf>
    <xf numFmtId="0" fontId="7" fillId="8" borderId="15" xfId="0" applyFont="1" applyFill="1" applyBorder="1" applyAlignment="1">
      <alignment horizontal="center" vertical="center"/>
    </xf>
    <xf numFmtId="0" fontId="7" fillId="8" borderId="26" xfId="0" applyFont="1" applyFill="1" applyBorder="1" applyAlignment="1">
      <alignment horizontal="center" vertical="center"/>
    </xf>
    <xf numFmtId="0" fontId="7" fillId="8" borderId="27" xfId="0" applyFont="1" applyFill="1" applyBorder="1" applyAlignment="1">
      <alignment horizontal="center" vertical="center"/>
    </xf>
    <xf numFmtId="0" fontId="7" fillId="8" borderId="5" xfId="0" applyFont="1" applyFill="1" applyBorder="1" applyAlignment="1">
      <alignment horizontal="center" vertical="center"/>
    </xf>
    <xf numFmtId="0" fontId="7" fillId="8" borderId="30" xfId="0" applyFont="1" applyFill="1" applyBorder="1" applyAlignment="1">
      <alignment horizontal="center" vertical="center"/>
    </xf>
    <xf numFmtId="0" fontId="7" fillId="8" borderId="29" xfId="0" applyFont="1" applyFill="1" applyBorder="1" applyAlignment="1">
      <alignment horizontal="center" vertical="center"/>
    </xf>
    <xf numFmtId="0" fontId="7" fillId="8" borderId="30" xfId="0" applyFont="1" applyFill="1" applyBorder="1" applyAlignment="1">
      <alignment horizontal="center"/>
    </xf>
    <xf numFmtId="0" fontId="7" fillId="8" borderId="5" xfId="0" applyFont="1" applyFill="1" applyBorder="1" applyAlignment="1">
      <alignment horizontal="center"/>
    </xf>
    <xf numFmtId="0" fontId="7" fillId="8" borderId="29" xfId="0" applyFont="1" applyFill="1" applyBorder="1" applyAlignment="1">
      <alignment/>
    </xf>
    <xf numFmtId="0" fontId="7" fillId="8" borderId="5" xfId="0" applyFont="1" applyFill="1" applyBorder="1" applyAlignment="1">
      <alignment/>
    </xf>
    <xf numFmtId="165" fontId="7" fillId="8" borderId="30" xfId="0" applyNumberFormat="1" applyFont="1" applyFill="1" applyBorder="1" applyAlignment="1">
      <alignment/>
    </xf>
    <xf numFmtId="0" fontId="8" fillId="8" borderId="0" xfId="0" applyFont="1" applyFill="1" applyBorder="1" applyAlignment="1">
      <alignment horizontal="center"/>
    </xf>
    <xf numFmtId="0" fontId="6" fillId="8" borderId="28" xfId="0" applyFont="1" applyFill="1" applyBorder="1" applyAlignment="1">
      <alignment/>
    </xf>
    <xf numFmtId="0" fontId="7" fillId="8" borderId="6" xfId="0" applyFont="1" applyFill="1" applyBorder="1" applyAlignment="1">
      <alignment horizontal="center" vertical="center"/>
    </xf>
    <xf numFmtId="0" fontId="7" fillId="8" borderId="6" xfId="0" applyFont="1" applyFill="1" applyBorder="1" applyAlignment="1">
      <alignment horizontal="center"/>
    </xf>
    <xf numFmtId="0" fontId="6" fillId="8" borderId="15" xfId="0" applyFont="1" applyFill="1" applyBorder="1" applyAlignment="1">
      <alignment horizontal="center"/>
    </xf>
    <xf numFmtId="0" fontId="8" fillId="8" borderId="26" xfId="0" applyFont="1" applyFill="1" applyBorder="1" applyAlignment="1">
      <alignment horizontal="center"/>
    </xf>
    <xf numFmtId="0" fontId="8" fillId="8" borderId="17" xfId="0" applyFont="1" applyFill="1" applyBorder="1" applyAlignment="1">
      <alignment horizontal="center"/>
    </xf>
    <xf numFmtId="0" fontId="7" fillId="8" borderId="26" xfId="0" applyFont="1" applyFill="1" applyBorder="1" applyAlignment="1" applyProtection="1">
      <alignment horizontal="center"/>
      <protection/>
    </xf>
    <xf numFmtId="0" fontId="6" fillId="8" borderId="27" xfId="0" applyFont="1" applyFill="1" applyBorder="1" applyAlignment="1" applyProtection="1">
      <alignment horizontal="center"/>
      <protection/>
    </xf>
    <xf numFmtId="0" fontId="7" fillId="8" borderId="17" xfId="0" applyFont="1" applyFill="1" applyBorder="1" applyAlignment="1" applyProtection="1">
      <alignment horizontal="center"/>
      <protection/>
    </xf>
    <xf numFmtId="0" fontId="7" fillId="8" borderId="18" xfId="0" applyFont="1" applyFill="1" applyBorder="1" applyAlignment="1" applyProtection="1">
      <alignment horizontal="center"/>
      <protection/>
    </xf>
    <xf numFmtId="165" fontId="7" fillId="8" borderId="15" xfId="0" applyNumberFormat="1" applyFont="1" applyFill="1" applyBorder="1" applyAlignment="1">
      <alignment horizontal="left"/>
    </xf>
    <xf numFmtId="3" fontId="6" fillId="8" borderId="26" xfId="0" applyNumberFormat="1" applyFont="1" applyFill="1" applyBorder="1" applyAlignment="1">
      <alignment horizontal="left"/>
    </xf>
    <xf numFmtId="165" fontId="6" fillId="8" borderId="26" xfId="0" applyNumberFormat="1" applyFont="1" applyFill="1" applyBorder="1" applyAlignment="1">
      <alignment horizontal="left"/>
    </xf>
    <xf numFmtId="165" fontId="6" fillId="8" borderId="26" xfId="0" applyNumberFormat="1" applyFont="1" applyFill="1" applyBorder="1" applyAlignment="1">
      <alignment horizontal="center"/>
    </xf>
    <xf numFmtId="165" fontId="6" fillId="8" borderId="27" xfId="0" applyNumberFormat="1" applyFont="1" applyFill="1" applyBorder="1" applyAlignment="1">
      <alignment horizontal="center"/>
    </xf>
    <xf numFmtId="3" fontId="6" fillId="8" borderId="28" xfId="0" applyNumberFormat="1" applyFont="1" applyFill="1" applyBorder="1" applyAlignment="1">
      <alignment horizontal="center"/>
    </xf>
    <xf numFmtId="3" fontId="6" fillId="8" borderId="6" xfId="0" applyNumberFormat="1" applyFont="1" applyFill="1" applyBorder="1" applyAlignment="1">
      <alignment horizontal="center"/>
    </xf>
    <xf numFmtId="3" fontId="6" fillId="8" borderId="6" xfId="0" applyNumberFormat="1" applyFont="1" applyFill="1" applyBorder="1" applyAlignment="1">
      <alignment horizontal="left"/>
    </xf>
    <xf numFmtId="3" fontId="7" fillId="8" borderId="6" xfId="0" applyNumberFormat="1" applyFont="1" applyFill="1" applyBorder="1" applyAlignment="1">
      <alignment horizontal="center"/>
    </xf>
    <xf numFmtId="3" fontId="7" fillId="8" borderId="18" xfId="0" applyNumberFormat="1" applyFont="1" applyFill="1" applyBorder="1" applyAlignment="1">
      <alignment horizontal="center"/>
    </xf>
    <xf numFmtId="165" fontId="7" fillId="8" borderId="26" xfId="0" applyNumberFormat="1" applyFont="1" applyFill="1" applyBorder="1" applyAlignment="1">
      <alignment horizontal="left"/>
    </xf>
    <xf numFmtId="165" fontId="6" fillId="8" borderId="0" xfId="0" applyNumberFormat="1" applyFont="1" applyFill="1" applyBorder="1" applyAlignment="1">
      <alignment horizontal="left"/>
    </xf>
    <xf numFmtId="165" fontId="7" fillId="8" borderId="0" xfId="0" applyNumberFormat="1" applyFont="1" applyFill="1" applyBorder="1" applyAlignment="1">
      <alignment horizontal="left"/>
    </xf>
    <xf numFmtId="165" fontId="6" fillId="8" borderId="0" xfId="0" applyNumberFormat="1" applyFont="1" applyFill="1" applyBorder="1" applyAlignment="1">
      <alignment horizontal="center"/>
    </xf>
    <xf numFmtId="165" fontId="6" fillId="8" borderId="17" xfId="0" applyNumberFormat="1" applyFont="1" applyFill="1" applyBorder="1" applyAlignment="1">
      <alignment horizontal="center"/>
    </xf>
    <xf numFmtId="0" fontId="7" fillId="8" borderId="16" xfId="0" applyFont="1" applyFill="1" applyBorder="1" applyAlignment="1">
      <alignment/>
    </xf>
    <xf numFmtId="3" fontId="7" fillId="8" borderId="0" xfId="0" applyNumberFormat="1" applyFont="1" applyFill="1" applyBorder="1" applyAlignment="1">
      <alignment horizontal="center"/>
    </xf>
    <xf numFmtId="3" fontId="7" fillId="8" borderId="28" xfId="0" applyNumberFormat="1" applyFont="1" applyFill="1" applyBorder="1" applyAlignment="1">
      <alignment horizontal="left"/>
    </xf>
    <xf numFmtId="3" fontId="7" fillId="8" borderId="6" xfId="0" applyNumberFormat="1" applyFont="1" applyFill="1" applyBorder="1" applyAlignment="1">
      <alignment horizontal="left"/>
    </xf>
    <xf numFmtId="165" fontId="6" fillId="8" borderId="5" xfId="0" applyNumberFormat="1" applyFont="1" applyFill="1" applyBorder="1" applyAlignment="1">
      <alignment/>
    </xf>
    <xf numFmtId="0" fontId="6" fillId="8" borderId="5" xfId="0" applyFont="1" applyFill="1" applyBorder="1" applyAlignment="1">
      <alignment horizontal="right"/>
    </xf>
    <xf numFmtId="0" fontId="6" fillId="8" borderId="5" xfId="0" applyFont="1" applyFill="1" applyBorder="1" applyAlignment="1">
      <alignment/>
    </xf>
    <xf numFmtId="165" fontId="6" fillId="8" borderId="5" xfId="0" applyNumberFormat="1" applyFont="1" applyFill="1" applyBorder="1" applyAlignment="1">
      <alignment horizontal="center"/>
    </xf>
    <xf numFmtId="165" fontId="6" fillId="8" borderId="30" xfId="0" applyNumberFormat="1" applyFont="1" applyFill="1" applyBorder="1" applyAlignment="1">
      <alignment horizontal="center"/>
    </xf>
    <xf numFmtId="0" fontId="7" fillId="8" borderId="15" xfId="0" applyFont="1" applyFill="1" applyBorder="1" applyAlignment="1">
      <alignment horizontal="left"/>
    </xf>
    <xf numFmtId="3" fontId="7" fillId="8" borderId="15" xfId="0" applyNumberFormat="1" applyFont="1" applyFill="1" applyBorder="1" applyAlignment="1">
      <alignment horizontal="left"/>
    </xf>
    <xf numFmtId="3" fontId="7" fillId="8" borderId="26" xfId="0" applyNumberFormat="1" applyFont="1" applyFill="1" applyBorder="1" applyAlignment="1">
      <alignment horizontal="center"/>
    </xf>
    <xf numFmtId="3" fontId="7" fillId="8" borderId="26" xfId="0" applyNumberFormat="1" applyFont="1" applyFill="1" applyBorder="1" applyAlignment="1">
      <alignment horizontal="left"/>
    </xf>
    <xf numFmtId="0" fontId="7" fillId="0" borderId="0" xfId="68" applyFont="1" applyProtection="1">
      <alignment/>
      <protection/>
    </xf>
    <xf numFmtId="9" fontId="7" fillId="0" borderId="0" xfId="68" applyNumberFormat="1" applyFont="1" applyProtection="1">
      <alignment/>
      <protection/>
    </xf>
    <xf numFmtId="0" fontId="6" fillId="0" borderId="0" xfId="68" applyFont="1" applyProtection="1">
      <alignment/>
      <protection/>
    </xf>
    <xf numFmtId="0" fontId="6" fillId="0" borderId="0" xfId="68" applyFont="1">
      <alignment/>
      <protection/>
    </xf>
    <xf numFmtId="38" fontId="6" fillId="0" borderId="0" xfId="68" applyNumberFormat="1" applyFont="1" applyProtection="1">
      <alignment/>
      <protection/>
    </xf>
    <xf numFmtId="0" fontId="7" fillId="0" borderId="0" xfId="68" applyFont="1" applyAlignment="1" applyProtection="1">
      <alignment horizontal="center"/>
      <protection/>
    </xf>
    <xf numFmtId="6" fontId="6" fillId="0" borderId="0" xfId="68" applyNumberFormat="1" applyFont="1" applyProtection="1">
      <alignment/>
      <protection/>
    </xf>
    <xf numFmtId="165" fontId="6" fillId="0" borderId="0" xfId="68" applyNumberFormat="1" applyFont="1" applyProtection="1">
      <alignment/>
      <protection/>
    </xf>
    <xf numFmtId="6" fontId="6" fillId="0" borderId="32" xfId="68" applyNumberFormat="1" applyFont="1" applyBorder="1" applyProtection="1">
      <alignment/>
      <protection/>
    </xf>
    <xf numFmtId="10" fontId="6" fillId="0" borderId="33" xfId="68" applyNumberFormat="1" applyFont="1" applyBorder="1" applyProtection="1">
      <alignment/>
      <protection/>
    </xf>
    <xf numFmtId="2" fontId="6" fillId="0" borderId="34" xfId="68" applyNumberFormat="1" applyFont="1" applyBorder="1" applyProtection="1">
      <alignment/>
      <protection/>
    </xf>
    <xf numFmtId="2" fontId="6" fillId="0" borderId="0" xfId="68" applyNumberFormat="1" applyFont="1" applyBorder="1" applyProtection="1">
      <alignment/>
      <protection/>
    </xf>
    <xf numFmtId="0" fontId="14" fillId="0" borderId="0" xfId="68" applyFont="1" applyFill="1" applyBorder="1" applyProtection="1">
      <alignment/>
      <protection/>
    </xf>
    <xf numFmtId="10" fontId="6" fillId="0" borderId="0" xfId="72" applyNumberFormat="1" applyFont="1" applyAlignment="1" applyProtection="1">
      <alignment/>
      <protection/>
    </xf>
    <xf numFmtId="1" fontId="6" fillId="0" borderId="0" xfId="68" applyNumberFormat="1" applyFont="1" applyProtection="1">
      <alignment/>
      <protection/>
    </xf>
    <xf numFmtId="0" fontId="7" fillId="0" borderId="0" xfId="68" applyFont="1" applyFill="1" applyBorder="1" applyProtection="1">
      <alignment/>
      <protection/>
    </xf>
    <xf numFmtId="0" fontId="14" fillId="0" borderId="0" xfId="68" applyFont="1" applyProtection="1">
      <alignment/>
      <protection/>
    </xf>
    <xf numFmtId="1" fontId="6" fillId="0" borderId="0" xfId="48" applyNumberFormat="1" applyFont="1" applyAlignment="1">
      <alignment/>
    </xf>
    <xf numFmtId="6" fontId="6" fillId="0" borderId="0" xfId="68" applyNumberFormat="1" applyFont="1" applyAlignment="1" applyProtection="1">
      <alignment horizontal="center"/>
      <protection/>
    </xf>
    <xf numFmtId="10" fontId="6" fillId="0" borderId="0" xfId="71" applyNumberFormat="1" applyFont="1" applyAlignment="1" applyProtection="1">
      <alignment/>
      <protection/>
    </xf>
    <xf numFmtId="2" fontId="6" fillId="0" borderId="0" xfId="0" applyNumberFormat="1" applyFont="1" applyAlignment="1">
      <alignment horizontal="right"/>
    </xf>
    <xf numFmtId="43" fontId="6" fillId="0" borderId="0" xfId="43" applyFont="1" applyAlignment="1">
      <alignment horizontal="right"/>
    </xf>
    <xf numFmtId="10" fontId="66" fillId="0" borderId="0" xfId="71" applyNumberFormat="1" applyFont="1" applyAlignment="1">
      <alignment horizontal="right"/>
    </xf>
    <xf numFmtId="2" fontId="6" fillId="0" borderId="0" xfId="0" applyNumberFormat="1" applyFont="1" applyBorder="1" applyAlignment="1">
      <alignment/>
    </xf>
    <xf numFmtId="0" fontId="7" fillId="0" borderId="28" xfId="0" applyFont="1" applyBorder="1" applyAlignment="1">
      <alignment horizontal="left"/>
    </xf>
    <xf numFmtId="3" fontId="7" fillId="8" borderId="27" xfId="0" applyNumberFormat="1" applyFont="1" applyFill="1" applyBorder="1" applyAlignment="1">
      <alignment horizontal="center"/>
    </xf>
    <xf numFmtId="166" fontId="7" fillId="0" borderId="6" xfId="0" applyNumberFormat="1" applyFont="1" applyBorder="1" applyAlignment="1">
      <alignment horizontal="center"/>
    </xf>
    <xf numFmtId="9" fontId="7" fillId="0" borderId="18" xfId="71" applyFont="1" applyBorder="1" applyAlignment="1">
      <alignment horizontal="center"/>
    </xf>
    <xf numFmtId="165" fontId="6" fillId="0" borderId="0" xfId="0" applyNumberFormat="1" applyFont="1" applyFill="1" applyBorder="1" applyAlignment="1" applyProtection="1">
      <alignment/>
      <protection/>
    </xf>
    <xf numFmtId="0" fontId="6" fillId="0" borderId="0" xfId="0" applyFont="1" applyFill="1" applyAlignment="1">
      <alignment horizontal="center"/>
    </xf>
    <xf numFmtId="9" fontId="66" fillId="0" borderId="0" xfId="71" applyFont="1" applyFill="1" applyAlignment="1">
      <alignment horizontal="right"/>
    </xf>
    <xf numFmtId="0" fontId="6" fillId="0" borderId="17" xfId="0" applyFont="1" applyBorder="1" applyAlignment="1">
      <alignment horizontal="right"/>
    </xf>
    <xf numFmtId="0" fontId="14" fillId="0" borderId="16" xfId="0" applyFont="1" applyBorder="1" applyAlignment="1">
      <alignment/>
    </xf>
    <xf numFmtId="0" fontId="7" fillId="0" borderId="28" xfId="0" applyFont="1" applyBorder="1" applyAlignment="1">
      <alignment horizontal="right"/>
    </xf>
    <xf numFmtId="0" fontId="6" fillId="0" borderId="6" xfId="0" applyFont="1" applyBorder="1" applyAlignment="1">
      <alignment horizontal="center"/>
    </xf>
    <xf numFmtId="0" fontId="6" fillId="8" borderId="16" xfId="0" applyFont="1" applyFill="1" applyBorder="1" applyAlignment="1">
      <alignment horizontal="center"/>
    </xf>
    <xf numFmtId="166" fontId="7" fillId="0" borderId="16" xfId="0" applyNumberFormat="1" applyFont="1" applyBorder="1" applyAlignment="1">
      <alignment/>
    </xf>
    <xf numFmtId="0" fontId="7" fillId="8" borderId="28" xfId="0" applyFont="1" applyFill="1" applyBorder="1" applyAlignment="1">
      <alignment/>
    </xf>
    <xf numFmtId="0" fontId="6" fillId="8" borderId="6" xfId="0" applyFont="1" applyFill="1" applyBorder="1" applyAlignment="1">
      <alignment horizontal="center"/>
    </xf>
    <xf numFmtId="0" fontId="6" fillId="8" borderId="18" xfId="0" applyFont="1" applyFill="1" applyBorder="1" applyAlignment="1">
      <alignment horizontal="center"/>
    </xf>
    <xf numFmtId="164" fontId="6" fillId="0" borderId="17" xfId="71" applyNumberFormat="1" applyFont="1" applyBorder="1" applyAlignment="1" applyProtection="1">
      <alignment horizontal="center"/>
      <protection locked="0"/>
    </xf>
    <xf numFmtId="0" fontId="7" fillId="0" borderId="15" xfId="0" applyFont="1" applyBorder="1" applyAlignment="1">
      <alignment horizontal="left"/>
    </xf>
    <xf numFmtId="166" fontId="7" fillId="0" borderId="22" xfId="0" applyNumberFormat="1" applyFont="1" applyBorder="1" applyAlignment="1">
      <alignment horizontal="left"/>
    </xf>
    <xf numFmtId="164" fontId="20" fillId="0" borderId="27" xfId="0" applyNumberFormat="1" applyFont="1" applyBorder="1" applyAlignment="1">
      <alignment horizontal="center"/>
    </xf>
    <xf numFmtId="0" fontId="6" fillId="0" borderId="26" xfId="0" applyFont="1" applyBorder="1" applyAlignment="1">
      <alignment horizontal="center"/>
    </xf>
    <xf numFmtId="164" fontId="6" fillId="0" borderId="26" xfId="0" applyNumberFormat="1" applyFont="1" applyBorder="1" applyAlignment="1">
      <alignment horizontal="center"/>
    </xf>
    <xf numFmtId="0" fontId="8" fillId="8" borderId="26" xfId="0" applyFont="1" applyFill="1" applyBorder="1" applyAlignment="1">
      <alignment horizontal="center"/>
    </xf>
    <xf numFmtId="0" fontId="7" fillId="8" borderId="0" xfId="0" applyFont="1" applyFill="1" applyBorder="1" applyAlignment="1" applyProtection="1">
      <alignment horizontal="center"/>
      <protection/>
    </xf>
    <xf numFmtId="0" fontId="7" fillId="8" borderId="6" xfId="0" applyFont="1" applyFill="1" applyBorder="1" applyAlignment="1" applyProtection="1">
      <alignment horizontal="center"/>
      <protection/>
    </xf>
    <xf numFmtId="0" fontId="6" fillId="8" borderId="15" xfId="0" applyFont="1" applyFill="1" applyBorder="1" applyAlignment="1" applyProtection="1">
      <alignment horizontal="center"/>
      <protection/>
    </xf>
    <xf numFmtId="0" fontId="6" fillId="8" borderId="26" xfId="0" applyFont="1" applyFill="1" applyBorder="1" applyAlignment="1" applyProtection="1">
      <alignment horizontal="center"/>
      <protection/>
    </xf>
    <xf numFmtId="0" fontId="6" fillId="8" borderId="0" xfId="0" applyFont="1" applyFill="1" applyBorder="1" applyAlignment="1" applyProtection="1">
      <alignment horizontal="center"/>
      <protection/>
    </xf>
    <xf numFmtId="0" fontId="8" fillId="8" borderId="15" xfId="0" applyFont="1" applyFill="1" applyBorder="1" applyAlignment="1">
      <alignment/>
    </xf>
    <xf numFmtId="0" fontId="8" fillId="8" borderId="27" xfId="0" applyFont="1" applyFill="1" applyBorder="1" applyAlignment="1">
      <alignment/>
    </xf>
    <xf numFmtId="0" fontId="7" fillId="8" borderId="18" xfId="0" applyFont="1" applyFill="1" applyBorder="1" applyAlignment="1">
      <alignment horizontal="center"/>
    </xf>
    <xf numFmtId="0" fontId="7" fillId="0" borderId="29" xfId="0" applyFont="1" applyFill="1" applyBorder="1" applyAlignment="1">
      <alignment/>
    </xf>
    <xf numFmtId="0" fontId="6" fillId="0" borderId="5" xfId="0" applyFont="1" applyFill="1" applyBorder="1" applyAlignment="1">
      <alignment/>
    </xf>
    <xf numFmtId="0" fontId="6" fillId="0" borderId="30" xfId="0" applyFont="1" applyFill="1" applyBorder="1" applyAlignment="1">
      <alignment/>
    </xf>
    <xf numFmtId="0" fontId="15" fillId="0" borderId="6" xfId="0" applyFont="1" applyFill="1" applyBorder="1" applyAlignment="1">
      <alignment horizontal="center"/>
    </xf>
    <xf numFmtId="0" fontId="6" fillId="8" borderId="15" xfId="0" applyFont="1" applyFill="1" applyBorder="1" applyAlignment="1">
      <alignment/>
    </xf>
    <xf numFmtId="0" fontId="6" fillId="8" borderId="26" xfId="0" applyFont="1" applyFill="1" applyBorder="1" applyAlignment="1">
      <alignment/>
    </xf>
    <xf numFmtId="0" fontId="15" fillId="8" borderId="26" xfId="0" applyFont="1" applyFill="1" applyBorder="1" applyAlignment="1">
      <alignment/>
    </xf>
    <xf numFmtId="0" fontId="8" fillId="8" borderId="26" xfId="0" applyFont="1" applyFill="1" applyBorder="1" applyAlignment="1" applyProtection="1">
      <alignment horizontal="center"/>
      <protection/>
    </xf>
    <xf numFmtId="3" fontId="6" fillId="0" borderId="17" xfId="0" applyNumberFormat="1" applyFont="1" applyFill="1" applyBorder="1" applyAlignment="1" applyProtection="1">
      <alignment/>
      <protection/>
    </xf>
    <xf numFmtId="0" fontId="6" fillId="8" borderId="17" xfId="0" applyFont="1" applyFill="1" applyBorder="1" applyAlignment="1" applyProtection="1">
      <alignment horizontal="center"/>
      <protection/>
    </xf>
    <xf numFmtId="0" fontId="7" fillId="0" borderId="28" xfId="0" applyFont="1" applyFill="1" applyBorder="1" applyAlignment="1" applyProtection="1">
      <alignment horizontal="left"/>
      <protection/>
    </xf>
    <xf numFmtId="0" fontId="7" fillId="0" borderId="6" xfId="0" applyFont="1" applyFill="1" applyBorder="1" applyAlignment="1" applyProtection="1">
      <alignment horizontal="left"/>
      <protection/>
    </xf>
    <xf numFmtId="0" fontId="16" fillId="0" borderId="6" xfId="0" applyFont="1" applyFill="1" applyBorder="1" applyAlignment="1" applyProtection="1">
      <alignment horizontal="center"/>
      <protection/>
    </xf>
    <xf numFmtId="3" fontId="7" fillId="0" borderId="6" xfId="0" applyNumberFormat="1" applyFont="1" applyFill="1" applyBorder="1" applyAlignment="1" applyProtection="1">
      <alignment/>
      <protection/>
    </xf>
    <xf numFmtId="3" fontId="7" fillId="0" borderId="18" xfId="0" applyNumberFormat="1" applyFont="1" applyFill="1" applyBorder="1" applyAlignment="1" applyProtection="1">
      <alignment/>
      <protection/>
    </xf>
    <xf numFmtId="165" fontId="7" fillId="0" borderId="6" xfId="0" applyNumberFormat="1" applyFont="1" applyFill="1" applyBorder="1" applyAlignment="1" applyProtection="1">
      <alignment/>
      <protection/>
    </xf>
    <xf numFmtId="165" fontId="7" fillId="0" borderId="18" xfId="0" applyNumberFormat="1" applyFont="1" applyFill="1" applyBorder="1" applyAlignment="1" applyProtection="1">
      <alignment/>
      <protection/>
    </xf>
    <xf numFmtId="165" fontId="6" fillId="0" borderId="28" xfId="0" applyNumberFormat="1" applyFont="1" applyFill="1" applyBorder="1" applyAlignment="1">
      <alignment horizontal="left"/>
    </xf>
    <xf numFmtId="165" fontId="7" fillId="8" borderId="26" xfId="0" applyNumberFormat="1" applyFont="1" applyFill="1" applyBorder="1" applyAlignment="1">
      <alignment horizontal="center"/>
    </xf>
    <xf numFmtId="0" fontId="7" fillId="0" borderId="22" xfId="0" applyFont="1" applyFill="1" applyBorder="1" applyAlignment="1">
      <alignment horizontal="left"/>
    </xf>
    <xf numFmtId="0" fontId="7" fillId="0" borderId="19" xfId="0" applyFont="1" applyFill="1" applyBorder="1" applyAlignment="1">
      <alignment horizontal="left"/>
    </xf>
    <xf numFmtId="0" fontId="8" fillId="0" borderId="17" xfId="0" applyFont="1" applyBorder="1" applyAlignment="1">
      <alignment horizontal="left"/>
    </xf>
    <xf numFmtId="0" fontId="21" fillId="0" borderId="0" xfId="0" applyFont="1" applyBorder="1" applyAlignment="1">
      <alignment/>
    </xf>
    <xf numFmtId="0" fontId="22" fillId="0" borderId="0" xfId="0" applyFont="1" applyBorder="1" applyAlignment="1">
      <alignment/>
    </xf>
    <xf numFmtId="0" fontId="23" fillId="0" borderId="0" xfId="61" applyFont="1" applyBorder="1" applyAlignment="1" applyProtection="1">
      <alignment/>
      <protection/>
    </xf>
    <xf numFmtId="0" fontId="22" fillId="0" borderId="0" xfId="0" applyFont="1" applyBorder="1" applyAlignment="1">
      <alignment/>
    </xf>
    <xf numFmtId="0" fontId="21" fillId="0" borderId="0" xfId="0" applyFont="1" applyBorder="1" applyAlignment="1">
      <alignment horizontal="center"/>
    </xf>
    <xf numFmtId="0" fontId="6" fillId="0" borderId="0" xfId="0" applyFont="1" applyBorder="1" applyAlignment="1">
      <alignment/>
    </xf>
    <xf numFmtId="165" fontId="6" fillId="0" borderId="0" xfId="67" applyNumberFormat="1" applyFont="1">
      <alignment/>
      <protection/>
    </xf>
    <xf numFmtId="165" fontId="22" fillId="0" borderId="0" xfId="67" applyNumberFormat="1" applyFont="1">
      <alignment/>
      <protection/>
    </xf>
    <xf numFmtId="0" fontId="22" fillId="0" borderId="0" xfId="0" applyFont="1" applyFill="1" applyBorder="1" applyAlignment="1">
      <alignment/>
    </xf>
    <xf numFmtId="10" fontId="7" fillId="0" borderId="0" xfId="68" applyNumberFormat="1" applyFont="1" applyFill="1" applyProtection="1">
      <alignment/>
      <protection/>
    </xf>
    <xf numFmtId="0" fontId="22" fillId="0" borderId="0" xfId="68" applyFont="1">
      <alignment/>
      <protection/>
    </xf>
    <xf numFmtId="0" fontId="23" fillId="0" borderId="0" xfId="61" applyFont="1" applyBorder="1" applyAlignment="1" applyProtection="1">
      <alignment/>
      <protection locked="0"/>
    </xf>
    <xf numFmtId="164" fontId="6" fillId="0" borderId="17" xfId="0" applyNumberFormat="1" applyFont="1" applyFill="1" applyBorder="1" applyAlignment="1" applyProtection="1">
      <alignment horizontal="center"/>
      <protection locked="0"/>
    </xf>
    <xf numFmtId="0" fontId="7" fillId="37" borderId="19" xfId="0" applyFont="1" applyFill="1" applyBorder="1" applyAlignment="1" applyProtection="1">
      <alignment horizontal="center"/>
      <protection locked="0"/>
    </xf>
    <xf numFmtId="166" fontId="7" fillId="37" borderId="19" xfId="0" applyNumberFormat="1" applyFont="1" applyFill="1" applyBorder="1" applyAlignment="1" applyProtection="1">
      <alignment horizontal="center"/>
      <protection locked="0"/>
    </xf>
    <xf numFmtId="164" fontId="7" fillId="37" borderId="23" xfId="0" applyNumberFormat="1" applyFont="1" applyFill="1" applyBorder="1" applyAlignment="1" applyProtection="1">
      <alignment horizontal="center"/>
      <protection locked="0"/>
    </xf>
    <xf numFmtId="166" fontId="7" fillId="37" borderId="0" xfId="0" applyNumberFormat="1" applyFont="1" applyFill="1" applyBorder="1" applyAlignment="1" applyProtection="1">
      <alignment horizontal="center"/>
      <protection locked="0"/>
    </xf>
    <xf numFmtId="0" fontId="7" fillId="37" borderId="0" xfId="0" applyFont="1" applyFill="1" applyBorder="1" applyAlignment="1" applyProtection="1">
      <alignment horizontal="center"/>
      <protection locked="0"/>
    </xf>
    <xf numFmtId="164" fontId="7" fillId="37" borderId="25" xfId="0" applyNumberFormat="1" applyFont="1" applyFill="1" applyBorder="1" applyAlignment="1" applyProtection="1">
      <alignment horizontal="center"/>
      <protection locked="0"/>
    </xf>
    <xf numFmtId="167" fontId="7" fillId="37" borderId="20" xfId="0" applyNumberFormat="1" applyFont="1" applyFill="1" applyBorder="1" applyAlignment="1" applyProtection="1">
      <alignment horizontal="center"/>
      <protection locked="0"/>
    </xf>
    <xf numFmtId="168" fontId="7" fillId="37" borderId="0" xfId="0" applyNumberFormat="1" applyFont="1" applyFill="1" applyBorder="1" applyAlignment="1" applyProtection="1">
      <alignment horizontal="center"/>
      <protection locked="0"/>
    </xf>
    <xf numFmtId="169" fontId="7" fillId="37" borderId="0" xfId="0" applyNumberFormat="1" applyFont="1" applyFill="1" applyBorder="1" applyAlignment="1" applyProtection="1">
      <alignment horizontal="center"/>
      <protection locked="0"/>
    </xf>
    <xf numFmtId="166" fontId="7" fillId="37" borderId="20" xfId="0" applyNumberFormat="1" applyFont="1" applyFill="1" applyBorder="1" applyAlignment="1" applyProtection="1">
      <alignment horizontal="center"/>
      <protection locked="0"/>
    </xf>
    <xf numFmtId="166" fontId="7" fillId="37" borderId="6" xfId="0" applyNumberFormat="1" applyFont="1" applyFill="1" applyBorder="1" applyAlignment="1" applyProtection="1">
      <alignment horizontal="center"/>
      <protection locked="0"/>
    </xf>
    <xf numFmtId="164" fontId="7" fillId="37" borderId="17" xfId="0" applyNumberFormat="1" applyFont="1" applyFill="1" applyBorder="1" applyAlignment="1" applyProtection="1">
      <alignment horizontal="center"/>
      <protection locked="0"/>
    </xf>
    <xf numFmtId="164" fontId="7" fillId="37" borderId="18" xfId="0" applyNumberFormat="1" applyFont="1" applyFill="1" applyBorder="1" applyAlignment="1" applyProtection="1">
      <alignment horizontal="center"/>
      <protection locked="0"/>
    </xf>
    <xf numFmtId="164" fontId="7" fillId="37" borderId="0" xfId="0" applyNumberFormat="1" applyFont="1" applyFill="1" applyBorder="1" applyAlignment="1" applyProtection="1">
      <alignment horizontal="center"/>
      <protection locked="0"/>
    </xf>
    <xf numFmtId="164" fontId="7" fillId="37" borderId="6" xfId="0" applyNumberFormat="1" applyFont="1" applyFill="1" applyBorder="1" applyAlignment="1" applyProtection="1">
      <alignment horizontal="center"/>
      <protection locked="0"/>
    </xf>
    <xf numFmtId="164" fontId="7" fillId="37" borderId="17" xfId="71" applyNumberFormat="1" applyFont="1" applyFill="1" applyBorder="1" applyAlignment="1" applyProtection="1">
      <alignment horizontal="center"/>
      <protection locked="0"/>
    </xf>
    <xf numFmtId="9" fontId="7" fillId="37" borderId="0" xfId="71" applyFont="1" applyFill="1" applyBorder="1" applyAlignment="1" applyProtection="1">
      <alignment horizontal="center"/>
      <protection locked="0"/>
    </xf>
    <xf numFmtId="165" fontId="7" fillId="37" borderId="0" xfId="0" applyNumberFormat="1" applyFont="1" applyFill="1" applyBorder="1" applyAlignment="1" applyProtection="1">
      <alignment/>
      <protection locked="0"/>
    </xf>
    <xf numFmtId="0" fontId="7" fillId="37" borderId="0" xfId="0" applyFont="1" applyFill="1" applyBorder="1" applyAlignment="1" applyProtection="1">
      <alignment/>
      <protection locked="0"/>
    </xf>
    <xf numFmtId="9" fontId="7" fillId="37" borderId="0" xfId="71" applyFont="1" applyFill="1" applyBorder="1" applyAlignment="1" applyProtection="1">
      <alignment/>
      <protection locked="0"/>
    </xf>
    <xf numFmtId="164" fontId="7" fillId="37" borderId="5" xfId="71" applyNumberFormat="1" applyFont="1" applyFill="1" applyBorder="1" applyAlignment="1" applyProtection="1">
      <alignment/>
      <protection locked="0"/>
    </xf>
    <xf numFmtId="9" fontId="7" fillId="38" borderId="5" xfId="0" applyNumberFormat="1" applyFont="1" applyFill="1" applyBorder="1" applyAlignment="1" applyProtection="1">
      <alignment horizontal="center"/>
      <protection locked="0"/>
    </xf>
    <xf numFmtId="9" fontId="7" fillId="38" borderId="30" xfId="0" applyNumberFormat="1" applyFont="1" applyFill="1" applyBorder="1" applyAlignment="1" applyProtection="1">
      <alignment horizontal="center"/>
      <protection locked="0"/>
    </xf>
    <xf numFmtId="0" fontId="0" fillId="0" borderId="0" xfId="66">
      <alignment/>
      <protection/>
    </xf>
    <xf numFmtId="0" fontId="0" fillId="0" borderId="0" xfId="66" applyAlignment="1">
      <alignment vertical="center"/>
      <protection/>
    </xf>
    <xf numFmtId="0" fontId="67" fillId="0" borderId="0" xfId="66" applyFont="1">
      <alignment/>
      <protection/>
    </xf>
    <xf numFmtId="0" fontId="68" fillId="0" borderId="0" xfId="66" applyFont="1">
      <alignment/>
      <protection/>
    </xf>
    <xf numFmtId="0" fontId="69" fillId="0" borderId="0" xfId="66" applyFont="1">
      <alignment/>
      <protection/>
    </xf>
    <xf numFmtId="0" fontId="21" fillId="0" borderId="0" xfId="66" applyFont="1">
      <alignment/>
      <protection/>
    </xf>
    <xf numFmtId="0" fontId="15" fillId="0" borderId="0" xfId="66" applyFont="1">
      <alignment/>
      <protection/>
    </xf>
    <xf numFmtId="0" fontId="6" fillId="0" borderId="0" xfId="66" applyFont="1" applyAlignment="1">
      <alignment vertical="center" wrapText="1"/>
      <protection/>
    </xf>
    <xf numFmtId="0" fontId="6" fillId="0" borderId="0" xfId="66" applyFont="1">
      <alignment/>
      <protection/>
    </xf>
    <xf numFmtId="0" fontId="25" fillId="0" borderId="0" xfId="66" applyFont="1" applyAlignment="1">
      <alignment vertical="center" wrapText="1"/>
      <protection/>
    </xf>
    <xf numFmtId="0" fontId="7" fillId="0" borderId="17" xfId="0" applyFont="1" applyBorder="1" applyAlignment="1">
      <alignment horizontal="center"/>
    </xf>
    <xf numFmtId="0" fontId="14" fillId="0" borderId="17" xfId="0" applyFont="1" applyBorder="1" applyAlignment="1">
      <alignment horizontal="center"/>
    </xf>
    <xf numFmtId="166" fontId="6" fillId="0" borderId="0" xfId="0" applyNumberFormat="1" applyFont="1" applyBorder="1" applyAlignment="1">
      <alignment horizontal="center"/>
    </xf>
    <xf numFmtId="166" fontId="6" fillId="0" borderId="17" xfId="0" applyNumberFormat="1" applyFont="1" applyBorder="1" applyAlignment="1">
      <alignment horizontal="center"/>
    </xf>
    <xf numFmtId="10" fontId="7" fillId="0" borderId="6" xfId="0" applyNumberFormat="1" applyFont="1" applyBorder="1" applyAlignment="1">
      <alignment horizontal="center"/>
    </xf>
    <xf numFmtId="166" fontId="7" fillId="0" borderId="18" xfId="0" applyNumberFormat="1" applyFont="1" applyBorder="1" applyAlignment="1">
      <alignment horizontal="center"/>
    </xf>
    <xf numFmtId="165" fontId="7" fillId="37" borderId="26" xfId="0" applyNumberFormat="1" applyFont="1" applyFill="1" applyBorder="1" applyAlignment="1" applyProtection="1">
      <alignment horizontal="center"/>
      <protection locked="0"/>
    </xf>
    <xf numFmtId="0" fontId="6" fillId="0" borderId="31" xfId="0" applyFont="1" applyBorder="1" applyAlignment="1">
      <alignment horizontal="left"/>
    </xf>
    <xf numFmtId="0" fontId="6" fillId="0" borderId="35" xfId="0" applyFont="1" applyFill="1" applyBorder="1" applyAlignment="1">
      <alignment/>
    </xf>
    <xf numFmtId="0" fontId="6" fillId="0" borderId="31" xfId="0" applyFont="1" applyFill="1" applyBorder="1" applyAlignment="1">
      <alignment horizontal="left"/>
    </xf>
    <xf numFmtId="0" fontId="6" fillId="0" borderId="27" xfId="0" applyFont="1" applyBorder="1" applyAlignment="1">
      <alignment horizontal="center"/>
    </xf>
    <xf numFmtId="0" fontId="6" fillId="0" borderId="18" xfId="0" applyFont="1" applyBorder="1" applyAlignment="1">
      <alignment horizontal="center"/>
    </xf>
    <xf numFmtId="0" fontId="8" fillId="8" borderId="15" xfId="0" applyFont="1" applyFill="1" applyBorder="1" applyAlignment="1">
      <alignment horizontal="center"/>
    </xf>
    <xf numFmtId="0" fontId="8" fillId="8" borderId="26" xfId="0" applyFont="1" applyFill="1" applyBorder="1" applyAlignment="1">
      <alignment horizontal="center"/>
    </xf>
    <xf numFmtId="0" fontId="8" fillId="8" borderId="27" xfId="0" applyFont="1" applyFill="1" applyBorder="1" applyAlignment="1">
      <alignment horizontal="center"/>
    </xf>
    <xf numFmtId="0" fontId="7" fillId="0" borderId="16" xfId="0" applyFont="1" applyFill="1" applyBorder="1" applyAlignment="1">
      <alignment horizontal="left"/>
    </xf>
    <xf numFmtId="0" fontId="7" fillId="0" borderId="17" xfId="0" applyFont="1" applyFill="1" applyBorder="1" applyAlignment="1">
      <alignment horizontal="left"/>
    </xf>
    <xf numFmtId="0" fontId="7" fillId="0" borderId="28" xfId="0" applyFont="1" applyBorder="1" applyAlignment="1">
      <alignment horizontal="left"/>
    </xf>
    <xf numFmtId="0" fontId="6" fillId="0" borderId="6" xfId="0" applyFont="1" applyBorder="1" applyAlignment="1">
      <alignment horizontal="left"/>
    </xf>
    <xf numFmtId="0" fontId="7" fillId="38" borderId="16" xfId="0" applyFont="1" applyFill="1" applyBorder="1" applyAlignment="1" applyProtection="1">
      <alignment horizontal="center"/>
      <protection locked="0"/>
    </xf>
    <xf numFmtId="0" fontId="7" fillId="38" borderId="17" xfId="0" applyFont="1" applyFill="1" applyBorder="1" applyAlignment="1" applyProtection="1">
      <alignment horizontal="center"/>
      <protection locked="0"/>
    </xf>
    <xf numFmtId="3" fontId="7" fillId="0" borderId="16" xfId="0" applyNumberFormat="1" applyFont="1" applyFill="1" applyBorder="1" applyAlignment="1" applyProtection="1">
      <alignment horizontal="center"/>
      <protection/>
    </xf>
    <xf numFmtId="3" fontId="7" fillId="0" borderId="17" xfId="0" applyNumberFormat="1" applyFont="1" applyFill="1" applyBorder="1" applyAlignment="1" applyProtection="1">
      <alignment horizontal="center"/>
      <protection/>
    </xf>
    <xf numFmtId="0" fontId="6" fillId="0" borderId="22" xfId="0" applyFont="1" applyFill="1" applyBorder="1" applyAlignment="1" applyProtection="1">
      <alignment horizontal="center"/>
      <protection/>
    </xf>
    <xf numFmtId="0" fontId="6" fillId="0" borderId="23" xfId="0" applyFont="1" applyFill="1" applyBorder="1" applyAlignment="1" applyProtection="1">
      <alignment horizontal="center"/>
      <protection/>
    </xf>
    <xf numFmtId="0" fontId="6" fillId="0" borderId="0" xfId="0" applyFont="1" applyBorder="1" applyAlignment="1">
      <alignment horizontal="center"/>
    </xf>
    <xf numFmtId="0" fontId="7" fillId="0" borderId="28" xfId="0" applyFont="1" applyFill="1" applyBorder="1" applyAlignment="1">
      <alignment horizontal="center"/>
    </xf>
    <xf numFmtId="0" fontId="7" fillId="0" borderId="6" xfId="0" applyFont="1" applyFill="1" applyBorder="1" applyAlignment="1">
      <alignment horizontal="center"/>
    </xf>
    <xf numFmtId="0" fontId="7" fillId="0" borderId="18" xfId="0" applyFont="1" applyFill="1" applyBorder="1" applyAlignment="1">
      <alignment horizontal="center"/>
    </xf>
    <xf numFmtId="0" fontId="7" fillId="0" borderId="16" xfId="0" applyFont="1" applyFill="1" applyBorder="1" applyAlignment="1">
      <alignment horizontal="center"/>
    </xf>
    <xf numFmtId="0" fontId="7" fillId="0" borderId="0" xfId="0" applyFont="1" applyFill="1" applyBorder="1" applyAlignment="1">
      <alignment horizontal="center"/>
    </xf>
    <xf numFmtId="0" fontId="7" fillId="0" borderId="17" xfId="0" applyFont="1" applyFill="1" applyBorder="1" applyAlignment="1">
      <alignment horizontal="center"/>
    </xf>
    <xf numFmtId="0" fontId="8" fillId="8" borderId="16" xfId="0" applyFont="1" applyFill="1" applyBorder="1" applyAlignment="1">
      <alignment horizontal="left" vertical="center"/>
    </xf>
    <xf numFmtId="0" fontId="8" fillId="8" borderId="0" xfId="0" applyFont="1" applyFill="1" applyBorder="1" applyAlignment="1">
      <alignment horizontal="left" vertical="center"/>
    </xf>
    <xf numFmtId="0" fontId="7" fillId="0" borderId="28" xfId="0" applyFont="1" applyFill="1" applyBorder="1" applyAlignment="1" applyProtection="1">
      <alignment horizontal="left"/>
      <protection/>
    </xf>
    <xf numFmtId="0" fontId="7" fillId="0" borderId="6" xfId="0" applyFont="1" applyFill="1" applyBorder="1" applyAlignment="1" applyProtection="1">
      <alignment horizontal="left"/>
      <protection/>
    </xf>
    <xf numFmtId="0" fontId="7" fillId="0" borderId="29" xfId="0" applyFont="1" applyFill="1" applyBorder="1" applyAlignment="1" applyProtection="1">
      <alignment horizontal="left"/>
      <protection/>
    </xf>
    <xf numFmtId="0" fontId="7" fillId="0" borderId="5" xfId="0" applyFont="1" applyFill="1" applyBorder="1" applyAlignment="1" applyProtection="1">
      <alignment horizontal="left"/>
      <protection/>
    </xf>
    <xf numFmtId="0" fontId="7" fillId="0" borderId="30" xfId="0" applyFont="1" applyFill="1" applyBorder="1" applyAlignment="1" applyProtection="1">
      <alignment horizontal="left"/>
      <protection/>
    </xf>
    <xf numFmtId="0" fontId="6" fillId="0" borderId="16" xfId="0" applyFont="1" applyFill="1" applyBorder="1" applyAlignment="1" applyProtection="1">
      <alignment horizontal="right"/>
      <protection/>
    </xf>
    <xf numFmtId="0" fontId="6" fillId="0" borderId="0" xfId="0" applyFont="1" applyFill="1" applyBorder="1" applyAlignment="1" applyProtection="1">
      <alignment horizontal="right"/>
      <protection/>
    </xf>
    <xf numFmtId="0" fontId="7" fillId="8" borderId="16" xfId="0" applyFont="1" applyFill="1" applyBorder="1" applyAlignment="1" applyProtection="1">
      <alignment horizontal="center"/>
      <protection/>
    </xf>
    <xf numFmtId="0" fontId="7" fillId="8" borderId="0" xfId="0" applyFont="1" applyFill="1" applyBorder="1" applyAlignment="1" applyProtection="1">
      <alignment horizontal="center"/>
      <protection/>
    </xf>
    <xf numFmtId="0" fontId="7" fillId="8" borderId="28" xfId="0" applyFont="1" applyFill="1" applyBorder="1" applyAlignment="1" applyProtection="1">
      <alignment horizontal="center"/>
      <protection/>
    </xf>
    <xf numFmtId="0" fontId="7" fillId="8" borderId="6" xfId="0" applyFont="1" applyFill="1" applyBorder="1" applyAlignment="1" applyProtection="1">
      <alignment horizontal="center"/>
      <protection/>
    </xf>
    <xf numFmtId="0" fontId="6" fillId="8" borderId="15" xfId="0" applyFont="1" applyFill="1" applyBorder="1" applyAlignment="1" applyProtection="1">
      <alignment horizontal="center"/>
      <protection/>
    </xf>
    <xf numFmtId="0" fontId="6" fillId="8" borderId="26" xfId="0" applyFont="1" applyFill="1" applyBorder="1" applyAlignment="1" applyProtection="1">
      <alignment horizontal="center"/>
      <protection/>
    </xf>
    <xf numFmtId="0" fontId="6" fillId="8" borderId="16" xfId="0" applyFont="1" applyFill="1" applyBorder="1" applyAlignment="1" applyProtection="1">
      <alignment horizontal="center"/>
      <protection/>
    </xf>
    <xf numFmtId="0" fontId="6" fillId="8" borderId="0" xfId="0" applyFont="1" applyFill="1" applyBorder="1" applyAlignment="1" applyProtection="1">
      <alignment horizontal="center"/>
      <protection/>
    </xf>
    <xf numFmtId="0" fontId="6" fillId="0" borderId="28" xfId="0" applyFont="1" applyFill="1" applyBorder="1" applyAlignment="1">
      <alignment horizontal="right"/>
    </xf>
    <xf numFmtId="0" fontId="6" fillId="0" borderId="6" xfId="0" applyFont="1" applyFill="1" applyBorder="1" applyAlignment="1">
      <alignment horizontal="right"/>
    </xf>
    <xf numFmtId="165" fontId="7" fillId="0" borderId="29" xfId="0" applyNumberFormat="1" applyFont="1" applyFill="1" applyBorder="1" applyAlignment="1">
      <alignment horizontal="left"/>
    </xf>
    <xf numFmtId="165" fontId="7" fillId="0" borderId="5" xfId="0" applyNumberFormat="1" applyFont="1" applyFill="1" applyBorder="1" applyAlignment="1">
      <alignment horizontal="left"/>
    </xf>
    <xf numFmtId="10" fontId="7" fillId="37" borderId="0" xfId="71" applyNumberFormat="1" applyFont="1" applyFill="1" applyBorder="1" applyAlignment="1" applyProtection="1">
      <alignment horizontal="center"/>
      <protection locked="0"/>
    </xf>
    <xf numFmtId="9" fontId="7" fillId="37" borderId="27" xfId="71" applyFont="1" applyFill="1" applyBorder="1" applyAlignment="1" applyProtection="1">
      <alignment horizontal="center"/>
      <protection locked="0"/>
    </xf>
    <xf numFmtId="9" fontId="7" fillId="37" borderId="25" xfId="0" applyNumberFormat="1" applyFont="1" applyFill="1" applyBorder="1" applyAlignment="1" applyProtection="1">
      <alignment horizontal="center"/>
      <protection locked="0"/>
    </xf>
    <xf numFmtId="0" fontId="7" fillId="37" borderId="23" xfId="0" applyFont="1" applyFill="1" applyBorder="1" applyAlignment="1" applyProtection="1">
      <alignment horizontal="center"/>
      <protection locked="0"/>
    </xf>
    <xf numFmtId="165" fontId="7" fillId="37" borderId="0" xfId="46" applyNumberFormat="1" applyFont="1" applyFill="1" applyBorder="1" applyAlignment="1" applyProtection="1">
      <alignment horizontal="center"/>
      <protection locked="0"/>
    </xf>
    <xf numFmtId="165" fontId="7" fillId="37" borderId="0" xfId="0" applyNumberFormat="1" applyFont="1" applyFill="1" applyBorder="1" applyAlignment="1" applyProtection="1">
      <alignment horizontal="center"/>
      <protection locked="0"/>
    </xf>
    <xf numFmtId="165" fontId="7" fillId="37" borderId="17" xfId="0" applyNumberFormat="1" applyFont="1" applyFill="1" applyBorder="1" applyAlignment="1" applyProtection="1">
      <alignment horizontal="center"/>
      <protection locked="0"/>
    </xf>
    <xf numFmtId="10" fontId="7" fillId="37" borderId="17" xfId="71" applyNumberFormat="1" applyFont="1" applyFill="1" applyBorder="1" applyAlignment="1" applyProtection="1">
      <alignment horizontal="center"/>
      <protection locked="0"/>
    </xf>
    <xf numFmtId="164" fontId="7" fillId="37" borderId="36" xfId="71" applyNumberFormat="1" applyFont="1" applyFill="1" applyBorder="1" applyAlignment="1" applyProtection="1">
      <alignment horizontal="center"/>
      <protection locked="0"/>
    </xf>
    <xf numFmtId="9" fontId="7" fillId="37" borderId="24" xfId="71" applyFont="1" applyFill="1" applyBorder="1" applyAlignment="1" applyProtection="1">
      <alignment horizontal="center"/>
      <protection locked="0"/>
    </xf>
    <xf numFmtId="193" fontId="7" fillId="37" borderId="0" xfId="43" applyNumberFormat="1" applyFont="1" applyFill="1" applyBorder="1" applyAlignment="1" applyProtection="1">
      <alignment horizontal="center"/>
      <protection locked="0"/>
    </xf>
    <xf numFmtId="166" fontId="7" fillId="37" borderId="0" xfId="46" applyNumberFormat="1" applyFont="1" applyFill="1" applyBorder="1" applyAlignment="1" applyProtection="1">
      <alignment horizontal="center"/>
      <protection locked="0"/>
    </xf>
    <xf numFmtId="0" fontId="23" fillId="0" borderId="0" xfId="61" applyFont="1" applyAlignment="1" applyProtection="1">
      <alignment/>
      <protection locked="0"/>
    </xf>
    <xf numFmtId="9" fontId="7" fillId="0" borderId="0" xfId="71" applyFont="1" applyFill="1" applyBorder="1" applyAlignment="1" applyProtection="1">
      <alignment/>
      <protection/>
    </xf>
    <xf numFmtId="164" fontId="7" fillId="0" borderId="5" xfId="71" applyNumberFormat="1" applyFont="1" applyFill="1" applyBorder="1" applyAlignment="1" applyProtection="1">
      <alignment/>
      <protection/>
    </xf>
  </cellXfs>
  <cellStyles count="6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mount" xfId="39"/>
    <cellStyle name="Bad" xfId="40"/>
    <cellStyle name="Calculation" xfId="41"/>
    <cellStyle name="Check Cell" xfId="42"/>
    <cellStyle name="Comma" xfId="43"/>
    <cellStyle name="Comma [0]" xfId="44"/>
    <cellStyle name="Comma 2" xfId="45"/>
    <cellStyle name="Currency" xfId="46"/>
    <cellStyle name="Currency [0]" xfId="47"/>
    <cellStyle name="Currency 2" xfId="48"/>
    <cellStyle name="Explanatory Text" xfId="49"/>
    <cellStyle name="Followed Hyperlink" xfId="50"/>
    <cellStyle name="Good" xfId="51"/>
    <cellStyle name="header" xfId="52"/>
    <cellStyle name="Header Total" xfId="53"/>
    <cellStyle name="Header1" xfId="54"/>
    <cellStyle name="Header2" xfId="55"/>
    <cellStyle name="Header3" xfId="56"/>
    <cellStyle name="Heading 1" xfId="57"/>
    <cellStyle name="Heading 2" xfId="58"/>
    <cellStyle name="Heading 3" xfId="59"/>
    <cellStyle name="Heading 4" xfId="60"/>
    <cellStyle name="Hyperlink" xfId="61"/>
    <cellStyle name="Input" xfId="62"/>
    <cellStyle name="Linked Cell" xfId="63"/>
    <cellStyle name="Neutral" xfId="64"/>
    <cellStyle name="Normal 2" xfId="65"/>
    <cellStyle name="Normal 2 2" xfId="66"/>
    <cellStyle name="Normal 3" xfId="67"/>
    <cellStyle name="Normal 4" xfId="68"/>
    <cellStyle name="Note" xfId="69"/>
    <cellStyle name="Output" xfId="70"/>
    <cellStyle name="Percent" xfId="71"/>
    <cellStyle name="Percent 2" xfId="72"/>
    <cellStyle name="Title" xfId="73"/>
    <cellStyle name="Total" xfId="74"/>
    <cellStyle name="Warning Text"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roholco\My%20Documents\Projects\Biofuels\Sorganol\Sweet%20Sorghum%20Budget%20-%20Sept%2020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weet Sorghum Production"/>
      <sheetName val="Input Value"/>
      <sheetName val="Processing Equipment"/>
      <sheetName val="Utilities"/>
      <sheetName val="Personnel Expenses"/>
      <sheetName val="Depreciation"/>
      <sheetName val="Expense Projection"/>
      <sheetName val="Market Projection"/>
      <sheetName val="Loan Amortization"/>
      <sheetName val="Operations Summary"/>
      <sheetName val="Farmer Information"/>
      <sheetName val="Return On Investment"/>
    </sheetNames>
    <sheetDataSet>
      <sheetData sheetId="1">
        <row r="25">
          <cell r="C25">
            <v>3.23</v>
          </cell>
        </row>
        <row r="26">
          <cell r="C26">
            <v>3.23</v>
          </cell>
        </row>
        <row r="31">
          <cell r="C31">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2:B14"/>
  <sheetViews>
    <sheetView showGridLines="0" showRowColHeaders="0" tabSelected="1" zoomScalePageLayoutView="0" workbookViewId="0" topLeftCell="A1">
      <selection activeCell="B10" sqref="B10"/>
    </sheetView>
  </sheetViews>
  <sheetFormatPr defaultColWidth="9.140625" defaultRowHeight="12.75"/>
  <cols>
    <col min="1" max="1" width="3.7109375" style="424" customWidth="1"/>
    <col min="2" max="2" width="131.28125" style="424" customWidth="1"/>
    <col min="3" max="3" width="2.00390625" style="424" customWidth="1"/>
    <col min="4" max="16384" width="9.140625" style="424" customWidth="1"/>
  </cols>
  <sheetData>
    <row r="1" ht="8.25" customHeight="1"/>
    <row r="2" ht="25.5">
      <c r="B2" s="426" t="s">
        <v>320</v>
      </c>
    </row>
    <row r="3" ht="18.75">
      <c r="B3" s="427" t="s">
        <v>315</v>
      </c>
    </row>
    <row r="4" ht="15.75">
      <c r="B4" s="428"/>
    </row>
    <row r="5" ht="18.75">
      <c r="B5" s="429" t="s">
        <v>314</v>
      </c>
    </row>
    <row r="6" ht="12.75">
      <c r="B6" s="430"/>
    </row>
    <row r="7" ht="78.75">
      <c r="B7" s="431" t="s">
        <v>317</v>
      </c>
    </row>
    <row r="8" ht="15.75">
      <c r="B8" s="432"/>
    </row>
    <row r="9" ht="44.25" customHeight="1">
      <c r="B9" s="431" t="s">
        <v>319</v>
      </c>
    </row>
    <row r="10" ht="15.75">
      <c r="B10" s="499" t="s">
        <v>313</v>
      </c>
    </row>
    <row r="11" ht="96.75" customHeight="1">
      <c r="B11" s="431" t="s">
        <v>318</v>
      </c>
    </row>
    <row r="12" ht="15.75">
      <c r="B12" s="432"/>
    </row>
    <row r="13" s="425" customFormat="1" ht="25.5">
      <c r="B13" s="433" t="s">
        <v>316</v>
      </c>
    </row>
    <row r="14" ht="12.75">
      <c r="B14" s="430" t="s">
        <v>312</v>
      </c>
    </row>
  </sheetData>
  <sheetProtection password="C977" sheet="1" selectLockedCells="1"/>
  <hyperlinks>
    <hyperlink ref="B10" location="Assumptions!A1" display="Start using the template"/>
  </hyperlinks>
  <printOptions/>
  <pageMargins left="0.7" right="0.7" top="0.75" bottom="0.75" header="0.3" footer="0.3"/>
  <pageSetup horizontalDpi="600" verticalDpi="600" orientation="portrait" r:id="rId3"/>
  <legacyDrawing r:id="rId2"/>
  <oleObjects>
    <oleObject progId="Acrobat Document" dvAspect="DVASPECT_ICON" shapeId="16522876" r:id="rId1"/>
  </oleObjects>
</worksheet>
</file>

<file path=xl/worksheets/sheet2.xml><?xml version="1.0" encoding="utf-8"?>
<worksheet xmlns="http://schemas.openxmlformats.org/spreadsheetml/2006/main" xmlns:r="http://schemas.openxmlformats.org/officeDocument/2006/relationships">
  <dimension ref="A2:X52"/>
  <sheetViews>
    <sheetView showGridLines="0" zoomScale="75" zoomScaleNormal="75" zoomScalePageLayoutView="0" workbookViewId="0" topLeftCell="A1">
      <selection activeCell="A5" sqref="A5"/>
    </sheetView>
  </sheetViews>
  <sheetFormatPr defaultColWidth="9.140625" defaultRowHeight="12.75"/>
  <cols>
    <col min="1" max="1" width="30.28125" style="1" customWidth="1"/>
    <col min="2" max="2" width="20.00390625" style="1" customWidth="1"/>
    <col min="3" max="3" width="11.140625" style="1" bestFit="1" customWidth="1"/>
    <col min="4" max="4" width="13.28125" style="1" bestFit="1" customWidth="1"/>
    <col min="5" max="5" width="9.140625" style="1" hidden="1" customWidth="1"/>
    <col min="6" max="6" width="9.140625" style="1" customWidth="1"/>
    <col min="7" max="7" width="31.140625" style="40" customWidth="1"/>
    <col min="8" max="8" width="19.8515625" style="1" customWidth="1"/>
    <col min="9" max="9" width="12.7109375" style="1" customWidth="1"/>
    <col min="10" max="10" width="16.00390625" style="1" customWidth="1"/>
    <col min="11" max="11" width="16.7109375" style="1" customWidth="1"/>
    <col min="12" max="12" width="12.7109375" style="3" customWidth="1"/>
    <col min="13" max="13" width="14.7109375" style="1" customWidth="1"/>
    <col min="14" max="14" width="9.140625" style="1" customWidth="1"/>
    <col min="15" max="15" width="16.00390625" style="1" customWidth="1"/>
    <col min="16" max="19" width="17.7109375" style="1" customWidth="1"/>
    <col min="20" max="20" width="9.140625" style="1" customWidth="1"/>
    <col min="21" max="21" width="11.00390625" style="1" customWidth="1"/>
    <col min="22" max="22" width="10.421875" style="1" bestFit="1" customWidth="1"/>
    <col min="23" max="24" width="9.140625" style="1" customWidth="1"/>
    <col min="25" max="16384" width="9.140625" style="1" customWidth="1"/>
  </cols>
  <sheetData>
    <row r="1" ht="15.75"/>
    <row r="2" ht="18.75">
      <c r="A2" s="389" t="s">
        <v>292</v>
      </c>
    </row>
    <row r="3" ht="18.75">
      <c r="A3" s="389"/>
    </row>
    <row r="4" spans="1:7" ht="15.75">
      <c r="A4" s="1" t="s">
        <v>293</v>
      </c>
      <c r="G4" s="393" t="s">
        <v>296</v>
      </c>
    </row>
    <row r="5" spans="1:12" s="388" customFormat="1" ht="18.75">
      <c r="A5" s="399" t="s">
        <v>294</v>
      </c>
      <c r="B5" s="1"/>
      <c r="C5" s="1"/>
      <c r="D5" s="1"/>
      <c r="E5" s="1"/>
      <c r="F5" s="1"/>
      <c r="G5" s="399" t="s">
        <v>297</v>
      </c>
      <c r="H5" s="399" t="s">
        <v>300</v>
      </c>
      <c r="I5" s="1"/>
      <c r="J5" s="1"/>
      <c r="K5" s="1"/>
      <c r="L5" s="3"/>
    </row>
    <row r="6" spans="1:12" s="388" customFormat="1" ht="18.75">
      <c r="A6" s="399" t="s">
        <v>295</v>
      </c>
      <c r="B6" s="1"/>
      <c r="C6" s="1"/>
      <c r="D6" s="1"/>
      <c r="E6" s="1"/>
      <c r="F6" s="1"/>
      <c r="G6" s="399" t="s">
        <v>298</v>
      </c>
      <c r="H6" s="399" t="s">
        <v>301</v>
      </c>
      <c r="I6" s="1"/>
      <c r="J6" s="1"/>
      <c r="K6" s="1"/>
      <c r="L6" s="3"/>
    </row>
    <row r="7" spans="1:12" s="388" customFormat="1" ht="18.75">
      <c r="A7" s="399" t="s">
        <v>299</v>
      </c>
      <c r="B7" s="1"/>
      <c r="C7" s="1"/>
      <c r="D7" s="1"/>
      <c r="E7" s="1"/>
      <c r="F7" s="1"/>
      <c r="G7" s="399" t="s">
        <v>299</v>
      </c>
      <c r="H7" s="1"/>
      <c r="I7" s="1"/>
      <c r="J7" s="1"/>
      <c r="K7" s="1"/>
      <c r="L7" s="3"/>
    </row>
    <row r="8" spans="7:12" s="388" customFormat="1" ht="19.5" thickBot="1">
      <c r="G8" s="391"/>
      <c r="L8" s="392"/>
    </row>
    <row r="9" spans="1:24" s="16" customFormat="1" ht="21" thickBot="1">
      <c r="A9" s="241"/>
      <c r="B9" s="242" t="s">
        <v>89</v>
      </c>
      <c r="C9" s="243"/>
      <c r="D9" s="244"/>
      <c r="E9" s="57"/>
      <c r="F9" s="387"/>
      <c r="G9" s="446" t="s">
        <v>275</v>
      </c>
      <c r="H9" s="447"/>
      <c r="I9" s="447"/>
      <c r="J9" s="447"/>
      <c r="K9" s="447"/>
      <c r="L9" s="448"/>
      <c r="M9" s="190"/>
      <c r="N9" s="193"/>
      <c r="O9" s="190"/>
      <c r="P9" s="190"/>
      <c r="Q9" s="190"/>
      <c r="R9" s="190"/>
      <c r="S9" s="190"/>
      <c r="T9" s="190"/>
      <c r="X9" s="218"/>
    </row>
    <row r="10" spans="1:20" s="16" customFormat="1" ht="15.75">
      <c r="A10" s="449" t="s">
        <v>285</v>
      </c>
      <c r="B10" s="450"/>
      <c r="C10" s="453">
        <v>100</v>
      </c>
      <c r="D10" s="454"/>
      <c r="E10" s="3"/>
      <c r="F10" s="3"/>
      <c r="G10" s="217"/>
      <c r="I10" s="7"/>
      <c r="J10" s="172" t="s">
        <v>267</v>
      </c>
      <c r="K10" s="7"/>
      <c r="L10" s="342"/>
      <c r="R10" s="193"/>
      <c r="S10" s="191"/>
      <c r="T10" s="193"/>
    </row>
    <row r="11" spans="1:21" s="16" customFormat="1" ht="15.75">
      <c r="A11" s="46" t="s">
        <v>198</v>
      </c>
      <c r="B11" s="70"/>
      <c r="C11" s="453">
        <v>50</v>
      </c>
      <c r="D11" s="454"/>
      <c r="E11" s="3"/>
      <c r="F11" s="3"/>
      <c r="G11" s="217" t="s">
        <v>180</v>
      </c>
      <c r="H11" s="3">
        <f>C19*B18</f>
        <v>744</v>
      </c>
      <c r="I11" s="3"/>
      <c r="J11" s="11" t="s">
        <v>268</v>
      </c>
      <c r="K11" s="11" t="s">
        <v>192</v>
      </c>
      <c r="L11" s="434" t="s">
        <v>270</v>
      </c>
      <c r="R11" s="193"/>
      <c r="S11" s="193"/>
      <c r="T11" s="193"/>
      <c r="U11" s="14"/>
    </row>
    <row r="12" spans="1:22" s="16" customFormat="1" ht="15.75">
      <c r="A12" s="385" t="s">
        <v>179</v>
      </c>
      <c r="B12" s="386"/>
      <c r="C12" s="457">
        <f>C11*7</f>
        <v>350</v>
      </c>
      <c r="D12" s="458"/>
      <c r="E12" s="3"/>
      <c r="F12" s="3"/>
      <c r="G12" s="343" t="s">
        <v>186</v>
      </c>
      <c r="H12" s="44" t="s">
        <v>187</v>
      </c>
      <c r="I12" s="44" t="s">
        <v>188</v>
      </c>
      <c r="J12" s="44" t="s">
        <v>191</v>
      </c>
      <c r="K12" s="44" t="s">
        <v>189</v>
      </c>
      <c r="L12" s="435" t="s">
        <v>269</v>
      </c>
      <c r="R12" s="201"/>
      <c r="S12" s="201"/>
      <c r="T12" s="201"/>
      <c r="U12" s="204"/>
      <c r="V12" s="28"/>
    </row>
    <row r="13" spans="1:22" s="16" customFormat="1" ht="16.5" thickBot="1">
      <c r="A13" s="46" t="s">
        <v>286</v>
      </c>
      <c r="B13" s="70"/>
      <c r="C13" s="455">
        <f>C10*C12</f>
        <v>35000</v>
      </c>
      <c r="D13" s="456"/>
      <c r="E13" s="3"/>
      <c r="F13" s="3"/>
      <c r="G13" s="217" t="s">
        <v>181</v>
      </c>
      <c r="H13" s="487">
        <v>0.09</v>
      </c>
      <c r="I13" s="3">
        <f aca="true" t="shared" si="0" ref="I13:I20">$H$11*H13</f>
        <v>66.96</v>
      </c>
      <c r="J13" s="404">
        <f>257.21</f>
        <v>257.21</v>
      </c>
      <c r="K13" s="436">
        <f>J13/100</f>
        <v>2.5721</v>
      </c>
      <c r="L13" s="437">
        <f>I13*K13</f>
        <v>172.22781599999996</v>
      </c>
      <c r="R13" s="333"/>
      <c r="S13" s="332"/>
      <c r="T13" s="199"/>
      <c r="U13" s="66"/>
      <c r="V13" s="66"/>
    </row>
    <row r="14" spans="1:22" s="16" customFormat="1" ht="20.25">
      <c r="A14" s="446" t="s">
        <v>203</v>
      </c>
      <c r="B14" s="447"/>
      <c r="C14" s="447"/>
      <c r="D14" s="448"/>
      <c r="E14" s="3"/>
      <c r="F14" s="3"/>
      <c r="G14" s="217" t="s">
        <v>182</v>
      </c>
      <c r="H14" s="487">
        <v>0.29</v>
      </c>
      <c r="I14" s="3">
        <f t="shared" si="0"/>
        <v>215.76</v>
      </c>
      <c r="J14" s="404">
        <f>164.08</f>
        <v>164.08</v>
      </c>
      <c r="K14" s="436">
        <f>IF($M$23&gt;0,#REF!/100,J14/100)</f>
        <v>1.6408</v>
      </c>
      <c r="L14" s="437">
        <f aca="true" t="shared" si="1" ref="L14:L20">I14*K14</f>
        <v>354.019008</v>
      </c>
      <c r="R14" s="333"/>
      <c r="S14" s="332"/>
      <c r="T14" s="341"/>
      <c r="U14" s="66"/>
      <c r="V14" s="66"/>
    </row>
    <row r="15" spans="1:22" s="16" customFormat="1" ht="15.75">
      <c r="A15" s="346"/>
      <c r="B15" s="246"/>
      <c r="C15" s="246"/>
      <c r="D15" s="247" t="s">
        <v>218</v>
      </c>
      <c r="E15" s="3"/>
      <c r="F15" s="3"/>
      <c r="G15" s="217" t="s">
        <v>183</v>
      </c>
      <c r="H15" s="487">
        <v>0.22</v>
      </c>
      <c r="I15" s="3">
        <f t="shared" si="0"/>
        <v>163.68</v>
      </c>
      <c r="J15" s="404">
        <f>170.9</f>
        <v>170.9</v>
      </c>
      <c r="K15" s="436">
        <f>IF($M$23&gt;0,#REF!/100,J15/100)</f>
        <v>1.709</v>
      </c>
      <c r="L15" s="437">
        <f t="shared" si="1"/>
        <v>279.72912</v>
      </c>
      <c r="R15" s="333"/>
      <c r="S15" s="332"/>
      <c r="T15" s="341"/>
      <c r="U15" s="66"/>
      <c r="V15" s="66"/>
    </row>
    <row r="16" spans="1:22" s="17" customFormat="1" ht="21" thickBot="1">
      <c r="A16" s="245" t="s">
        <v>84</v>
      </c>
      <c r="B16" s="246" t="s">
        <v>31</v>
      </c>
      <c r="C16" s="246" t="s">
        <v>32</v>
      </c>
      <c r="D16" s="247" t="s">
        <v>33</v>
      </c>
      <c r="E16" s="13"/>
      <c r="F16" s="68"/>
      <c r="G16" s="217" t="s">
        <v>184</v>
      </c>
      <c r="H16" s="487">
        <v>0.17</v>
      </c>
      <c r="I16" s="3">
        <f t="shared" si="0"/>
        <v>126.48</v>
      </c>
      <c r="J16" s="404">
        <f>247.42</f>
        <v>247.42</v>
      </c>
      <c r="K16" s="436">
        <f>J16/100</f>
        <v>2.4741999999999997</v>
      </c>
      <c r="L16" s="437">
        <f t="shared" si="1"/>
        <v>312.93681599999996</v>
      </c>
      <c r="R16" s="333"/>
      <c r="S16" s="332"/>
      <c r="T16" s="199"/>
      <c r="U16" s="66"/>
      <c r="V16" s="66"/>
    </row>
    <row r="17" spans="1:22" s="18" customFormat="1" ht="15.75">
      <c r="A17" s="352"/>
      <c r="B17" s="355" t="s">
        <v>280</v>
      </c>
      <c r="C17" s="356" t="s">
        <v>281</v>
      </c>
      <c r="D17" s="354"/>
      <c r="E17" s="15"/>
      <c r="F17" s="60"/>
      <c r="G17" s="217" t="s">
        <v>190</v>
      </c>
      <c r="H17" s="487">
        <v>0.1</v>
      </c>
      <c r="I17" s="3">
        <f t="shared" si="0"/>
        <v>74.4</v>
      </c>
      <c r="J17" s="404">
        <f>120.86</f>
        <v>120.86</v>
      </c>
      <c r="K17" s="436">
        <f>J17/100</f>
        <v>1.2086</v>
      </c>
      <c r="L17" s="437">
        <f t="shared" si="1"/>
        <v>89.91984</v>
      </c>
      <c r="R17" s="333"/>
      <c r="S17" s="332"/>
      <c r="T17" s="199"/>
      <c r="U17" s="66"/>
      <c r="V17" s="66"/>
    </row>
    <row r="18" spans="1:22" s="28" customFormat="1" ht="15.75">
      <c r="A18" s="353" t="s">
        <v>262</v>
      </c>
      <c r="B18" s="401">
        <v>1200</v>
      </c>
      <c r="C18" s="402">
        <v>107</v>
      </c>
      <c r="D18" s="403">
        <v>0.01</v>
      </c>
      <c r="E18" s="27"/>
      <c r="F18" s="27"/>
      <c r="G18" s="217" t="s">
        <v>193</v>
      </c>
      <c r="H18" s="487">
        <v>0.05</v>
      </c>
      <c r="I18" s="3">
        <f t="shared" si="0"/>
        <v>37.2</v>
      </c>
      <c r="J18" s="404">
        <f>133.92</f>
        <v>133.92</v>
      </c>
      <c r="K18" s="436">
        <f>J18/100</f>
        <v>1.3392</v>
      </c>
      <c r="L18" s="437">
        <f t="shared" si="1"/>
        <v>49.81824</v>
      </c>
      <c r="R18" s="333"/>
      <c r="S18" s="332"/>
      <c r="T18" s="199"/>
      <c r="U18" s="66"/>
      <c r="V18" s="66"/>
    </row>
    <row r="19" spans="1:22" s="16" customFormat="1" ht="15.75">
      <c r="A19" s="74" t="s">
        <v>283</v>
      </c>
      <c r="B19" s="16" t="s">
        <v>284</v>
      </c>
      <c r="C19" s="417">
        <v>0.62</v>
      </c>
      <c r="D19" s="214" t="s">
        <v>37</v>
      </c>
      <c r="E19" s="5"/>
      <c r="F19" s="5"/>
      <c r="G19" s="217" t="s">
        <v>185</v>
      </c>
      <c r="H19" s="487">
        <v>0.04</v>
      </c>
      <c r="I19" s="3">
        <f t="shared" si="0"/>
        <v>29.76</v>
      </c>
      <c r="J19" s="404">
        <f>113.88</f>
        <v>113.88</v>
      </c>
      <c r="K19" s="436">
        <f>J19/100</f>
        <v>1.1388</v>
      </c>
      <c r="L19" s="437">
        <f t="shared" si="1"/>
        <v>33.890688000000004</v>
      </c>
      <c r="R19" s="333"/>
      <c r="S19" s="332"/>
      <c r="T19" s="199"/>
      <c r="U19" s="66"/>
      <c r="V19" s="66"/>
    </row>
    <row r="20" spans="1:20" s="16" customFormat="1" ht="15.75">
      <c r="A20" s="35" t="s">
        <v>202</v>
      </c>
      <c r="B20" s="207"/>
      <c r="C20" s="210">
        <f>C21*C22</f>
        <v>425</v>
      </c>
      <c r="D20" s="406">
        <v>0.01</v>
      </c>
      <c r="E20" s="5"/>
      <c r="F20" s="5"/>
      <c r="G20" s="217" t="s">
        <v>266</v>
      </c>
      <c r="H20" s="487">
        <v>0.04</v>
      </c>
      <c r="I20" s="3">
        <f t="shared" si="0"/>
        <v>29.76</v>
      </c>
      <c r="J20" s="404">
        <f>100</f>
        <v>100</v>
      </c>
      <c r="K20" s="436">
        <f>J20/100</f>
        <v>1</v>
      </c>
      <c r="L20" s="437">
        <f t="shared" si="1"/>
        <v>29.76</v>
      </c>
      <c r="R20" s="191"/>
      <c r="S20" s="191"/>
      <c r="T20" s="191"/>
    </row>
    <row r="21" spans="1:22" s="16" customFormat="1" ht="16.5" thickBot="1">
      <c r="A21" s="36" t="s">
        <v>197</v>
      </c>
      <c r="B21" s="208" t="s">
        <v>199</v>
      </c>
      <c r="C21" s="404">
        <v>85</v>
      </c>
      <c r="D21" s="34"/>
      <c r="E21" s="5"/>
      <c r="F21" s="5"/>
      <c r="G21" s="344" t="s">
        <v>137</v>
      </c>
      <c r="H21" s="438">
        <f>SUM(H13:H20)</f>
        <v>1</v>
      </c>
      <c r="I21" s="345"/>
      <c r="J21" s="345"/>
      <c r="K21" s="345"/>
      <c r="L21" s="439">
        <f>SUM(L13:L20)</f>
        <v>1322.301528</v>
      </c>
      <c r="R21" s="195"/>
      <c r="S21" s="332"/>
      <c r="T21" s="191"/>
      <c r="V21" s="66"/>
    </row>
    <row r="22" spans="1:22" s="16" customFormat="1" ht="15.75">
      <c r="A22" s="36" t="s">
        <v>200</v>
      </c>
      <c r="B22" s="208" t="s">
        <v>201</v>
      </c>
      <c r="C22" s="405">
        <v>5</v>
      </c>
      <c r="D22" s="34"/>
      <c r="E22" s="5"/>
      <c r="F22" s="5"/>
      <c r="G22" s="189" t="s">
        <v>282</v>
      </c>
      <c r="H22" s="192"/>
      <c r="I22" s="331"/>
      <c r="J22" s="191"/>
      <c r="K22" s="191"/>
      <c r="L22" s="191"/>
      <c r="R22" s="191"/>
      <c r="S22" s="194"/>
      <c r="T22" s="191"/>
      <c r="V22" s="66"/>
    </row>
    <row r="23" spans="1:20" s="16" customFormat="1" ht="16.5" thickBot="1">
      <c r="A23" s="36"/>
      <c r="B23" s="208"/>
      <c r="C23" s="209"/>
      <c r="D23" s="34"/>
      <c r="E23" s="3"/>
      <c r="F23" s="3"/>
      <c r="G23" s="40"/>
      <c r="H23" s="1"/>
      <c r="I23" s="1"/>
      <c r="J23" s="1"/>
      <c r="K23" s="2"/>
      <c r="L23" s="197"/>
      <c r="M23" s="340"/>
      <c r="N23" s="196"/>
      <c r="O23" s="191"/>
      <c r="P23" s="191"/>
      <c r="Q23" s="191"/>
      <c r="R23" s="191"/>
      <c r="S23" s="191"/>
      <c r="T23" s="191"/>
    </row>
    <row r="24" spans="1:20" s="16" customFormat="1" ht="20.25">
      <c r="A24" s="35" t="s">
        <v>34</v>
      </c>
      <c r="B24" s="31" t="s">
        <v>35</v>
      </c>
      <c r="C24" s="407">
        <v>0.1</v>
      </c>
      <c r="D24" s="406">
        <v>0.01</v>
      </c>
      <c r="E24" s="3"/>
      <c r="F24" s="3"/>
      <c r="G24" s="248"/>
      <c r="H24" s="249" t="s">
        <v>90</v>
      </c>
      <c r="I24" s="250"/>
      <c r="J24" s="251"/>
      <c r="K24" s="2"/>
      <c r="L24" s="189"/>
      <c r="M24" s="191"/>
      <c r="N24" s="191"/>
      <c r="O24" s="191"/>
      <c r="P24" s="191"/>
      <c r="Q24" s="191"/>
      <c r="R24" s="191"/>
      <c r="S24" s="191"/>
      <c r="T24" s="191"/>
    </row>
    <row r="25" spans="1:20" s="16" customFormat="1" ht="16.5" thickBot="1">
      <c r="A25" s="36" t="s">
        <v>227</v>
      </c>
      <c r="B25" s="3" t="s">
        <v>36</v>
      </c>
      <c r="C25" s="408">
        <v>34.2</v>
      </c>
      <c r="D25" s="400" t="s">
        <v>37</v>
      </c>
      <c r="E25" s="5"/>
      <c r="F25" s="5"/>
      <c r="G25" s="348" t="s">
        <v>84</v>
      </c>
      <c r="H25" s="349" t="s">
        <v>31</v>
      </c>
      <c r="I25" s="349" t="s">
        <v>32</v>
      </c>
      <c r="J25" s="350" t="s">
        <v>33</v>
      </c>
      <c r="L25" s="200"/>
      <c r="M25" s="191"/>
      <c r="N25" s="191"/>
      <c r="O25" s="191"/>
      <c r="P25" s="191"/>
      <c r="Q25" s="191"/>
      <c r="R25" s="191"/>
      <c r="S25" s="191"/>
      <c r="T25" s="191"/>
    </row>
    <row r="26" spans="1:20" s="16" customFormat="1" ht="15.75">
      <c r="A26" s="37"/>
      <c r="B26" s="30"/>
      <c r="C26" s="32"/>
      <c r="D26" s="167"/>
      <c r="E26" s="5"/>
      <c r="F26" s="5"/>
      <c r="G26" s="347" t="s">
        <v>278</v>
      </c>
      <c r="H26" s="2" t="s">
        <v>20</v>
      </c>
      <c r="I26" s="206">
        <f>L21</f>
        <v>1322.301528</v>
      </c>
      <c r="J26" s="412">
        <v>0.01</v>
      </c>
      <c r="M26" s="199"/>
      <c r="N26" s="191"/>
      <c r="O26" s="191"/>
      <c r="P26" s="191"/>
      <c r="Q26" s="191"/>
      <c r="R26" s="191"/>
      <c r="S26" s="191"/>
      <c r="T26" s="191"/>
    </row>
    <row r="27" spans="1:20" s="16" customFormat="1" ht="15.75">
      <c r="A27" s="35" t="s">
        <v>39</v>
      </c>
      <c r="B27" s="31" t="s">
        <v>40</v>
      </c>
      <c r="C27" s="407">
        <v>0.077</v>
      </c>
      <c r="D27" s="406">
        <v>0.01</v>
      </c>
      <c r="E27" s="5"/>
      <c r="F27" s="5"/>
      <c r="G27" s="42" t="s">
        <v>196</v>
      </c>
      <c r="H27" s="206" t="s">
        <v>20</v>
      </c>
      <c r="I27" s="404">
        <v>25</v>
      </c>
      <c r="J27" s="416">
        <v>0.01</v>
      </c>
      <c r="M27" s="191"/>
      <c r="N27" s="191"/>
      <c r="O27" s="191"/>
      <c r="P27" s="191"/>
      <c r="Q27" s="191"/>
      <c r="R27" s="191"/>
      <c r="S27" s="191"/>
      <c r="T27" s="191"/>
    </row>
    <row r="28" spans="1:20" s="16" customFormat="1" ht="15.75">
      <c r="A28" s="36" t="s">
        <v>274</v>
      </c>
      <c r="B28" s="3" t="s">
        <v>42</v>
      </c>
      <c r="C28" s="409">
        <v>16</v>
      </c>
      <c r="D28" s="400" t="s">
        <v>37</v>
      </c>
      <c r="E28" s="5"/>
      <c r="F28" s="5"/>
      <c r="G28" s="42" t="s">
        <v>279</v>
      </c>
      <c r="H28" s="206" t="s">
        <v>20</v>
      </c>
      <c r="I28" s="404">
        <v>15</v>
      </c>
      <c r="J28" s="416">
        <v>0.01</v>
      </c>
      <c r="L28" s="189"/>
      <c r="M28" s="198"/>
      <c r="N28" s="191"/>
      <c r="O28" s="191"/>
      <c r="P28" s="191"/>
      <c r="Q28" s="191"/>
      <c r="R28" s="191"/>
      <c r="S28" s="191"/>
      <c r="T28" s="191"/>
    </row>
    <row r="29" spans="1:20" s="16" customFormat="1" ht="15.75">
      <c r="A29" s="38"/>
      <c r="B29" s="33"/>
      <c r="C29" s="168"/>
      <c r="D29" s="41"/>
      <c r="E29" s="5"/>
      <c r="F29" s="5"/>
      <c r="G29" s="42" t="s">
        <v>207</v>
      </c>
      <c r="H29" s="3" t="s">
        <v>20</v>
      </c>
      <c r="I29" s="404">
        <v>7</v>
      </c>
      <c r="J29" s="416">
        <v>0.01</v>
      </c>
      <c r="L29" s="189"/>
      <c r="M29" s="198"/>
      <c r="N29" s="191"/>
      <c r="O29" s="191"/>
      <c r="P29" s="191"/>
      <c r="Q29" s="191"/>
      <c r="R29" s="191"/>
      <c r="S29" s="191"/>
      <c r="T29" s="191"/>
    </row>
    <row r="30" spans="1:20" s="16" customFormat="1" ht="15.75">
      <c r="A30" s="35" t="s">
        <v>43</v>
      </c>
      <c r="B30" s="31" t="s">
        <v>44</v>
      </c>
      <c r="C30" s="407">
        <v>0.003</v>
      </c>
      <c r="D30" s="406">
        <v>0.01</v>
      </c>
      <c r="E30" s="5"/>
      <c r="F30" s="5"/>
      <c r="G30" s="42" t="s">
        <v>287</v>
      </c>
      <c r="H30" s="3" t="s">
        <v>276</v>
      </c>
      <c r="I30" s="414">
        <v>0.025</v>
      </c>
      <c r="J30" s="351" t="s">
        <v>277</v>
      </c>
      <c r="L30" s="189"/>
      <c r="M30" s="191"/>
      <c r="N30" s="191"/>
      <c r="O30" s="191"/>
      <c r="P30" s="191"/>
      <c r="Q30" s="191"/>
      <c r="R30" s="191"/>
      <c r="S30" s="191"/>
      <c r="T30" s="191"/>
    </row>
    <row r="31" spans="1:20" s="16" customFormat="1" ht="16.5" thickBot="1">
      <c r="A31" s="36" t="s">
        <v>274</v>
      </c>
      <c r="B31" s="3" t="s">
        <v>45</v>
      </c>
      <c r="C31" s="408">
        <v>679</v>
      </c>
      <c r="D31" s="400" t="s">
        <v>37</v>
      </c>
      <c r="E31" s="5"/>
      <c r="F31" s="5"/>
      <c r="G31" s="211" t="s">
        <v>195</v>
      </c>
      <c r="H31" s="345" t="s">
        <v>276</v>
      </c>
      <c r="I31" s="415">
        <v>0.1</v>
      </c>
      <c r="J31" s="215" t="s">
        <v>277</v>
      </c>
      <c r="L31" s="189"/>
      <c r="M31" s="189"/>
      <c r="N31" s="191"/>
      <c r="O31" s="191"/>
      <c r="P31" s="191"/>
      <c r="Q31" s="191"/>
      <c r="R31" s="191"/>
      <c r="S31" s="191"/>
      <c r="T31" s="191"/>
    </row>
    <row r="32" spans="1:20" s="16" customFormat="1" ht="15.75">
      <c r="A32" s="39"/>
      <c r="B32" s="33"/>
      <c r="C32" s="32"/>
      <c r="D32" s="167"/>
      <c r="E32" s="5"/>
      <c r="F32" s="5"/>
      <c r="L32" s="189"/>
      <c r="M32" s="189"/>
      <c r="N32" s="191"/>
      <c r="O32" s="191"/>
      <c r="P32" s="191"/>
      <c r="Q32" s="191"/>
      <c r="R32" s="191"/>
      <c r="S32" s="191"/>
      <c r="T32" s="191"/>
    </row>
    <row r="33" spans="1:20" s="16" customFormat="1" ht="15.75">
      <c r="A33" s="35" t="s">
        <v>47</v>
      </c>
      <c r="B33" s="31" t="s">
        <v>48</v>
      </c>
      <c r="C33" s="407">
        <v>0.001</v>
      </c>
      <c r="D33" s="406">
        <v>0.01</v>
      </c>
      <c r="E33" s="5"/>
      <c r="F33" s="5"/>
      <c r="L33" s="189"/>
      <c r="M33" s="191"/>
      <c r="N33" s="189"/>
      <c r="O33" s="189"/>
      <c r="P33" s="191"/>
      <c r="Q33" s="191"/>
      <c r="R33" s="191"/>
      <c r="S33" s="191"/>
      <c r="T33" s="191"/>
    </row>
    <row r="34" spans="1:20" s="16" customFormat="1" ht="15.75">
      <c r="A34" s="36" t="s">
        <v>274</v>
      </c>
      <c r="B34" s="3" t="s">
        <v>49</v>
      </c>
      <c r="C34" s="408">
        <v>679</v>
      </c>
      <c r="D34" s="400" t="s">
        <v>37</v>
      </c>
      <c r="E34" s="5"/>
      <c r="F34" s="5"/>
      <c r="L34" s="189"/>
      <c r="M34" s="191"/>
      <c r="N34" s="189"/>
      <c r="O34" s="189"/>
      <c r="P34" s="189"/>
      <c r="Q34" s="189"/>
      <c r="R34" s="189"/>
      <c r="S34" s="189"/>
      <c r="T34" s="189"/>
    </row>
    <row r="35" spans="1:20" s="16" customFormat="1" ht="15.75">
      <c r="A35" s="26" t="s">
        <v>204</v>
      </c>
      <c r="B35" s="3" t="s">
        <v>205</v>
      </c>
      <c r="C35" s="404">
        <v>250</v>
      </c>
      <c r="D35" s="412">
        <v>0.01</v>
      </c>
      <c r="E35" s="5"/>
      <c r="F35" s="5"/>
      <c r="L35" s="189"/>
      <c r="M35" s="191"/>
      <c r="N35" s="191"/>
      <c r="O35" s="191"/>
      <c r="P35" s="190"/>
      <c r="Q35" s="190"/>
      <c r="R35" s="190"/>
      <c r="S35" s="190"/>
      <c r="T35" s="190"/>
    </row>
    <row r="36" spans="1:20" s="16" customFormat="1" ht="15.75">
      <c r="A36" s="35" t="s">
        <v>228</v>
      </c>
      <c r="B36" s="31" t="s">
        <v>38</v>
      </c>
      <c r="C36" s="410">
        <v>15</v>
      </c>
      <c r="D36" s="406">
        <v>0.01</v>
      </c>
      <c r="E36" s="5"/>
      <c r="F36" s="5"/>
      <c r="L36" s="189"/>
      <c r="M36" s="189"/>
      <c r="N36" s="191"/>
      <c r="O36" s="191"/>
      <c r="P36" s="191"/>
      <c r="Q36" s="191"/>
      <c r="R36" s="191"/>
      <c r="S36" s="191"/>
      <c r="T36" s="191"/>
    </row>
    <row r="37" spans="1:20" s="16" customFormat="1" ht="16.5" thickBot="1">
      <c r="A37" s="451" t="s">
        <v>194</v>
      </c>
      <c r="B37" s="452"/>
      <c r="C37" s="411">
        <v>0.75</v>
      </c>
      <c r="D37" s="413">
        <v>0.01</v>
      </c>
      <c r="E37" s="5"/>
      <c r="F37" s="5"/>
      <c r="G37" s="40"/>
      <c r="H37" s="1"/>
      <c r="I37" s="1"/>
      <c r="J37" s="1"/>
      <c r="L37" s="20"/>
      <c r="N37" s="191"/>
      <c r="O37" s="191"/>
      <c r="P37" s="191"/>
      <c r="Q37" s="191"/>
      <c r="R37" s="191"/>
      <c r="S37" s="191"/>
      <c r="T37" s="191"/>
    </row>
    <row r="38" spans="1:20" s="16" customFormat="1" ht="16.5" thickBot="1">
      <c r="A38" s="19"/>
      <c r="B38" s="2"/>
      <c r="C38" s="2"/>
      <c r="D38" s="5"/>
      <c r="E38" s="5"/>
      <c r="F38" s="5"/>
      <c r="G38" s="40"/>
      <c r="H38" s="1"/>
      <c r="I38" s="1"/>
      <c r="J38" s="1"/>
      <c r="L38" s="20"/>
      <c r="N38" s="189"/>
      <c r="O38" s="189"/>
      <c r="P38" s="191"/>
      <c r="Q38" s="191"/>
      <c r="R38" s="191"/>
      <c r="S38" s="191"/>
      <c r="T38" s="191"/>
    </row>
    <row r="39" spans="1:20" s="16" customFormat="1" ht="20.25">
      <c r="A39" s="447" t="s">
        <v>91</v>
      </c>
      <c r="B39" s="447"/>
      <c r="C39" s="448"/>
      <c r="D39" s="1"/>
      <c r="E39" s="5"/>
      <c r="F39" s="5"/>
      <c r="G39" s="40"/>
      <c r="H39" s="1"/>
      <c r="I39" s="1"/>
      <c r="J39" s="1"/>
      <c r="L39" s="20"/>
      <c r="P39" s="192"/>
      <c r="Q39" s="192"/>
      <c r="R39" s="192"/>
      <c r="S39" s="192"/>
      <c r="T39" s="192"/>
    </row>
    <row r="40" spans="1:13" s="16" customFormat="1" ht="16.5" thickBot="1">
      <c r="A40" s="252" t="s">
        <v>80</v>
      </c>
      <c r="B40" s="253" t="str">
        <f>"@capacity"</f>
        <v>@capacity</v>
      </c>
      <c r="C40" s="254" t="s">
        <v>33</v>
      </c>
      <c r="D40" s="1"/>
      <c r="E40" s="5"/>
      <c r="F40" s="5"/>
      <c r="G40" s="40"/>
      <c r="H40" s="1"/>
      <c r="I40" s="1"/>
      <c r="J40" s="1"/>
      <c r="L40" s="7"/>
      <c r="M40" s="1"/>
    </row>
    <row r="41" spans="1:13" s="16" customFormat="1" ht="15.75">
      <c r="A41" s="21" t="s">
        <v>237</v>
      </c>
      <c r="B41" s="440">
        <v>100000</v>
      </c>
      <c r="C41" s="488">
        <v>0.01</v>
      </c>
      <c r="D41" s="1"/>
      <c r="E41" s="5"/>
      <c r="F41" s="5"/>
      <c r="G41" s="40"/>
      <c r="H41" s="1"/>
      <c r="I41" s="1"/>
      <c r="J41" s="1"/>
      <c r="L41" s="3"/>
      <c r="M41" s="334"/>
    </row>
    <row r="42" spans="1:13" s="16" customFormat="1" ht="16.5" thickBot="1">
      <c r="A42" s="335" t="s">
        <v>81</v>
      </c>
      <c r="B42" s="337">
        <v>24.918518518518518</v>
      </c>
      <c r="C42" s="338"/>
      <c r="D42" s="1"/>
      <c r="E42" s="5"/>
      <c r="F42" s="5"/>
      <c r="G42" s="40"/>
      <c r="H42" s="1"/>
      <c r="I42" s="1"/>
      <c r="J42" s="1"/>
      <c r="L42" s="3"/>
      <c r="M42" s="1"/>
    </row>
    <row r="43" spans="1:13" s="16" customFormat="1" ht="16.5" thickBot="1">
      <c r="A43" s="1"/>
      <c r="B43" s="1"/>
      <c r="C43" s="1"/>
      <c r="D43" s="1"/>
      <c r="E43" s="58"/>
      <c r="F43" s="5"/>
      <c r="G43" s="40"/>
      <c r="H43" s="1"/>
      <c r="I43" s="1"/>
      <c r="J43" s="1"/>
      <c r="L43" s="3"/>
      <c r="M43" s="1"/>
    </row>
    <row r="44" spans="1:13" s="16" customFormat="1" ht="15.75">
      <c r="A44" s="1"/>
      <c r="B44" s="1"/>
      <c r="C44" s="1"/>
      <c r="D44" s="3"/>
      <c r="E44" s="5"/>
      <c r="F44" s="5"/>
      <c r="G44" s="40"/>
      <c r="H44" s="1"/>
      <c r="I44" s="1"/>
      <c r="J44" s="1"/>
      <c r="K44" s="1"/>
      <c r="L44" s="3"/>
      <c r="M44" s="1"/>
    </row>
    <row r="45" spans="1:13" s="16" customFormat="1" ht="15.75">
      <c r="A45" s="1"/>
      <c r="B45" s="1"/>
      <c r="C45" s="1"/>
      <c r="D45" s="1"/>
      <c r="E45" s="5"/>
      <c r="F45" s="5"/>
      <c r="G45" s="40"/>
      <c r="H45" s="1"/>
      <c r="I45" s="1"/>
      <c r="J45" s="1"/>
      <c r="K45" s="1"/>
      <c r="L45" s="3"/>
      <c r="M45" s="1"/>
    </row>
    <row r="46" spans="1:15" s="16" customFormat="1" ht="15.75">
      <c r="A46" s="1"/>
      <c r="B46" s="1"/>
      <c r="C46" s="1"/>
      <c r="D46" s="1"/>
      <c r="E46" s="5"/>
      <c r="F46" s="5"/>
      <c r="G46" s="40"/>
      <c r="H46" s="1"/>
      <c r="I46" s="1"/>
      <c r="J46" s="1"/>
      <c r="K46" s="1"/>
      <c r="L46" s="3"/>
      <c r="M46" s="1"/>
      <c r="N46" s="1"/>
      <c r="O46" s="1"/>
    </row>
    <row r="47" spans="1:22" s="16" customFormat="1" ht="15.75">
      <c r="A47" s="1"/>
      <c r="B47" s="1"/>
      <c r="C47" s="1"/>
      <c r="D47" s="1"/>
      <c r="E47" s="5"/>
      <c r="F47" s="5"/>
      <c r="G47" s="40"/>
      <c r="H47" s="1"/>
      <c r="I47" s="1"/>
      <c r="J47" s="1"/>
      <c r="K47" s="1"/>
      <c r="L47" s="3"/>
      <c r="M47" s="1"/>
      <c r="N47" s="1"/>
      <c r="O47" s="1"/>
      <c r="P47" s="1"/>
      <c r="Q47" s="1"/>
      <c r="R47" s="1"/>
      <c r="S47" s="1"/>
      <c r="T47" s="1"/>
      <c r="U47" s="1"/>
      <c r="V47" s="1"/>
    </row>
    <row r="48" spans="5:6" ht="15.75">
      <c r="E48" s="5"/>
      <c r="F48" s="5"/>
    </row>
    <row r="49" spans="5:6" ht="15.75">
      <c r="E49" s="5"/>
      <c r="F49" s="5"/>
    </row>
    <row r="50" spans="5:6" ht="15.75">
      <c r="E50" s="5"/>
      <c r="F50" s="5"/>
    </row>
    <row r="51" spans="5:6" ht="15.75">
      <c r="E51" s="5"/>
      <c r="F51" s="5"/>
    </row>
    <row r="52" spans="5:6" ht="15.75">
      <c r="E52" s="5"/>
      <c r="F52" s="5"/>
    </row>
  </sheetData>
  <sheetProtection password="C977" sheet="1" selectLockedCells="1"/>
  <mergeCells count="9">
    <mergeCell ref="G9:L9"/>
    <mergeCell ref="A10:B10"/>
    <mergeCell ref="A39:C39"/>
    <mergeCell ref="A37:B37"/>
    <mergeCell ref="C10:D10"/>
    <mergeCell ref="A14:D14"/>
    <mergeCell ref="C13:D13"/>
    <mergeCell ref="C12:D12"/>
    <mergeCell ref="C11:D11"/>
  </mergeCells>
  <hyperlinks>
    <hyperlink ref="A5" location="'Capital Requirements'!A1" display="Capital Requirements"/>
    <hyperlink ref="A6" location="'Labor Costs'!A1" display="Labor Costs"/>
    <hyperlink ref="G5" location="'Loan Amortization'!A1" display="Loan Amortization"/>
    <hyperlink ref="G6" location="'Variable Costs'!A1" display="Variable Costs"/>
    <hyperlink ref="G7" location="Revenue!A1" display="Revenue"/>
    <hyperlink ref="H5" location="'Profit &amp; Loss'!A1" display="Profit &amp; Loss"/>
    <hyperlink ref="H6" location="'Return On Investment'!A1" display="Return on Investment"/>
    <hyperlink ref="A7" location="Revenue!A1" display="Revenue"/>
  </hyperlinks>
  <printOptions/>
  <pageMargins left="0.75" right="0.75" top="1" bottom="1" header="0.5" footer="0.5"/>
  <pageSetup horizontalDpi="600" verticalDpi="600" orientation="portrait" r:id="rId3"/>
  <legacyDrawing r:id="rId2"/>
</worksheet>
</file>

<file path=xl/worksheets/sheet3.xml><?xml version="1.0" encoding="utf-8"?>
<worksheet xmlns="http://schemas.openxmlformats.org/spreadsheetml/2006/main" xmlns:r="http://schemas.openxmlformats.org/officeDocument/2006/relationships">
  <dimension ref="A2:S59"/>
  <sheetViews>
    <sheetView showGridLines="0" zoomScale="75" zoomScaleNormal="75" zoomScalePageLayoutView="0" workbookViewId="0" topLeftCell="A1">
      <selection activeCell="A5" sqref="A5"/>
    </sheetView>
  </sheetViews>
  <sheetFormatPr defaultColWidth="9.140625" defaultRowHeight="12.75"/>
  <cols>
    <col min="1" max="1" width="38.7109375" style="1" customWidth="1"/>
    <col min="2" max="2" width="13.8515625" style="3" customWidth="1"/>
    <col min="3" max="3" width="36.7109375" style="1" customWidth="1"/>
    <col min="4" max="4" width="14.8515625" style="3" customWidth="1"/>
    <col min="5" max="5" width="38.8515625" style="1" bestFit="1" customWidth="1"/>
    <col min="6" max="6" width="14.57421875" style="3" bestFit="1" customWidth="1"/>
    <col min="7" max="8" width="9.140625" style="1" customWidth="1"/>
    <col min="9" max="9" width="29.28125" style="1" customWidth="1"/>
    <col min="10" max="19" width="12.7109375" style="1" customWidth="1"/>
    <col min="20" max="16384" width="9.140625" style="1" customWidth="1"/>
  </cols>
  <sheetData>
    <row r="1" ht="15.75"/>
    <row r="2" ht="15.75">
      <c r="A2" s="12" t="s">
        <v>302</v>
      </c>
    </row>
    <row r="3" ht="15.75">
      <c r="A3" s="12"/>
    </row>
    <row r="4" spans="1:4" ht="15.75">
      <c r="A4" s="1" t="s">
        <v>311</v>
      </c>
      <c r="C4" s="394" t="s">
        <v>305</v>
      </c>
      <c r="D4" s="1"/>
    </row>
    <row r="5" spans="1:4" ht="15.75">
      <c r="A5" s="399" t="s">
        <v>303</v>
      </c>
      <c r="C5" s="399" t="s">
        <v>297</v>
      </c>
      <c r="D5" s="399" t="s">
        <v>300</v>
      </c>
    </row>
    <row r="6" spans="1:4" ht="15.75">
      <c r="A6" s="399" t="s">
        <v>295</v>
      </c>
      <c r="C6" s="399" t="s">
        <v>298</v>
      </c>
      <c r="D6" s="399" t="s">
        <v>301</v>
      </c>
    </row>
    <row r="7" spans="1:4" ht="15.75">
      <c r="A7" s="399" t="s">
        <v>299</v>
      </c>
      <c r="C7" s="390"/>
      <c r="D7" s="1"/>
    </row>
    <row r="8" ht="16.5" thickBot="1"/>
    <row r="9" spans="1:19" ht="21" thickBot="1">
      <c r="A9" s="255"/>
      <c r="B9" s="256"/>
      <c r="C9" s="257" t="s">
        <v>106</v>
      </c>
      <c r="D9" s="258"/>
      <c r="E9" s="259"/>
      <c r="F9" s="260"/>
      <c r="I9" s="220" t="s">
        <v>211</v>
      </c>
      <c r="J9" s="221"/>
      <c r="K9" s="221"/>
      <c r="L9" s="221"/>
      <c r="M9" s="221"/>
      <c r="N9" s="221"/>
      <c r="O9" s="221"/>
      <c r="P9" s="221"/>
      <c r="Q9" s="221"/>
      <c r="R9" s="221"/>
      <c r="S9" s="221"/>
    </row>
    <row r="10" spans="1:19" ht="16.5" thickBot="1">
      <c r="A10" s="261" t="s">
        <v>53</v>
      </c>
      <c r="B10" s="262" t="s">
        <v>92</v>
      </c>
      <c r="C10" s="261" t="s">
        <v>46</v>
      </c>
      <c r="D10" s="263" t="s">
        <v>92</v>
      </c>
      <c r="E10" s="264" t="s">
        <v>93</v>
      </c>
      <c r="F10" s="265" t="s">
        <v>92</v>
      </c>
      <c r="I10" s="221" t="s">
        <v>70</v>
      </c>
      <c r="J10" s="221">
        <v>1</v>
      </c>
      <c r="K10" s="221">
        <f>+J10+1</f>
        <v>2</v>
      </c>
      <c r="L10" s="221">
        <f aca="true" t="shared" si="0" ref="L10:S10">+K10+1</f>
        <v>3</v>
      </c>
      <c r="M10" s="221">
        <f t="shared" si="0"/>
        <v>4</v>
      </c>
      <c r="N10" s="221">
        <f t="shared" si="0"/>
        <v>5</v>
      </c>
      <c r="O10" s="221">
        <f t="shared" si="0"/>
        <v>6</v>
      </c>
      <c r="P10" s="221">
        <f t="shared" si="0"/>
        <v>7</v>
      </c>
      <c r="Q10" s="221">
        <f t="shared" si="0"/>
        <v>8</v>
      </c>
      <c r="R10" s="221">
        <f t="shared" si="0"/>
        <v>9</v>
      </c>
      <c r="S10" s="221">
        <f t="shared" si="0"/>
        <v>10</v>
      </c>
    </row>
    <row r="11" spans="1:19" ht="15.75">
      <c r="A11" s="212" t="s">
        <v>151</v>
      </c>
      <c r="B11" s="176">
        <f>B35</f>
        <v>3033250</v>
      </c>
      <c r="C11" s="35" t="s">
        <v>54</v>
      </c>
      <c r="D11" s="51"/>
      <c r="E11" s="45" t="s">
        <v>94</v>
      </c>
      <c r="F11" s="49"/>
      <c r="I11" s="222" t="s">
        <v>212</v>
      </c>
      <c r="J11" s="223">
        <f>$J$28</f>
        <v>90997.5</v>
      </c>
      <c r="K11" s="223">
        <f aca="true" t="shared" si="1" ref="K11:S11">$J$28</f>
        <v>90997.5</v>
      </c>
      <c r="L11" s="223">
        <f t="shared" si="1"/>
        <v>90997.5</v>
      </c>
      <c r="M11" s="223">
        <f t="shared" si="1"/>
        <v>90997.5</v>
      </c>
      <c r="N11" s="223">
        <f t="shared" si="1"/>
        <v>90997.5</v>
      </c>
      <c r="O11" s="223">
        <f t="shared" si="1"/>
        <v>90997.5</v>
      </c>
      <c r="P11" s="223">
        <f t="shared" si="1"/>
        <v>90997.5</v>
      </c>
      <c r="Q11" s="223">
        <f t="shared" si="1"/>
        <v>90997.5</v>
      </c>
      <c r="R11" s="223">
        <f t="shared" si="1"/>
        <v>90997.5</v>
      </c>
      <c r="S11" s="223">
        <f t="shared" si="1"/>
        <v>90997.5</v>
      </c>
    </row>
    <row r="12" spans="1:19" ht="15.75">
      <c r="A12" s="213" t="s">
        <v>152</v>
      </c>
      <c r="B12" s="177">
        <f>B38</f>
        <v>15000</v>
      </c>
      <c r="C12" s="22" t="s">
        <v>55</v>
      </c>
      <c r="D12" s="493">
        <v>30000</v>
      </c>
      <c r="E12" s="3" t="s">
        <v>61</v>
      </c>
      <c r="F12" s="171">
        <f>B14</f>
        <v>3663250</v>
      </c>
      <c r="I12" s="222" t="s">
        <v>213</v>
      </c>
      <c r="J12" s="223">
        <f>J35</f>
        <v>87883.5</v>
      </c>
      <c r="K12" s="223">
        <f>J36</f>
        <v>150613.5</v>
      </c>
      <c r="L12" s="223">
        <f>J37</f>
        <v>107563.5</v>
      </c>
      <c r="M12" s="223">
        <f>J38</f>
        <v>76813.5</v>
      </c>
      <c r="N12" s="223">
        <f>J39</f>
        <v>54919.5</v>
      </c>
      <c r="O12" s="223">
        <f>J40</f>
        <v>54858</v>
      </c>
      <c r="P12" s="223">
        <f>J41</f>
        <v>54919.5</v>
      </c>
      <c r="Q12" s="223">
        <f>J42</f>
        <v>27429</v>
      </c>
      <c r="R12" s="221"/>
      <c r="S12" s="221"/>
    </row>
    <row r="13" spans="1:19" ht="15.75">
      <c r="A13" s="213" t="s">
        <v>142</v>
      </c>
      <c r="B13" s="177">
        <f>B48</f>
        <v>615000</v>
      </c>
      <c r="C13" s="22" t="s">
        <v>56</v>
      </c>
      <c r="D13" s="493">
        <v>10000</v>
      </c>
      <c r="E13" s="3" t="s">
        <v>46</v>
      </c>
      <c r="F13" s="171">
        <f>D24</f>
        <v>2769004.375</v>
      </c>
      <c r="I13" s="222" t="s">
        <v>214</v>
      </c>
      <c r="J13" s="223">
        <f aca="true" t="shared" si="2" ref="J13:S13">SUM(J11:J12)</f>
        <v>178881</v>
      </c>
      <c r="K13" s="223">
        <f t="shared" si="2"/>
        <v>241611</v>
      </c>
      <c r="L13" s="223">
        <f t="shared" si="2"/>
        <v>198561</v>
      </c>
      <c r="M13" s="223">
        <f t="shared" si="2"/>
        <v>167811</v>
      </c>
      <c r="N13" s="223">
        <f t="shared" si="2"/>
        <v>145917</v>
      </c>
      <c r="O13" s="223">
        <f t="shared" si="2"/>
        <v>145855.5</v>
      </c>
      <c r="P13" s="223">
        <f t="shared" si="2"/>
        <v>145917</v>
      </c>
      <c r="Q13" s="223">
        <f t="shared" si="2"/>
        <v>118426.5</v>
      </c>
      <c r="R13" s="223">
        <f t="shared" si="2"/>
        <v>90997.5</v>
      </c>
      <c r="S13" s="223">
        <f t="shared" si="2"/>
        <v>90997.5</v>
      </c>
    </row>
    <row r="14" spans="1:19" ht="15.75">
      <c r="A14" s="26" t="s">
        <v>57</v>
      </c>
      <c r="B14" s="8">
        <f>SUM(B11:B13)</f>
        <v>3663250</v>
      </c>
      <c r="C14" s="22" t="s">
        <v>113</v>
      </c>
      <c r="D14" s="493">
        <v>5000</v>
      </c>
      <c r="E14" s="3" t="s">
        <v>62</v>
      </c>
      <c r="F14" s="171">
        <f>SUM(F12:F13)*0.05</f>
        <v>321612.71875</v>
      </c>
      <c r="I14" s="189"/>
      <c r="J14" s="189"/>
      <c r="K14" s="189"/>
      <c r="L14" s="189"/>
      <c r="M14" s="189"/>
      <c r="N14" s="189"/>
      <c r="O14" s="189"/>
      <c r="P14" s="189"/>
      <c r="Q14" s="189"/>
      <c r="R14" s="189"/>
      <c r="S14" s="189"/>
    </row>
    <row r="15" spans="1:19" ht="15.75">
      <c r="A15" s="56"/>
      <c r="B15" s="30"/>
      <c r="C15" s="26" t="s">
        <v>97</v>
      </c>
      <c r="D15" s="47">
        <f>SUM(D12:D14)</f>
        <v>45000</v>
      </c>
      <c r="E15" s="45" t="s">
        <v>63</v>
      </c>
      <c r="F15" s="216">
        <f>SUM(F12:F14)</f>
        <v>6753867.09375</v>
      </c>
      <c r="I15" s="222" t="s">
        <v>215</v>
      </c>
      <c r="J15" s="221"/>
      <c r="K15" s="221"/>
      <c r="L15" s="221"/>
      <c r="M15" s="221"/>
      <c r="N15" s="221"/>
      <c r="O15" s="221"/>
      <c r="P15" s="221"/>
      <c r="Q15" s="221"/>
      <c r="R15" s="221"/>
      <c r="S15" s="221"/>
    </row>
    <row r="16" spans="1:19" ht="16.5" thickBot="1">
      <c r="A16" s="26" t="s">
        <v>169</v>
      </c>
      <c r="B16" s="10">
        <f>B14/$B$26</f>
        <v>104.66428571428571</v>
      </c>
      <c r="C16" s="52"/>
      <c r="D16" s="53"/>
      <c r="E16" s="50" t="s">
        <v>95</v>
      </c>
      <c r="F16" s="48">
        <f>F15/B26</f>
        <v>192.96763125</v>
      </c>
      <c r="I16" s="222" t="s">
        <v>212</v>
      </c>
      <c r="J16" s="224">
        <f>SUM($J11:J11)</f>
        <v>90997.5</v>
      </c>
      <c r="K16" s="221"/>
      <c r="L16" s="221"/>
      <c r="M16" s="221"/>
      <c r="N16" s="221"/>
      <c r="O16" s="221"/>
      <c r="P16" s="221"/>
      <c r="Q16" s="221"/>
      <c r="R16" s="221"/>
      <c r="S16" s="221"/>
    </row>
    <row r="17" spans="1:19" ht="16.5" thickBot="1">
      <c r="A17" s="266" t="s">
        <v>170</v>
      </c>
      <c r="B17" s="267"/>
      <c r="C17" s="35" t="s">
        <v>58</v>
      </c>
      <c r="D17" s="54"/>
      <c r="F17" s="444"/>
      <c r="I17" s="222" t="s">
        <v>213</v>
      </c>
      <c r="J17" s="224">
        <f>SUM($J12:J12)</f>
        <v>87883.5</v>
      </c>
      <c r="K17" s="224">
        <f>SUM($J12:K12)</f>
        <v>238497</v>
      </c>
      <c r="L17" s="224">
        <f>SUM($J12:L12)</f>
        <v>346060.5</v>
      </c>
      <c r="M17" s="224">
        <f>SUM($J12:M12)</f>
        <v>422874</v>
      </c>
      <c r="N17" s="224">
        <f>SUM($J12:N12)</f>
        <v>477793.5</v>
      </c>
      <c r="O17" s="224">
        <f>SUM($J12:O12)</f>
        <v>532651.5</v>
      </c>
      <c r="P17" s="224">
        <f>SUM($J12:P12)</f>
        <v>587571</v>
      </c>
      <c r="Q17" s="224">
        <f>SUM($J12:Q12)</f>
        <v>615000</v>
      </c>
      <c r="R17" s="224">
        <f>SUM($J12:R12)</f>
        <v>615000</v>
      </c>
      <c r="S17" s="224">
        <f>SUM($J12:S12)</f>
        <v>615000</v>
      </c>
    </row>
    <row r="18" spans="1:19" ht="15.75">
      <c r="A18" s="217" t="s">
        <v>171</v>
      </c>
      <c r="B18" s="489">
        <v>0.5</v>
      </c>
      <c r="C18" s="7" t="s">
        <v>59</v>
      </c>
      <c r="D18" s="493">
        <v>50000</v>
      </c>
      <c r="E18" s="219" t="s">
        <v>210</v>
      </c>
      <c r="F18" s="47">
        <f>F15-B19</f>
        <v>4922242.09375</v>
      </c>
      <c r="I18" s="222" t="s">
        <v>216</v>
      </c>
      <c r="J18" s="224">
        <f>SUM($J13:J13)</f>
        <v>178881</v>
      </c>
      <c r="K18" s="224">
        <f>SUM($J13:K13)</f>
        <v>420492</v>
      </c>
      <c r="L18" s="224">
        <f>SUM($J13:L13)</f>
        <v>619053</v>
      </c>
      <c r="M18" s="224">
        <f>SUM($J13:M13)</f>
        <v>786864</v>
      </c>
      <c r="N18" s="224">
        <f>SUM($J13:N13)</f>
        <v>932781</v>
      </c>
      <c r="O18" s="224">
        <f>SUM($J13:O13)</f>
        <v>1078636.5</v>
      </c>
      <c r="P18" s="224">
        <f>SUM($J13:P13)</f>
        <v>1224553.5</v>
      </c>
      <c r="Q18" s="224">
        <f>SUM($J13:Q13)</f>
        <v>1342980</v>
      </c>
      <c r="R18" s="224">
        <f>SUM($J13:R13)</f>
        <v>1433977.5</v>
      </c>
      <c r="S18" s="224">
        <f>SUM($J13:S13)</f>
        <v>1524975</v>
      </c>
    </row>
    <row r="19" spans="1:19" ht="15.75">
      <c r="A19" s="217" t="s">
        <v>174</v>
      </c>
      <c r="B19" s="23">
        <f>'Capital Requirements'!B18*B14</f>
        <v>1831625</v>
      </c>
      <c r="C19" s="7" t="s">
        <v>114</v>
      </c>
      <c r="D19" s="171">
        <f>'Loan Amortization'!B30</f>
        <v>174004.375</v>
      </c>
      <c r="F19" s="25"/>
      <c r="I19" s="189"/>
      <c r="J19" s="189"/>
      <c r="K19" s="189"/>
      <c r="L19" s="189"/>
      <c r="M19" s="189"/>
      <c r="N19" s="189"/>
      <c r="O19" s="189"/>
      <c r="P19" s="221"/>
      <c r="Q19" s="221"/>
      <c r="R19" s="221"/>
      <c r="S19" s="221"/>
    </row>
    <row r="20" spans="1:19" ht="16.5" thickBot="1">
      <c r="A20" s="217" t="s">
        <v>172</v>
      </c>
      <c r="B20" s="412">
        <v>0.095</v>
      </c>
      <c r="C20" s="7" t="s">
        <v>176</v>
      </c>
      <c r="D20" s="493">
        <v>150000</v>
      </c>
      <c r="E20" s="72"/>
      <c r="F20" s="445"/>
      <c r="I20" s="222" t="s">
        <v>212</v>
      </c>
      <c r="J20" s="223" t="s">
        <v>217</v>
      </c>
      <c r="K20" s="221"/>
      <c r="L20" s="221"/>
      <c r="M20" s="221"/>
      <c r="N20" s="221"/>
      <c r="O20" s="221"/>
      <c r="P20" s="221"/>
      <c r="Q20" s="221"/>
      <c r="R20" s="221"/>
      <c r="S20" s="221"/>
    </row>
    <row r="21" spans="1:19" ht="16.5" thickBot="1">
      <c r="A21" s="217" t="s">
        <v>173</v>
      </c>
      <c r="B21" s="490">
        <v>15</v>
      </c>
      <c r="C21" s="7" t="s">
        <v>60</v>
      </c>
      <c r="D21" s="493">
        <v>100000</v>
      </c>
      <c r="E21" s="264" t="s">
        <v>321</v>
      </c>
      <c r="F21" s="265" t="s">
        <v>322</v>
      </c>
      <c r="I21" s="222" t="s">
        <v>142</v>
      </c>
      <c r="J21" s="223" t="s">
        <v>226</v>
      </c>
      <c r="K21" s="221"/>
      <c r="L21" s="221"/>
      <c r="M21" s="221"/>
      <c r="N21" s="221"/>
      <c r="O21" s="221"/>
      <c r="P21" s="221"/>
      <c r="Q21" s="221"/>
      <c r="R21" s="221"/>
      <c r="S21" s="221"/>
    </row>
    <row r="22" spans="1:19" ht="16.5" thickBot="1">
      <c r="A22" s="266" t="s">
        <v>101</v>
      </c>
      <c r="B22" s="267"/>
      <c r="C22" s="7" t="s">
        <v>175</v>
      </c>
      <c r="D22" s="493">
        <v>2250000</v>
      </c>
      <c r="E22" s="64" t="s">
        <v>309</v>
      </c>
      <c r="F22" s="494">
        <v>0.12</v>
      </c>
      <c r="I22" s="221"/>
      <c r="J22" s="224"/>
      <c r="K22" s="221"/>
      <c r="L22" s="221"/>
      <c r="M22" s="221"/>
      <c r="N22" s="221"/>
      <c r="O22" s="221"/>
      <c r="P22" s="221"/>
      <c r="Q22" s="221"/>
      <c r="R22" s="221"/>
      <c r="S22" s="221"/>
    </row>
    <row r="23" spans="1:19" ht="15.75">
      <c r="A23" s="178" t="s">
        <v>82</v>
      </c>
      <c r="B23" s="25">
        <f>Assumptions!C10</f>
        <v>100</v>
      </c>
      <c r="C23" s="4" t="s">
        <v>96</v>
      </c>
      <c r="D23" s="47">
        <f>SUM(D18:D22)</f>
        <v>2724004.375</v>
      </c>
      <c r="E23" s="442" t="s">
        <v>178</v>
      </c>
      <c r="F23" s="495">
        <v>0.095</v>
      </c>
      <c r="I23" s="222" t="s">
        <v>225</v>
      </c>
      <c r="J23" s="225"/>
      <c r="K23" s="221"/>
      <c r="L23" s="221"/>
      <c r="M23" s="221"/>
      <c r="N23" s="221"/>
      <c r="O23" s="221"/>
      <c r="P23" s="221"/>
      <c r="Q23" s="221"/>
      <c r="R23" s="221"/>
      <c r="S23" s="221"/>
    </row>
    <row r="24" spans="1:19" ht="15.75">
      <c r="A24" s="178" t="s">
        <v>271</v>
      </c>
      <c r="B24" s="25">
        <f>Assumptions!C12</f>
        <v>350</v>
      </c>
      <c r="C24" s="59" t="s">
        <v>98</v>
      </c>
      <c r="D24" s="55">
        <f>D15+D23</f>
        <v>2769004.375</v>
      </c>
      <c r="E24" s="443" t="s">
        <v>86</v>
      </c>
      <c r="F24" s="496">
        <v>0.4</v>
      </c>
      <c r="I24" s="221" t="s">
        <v>218</v>
      </c>
      <c r="J24" s="223">
        <f>B35</f>
        <v>3033250</v>
      </c>
      <c r="K24" s="221"/>
      <c r="L24" s="221"/>
      <c r="M24" s="223"/>
      <c r="N24" s="221"/>
      <c r="O24" s="221"/>
      <c r="P24" s="221"/>
      <c r="Q24" s="221"/>
      <c r="R24" s="221"/>
      <c r="S24" s="221"/>
    </row>
    <row r="25" spans="1:19" ht="15.75">
      <c r="A25" s="178" t="s">
        <v>272</v>
      </c>
      <c r="B25" s="3">
        <f>Assumptions!C11</f>
        <v>50</v>
      </c>
      <c r="C25" s="441" t="s">
        <v>99</v>
      </c>
      <c r="D25" s="43">
        <f>D24/B14</f>
        <v>0.7558873609499761</v>
      </c>
      <c r="E25" s="16"/>
      <c r="F25" s="214"/>
      <c r="I25" s="221" t="s">
        <v>219</v>
      </c>
      <c r="J25" s="226">
        <v>30</v>
      </c>
      <c r="K25" s="221"/>
      <c r="L25" s="221"/>
      <c r="M25" s="226"/>
      <c r="N25" s="221"/>
      <c r="O25" s="221"/>
      <c r="P25" s="221"/>
      <c r="Q25" s="221"/>
      <c r="R25" s="221"/>
      <c r="S25" s="221"/>
    </row>
    <row r="26" spans="1:19" ht="16.5" thickBot="1">
      <c r="A26" s="179" t="s">
        <v>83</v>
      </c>
      <c r="B26" s="180">
        <f>Assumptions!C13</f>
        <v>35000</v>
      </c>
      <c r="C26" s="205" t="s">
        <v>100</v>
      </c>
      <c r="D26" s="48">
        <f>D24/B26</f>
        <v>79.11441071428571</v>
      </c>
      <c r="E26" s="110"/>
      <c r="F26" s="215"/>
      <c r="I26" s="221" t="s">
        <v>220</v>
      </c>
      <c r="J26" s="230">
        <f>C29</f>
        <v>303325</v>
      </c>
      <c r="K26" s="221"/>
      <c r="L26" s="221"/>
      <c r="M26" s="227"/>
      <c r="N26" s="221"/>
      <c r="O26" s="221"/>
      <c r="P26" s="221"/>
      <c r="Q26" s="221"/>
      <c r="R26" s="221"/>
      <c r="S26" s="221"/>
    </row>
    <row r="27" spans="3:19" ht="15.75">
      <c r="C27" s="3"/>
      <c r="I27" s="221" t="s">
        <v>221</v>
      </c>
      <c r="J27" s="226">
        <v>30</v>
      </c>
      <c r="K27" s="221"/>
      <c r="L27" s="221"/>
      <c r="M27" s="226"/>
      <c r="N27" s="221"/>
      <c r="O27" s="221"/>
      <c r="P27" s="221"/>
      <c r="Q27" s="221"/>
      <c r="R27" s="221"/>
      <c r="S27" s="221"/>
    </row>
    <row r="28" spans="1:19" ht="15.75">
      <c r="A28" s="170" t="s">
        <v>120</v>
      </c>
      <c r="B28" s="44" t="s">
        <v>121</v>
      </c>
      <c r="C28" s="44" t="s">
        <v>140</v>
      </c>
      <c r="E28" s="170" t="s">
        <v>125</v>
      </c>
      <c r="F28" s="44" t="s">
        <v>136</v>
      </c>
      <c r="I28" s="221" t="s">
        <v>222</v>
      </c>
      <c r="J28" s="223">
        <f>(J24-J26)/J27</f>
        <v>90997.5</v>
      </c>
      <c r="K28" s="221"/>
      <c r="L28" s="221"/>
      <c r="M28" s="223"/>
      <c r="N28" s="221"/>
      <c r="O28" s="221"/>
      <c r="P28" s="221"/>
      <c r="Q28" s="221"/>
      <c r="R28" s="221"/>
      <c r="S28" s="221"/>
    </row>
    <row r="29" spans="1:19" ht="15.75">
      <c r="A29" s="1" t="s">
        <v>116</v>
      </c>
      <c r="B29" s="174">
        <f>(F30+F31+F32+F33+F34+F35+F36)*F43+(F29+F37+F38+F39)*F44</f>
        <v>2408250</v>
      </c>
      <c r="C29" s="8">
        <f>B35*0.1</f>
        <v>303325</v>
      </c>
      <c r="E29" s="1" t="s">
        <v>126</v>
      </c>
      <c r="F29" s="497">
        <v>2250</v>
      </c>
      <c r="I29" s="221"/>
      <c r="J29" s="221"/>
      <c r="K29" s="221"/>
      <c r="L29" s="221"/>
      <c r="M29" s="221"/>
      <c r="N29" s="221"/>
      <c r="O29" s="221"/>
      <c r="P29" s="221"/>
      <c r="Q29" s="221"/>
      <c r="R29" s="221"/>
      <c r="S29" s="221"/>
    </row>
    <row r="30" spans="1:19" ht="15.75">
      <c r="A30" s="1" t="s">
        <v>117</v>
      </c>
      <c r="B30" s="491">
        <v>350000</v>
      </c>
      <c r="C30" s="459"/>
      <c r="E30" s="1" t="s">
        <v>129</v>
      </c>
      <c r="F30" s="497">
        <v>800</v>
      </c>
      <c r="I30" s="222" t="s">
        <v>224</v>
      </c>
      <c r="J30" s="223"/>
      <c r="K30" s="229"/>
      <c r="L30" s="221"/>
      <c r="M30" s="221"/>
      <c r="N30" s="221"/>
      <c r="O30" s="221"/>
      <c r="P30" s="221"/>
      <c r="Q30" s="221"/>
      <c r="R30" s="221"/>
      <c r="S30" s="221"/>
    </row>
    <row r="31" spans="1:19" ht="15.75">
      <c r="A31" s="1" t="s">
        <v>124</v>
      </c>
      <c r="B31" s="491">
        <v>75000</v>
      </c>
      <c r="C31" s="459"/>
      <c r="E31" s="1" t="s">
        <v>127</v>
      </c>
      <c r="F31" s="497">
        <v>400</v>
      </c>
      <c r="I31" s="221" t="s">
        <v>218</v>
      </c>
      <c r="J31" s="223">
        <f>B48</f>
        <v>615000</v>
      </c>
      <c r="K31" s="229"/>
      <c r="L31" s="221"/>
      <c r="M31" s="221"/>
      <c r="N31" s="221"/>
      <c r="O31" s="221"/>
      <c r="P31" s="221"/>
      <c r="Q31" s="221"/>
      <c r="R31" s="221"/>
      <c r="S31" s="221"/>
    </row>
    <row r="32" spans="1:19" ht="15.75">
      <c r="A32" s="169" t="s">
        <v>118</v>
      </c>
      <c r="B32" s="491">
        <v>100000</v>
      </c>
      <c r="C32" s="459"/>
      <c r="E32" s="1" t="s">
        <v>128</v>
      </c>
      <c r="F32" s="497">
        <v>400</v>
      </c>
      <c r="I32" s="221" t="s">
        <v>219</v>
      </c>
      <c r="J32" s="221">
        <v>10</v>
      </c>
      <c r="K32" s="221"/>
      <c r="L32" s="221"/>
      <c r="M32" s="221"/>
      <c r="N32" s="221"/>
      <c r="O32" s="221"/>
      <c r="P32" s="221"/>
      <c r="Q32" s="221"/>
      <c r="R32" s="221"/>
      <c r="S32" s="221"/>
    </row>
    <row r="33" spans="1:19" ht="15.75">
      <c r="A33" s="1" t="s">
        <v>119</v>
      </c>
      <c r="B33" s="491">
        <v>50000</v>
      </c>
      <c r="C33" s="459"/>
      <c r="D33" s="459"/>
      <c r="E33" s="1" t="s">
        <v>131</v>
      </c>
      <c r="F33" s="497">
        <v>3200</v>
      </c>
      <c r="I33" s="189"/>
      <c r="J33" s="221"/>
      <c r="K33" s="221"/>
      <c r="L33" s="221"/>
      <c r="M33" s="221"/>
      <c r="N33" s="221"/>
      <c r="O33" s="221"/>
      <c r="P33" s="221"/>
      <c r="Q33" s="221"/>
      <c r="R33" s="221"/>
      <c r="S33" s="221"/>
    </row>
    <row r="34" spans="1:19" ht="15.75">
      <c r="A34" s="1" t="s">
        <v>122</v>
      </c>
      <c r="B34" s="491">
        <v>50000</v>
      </c>
      <c r="C34" s="459"/>
      <c r="D34" s="459"/>
      <c r="E34" s="1" t="s">
        <v>130</v>
      </c>
      <c r="F34" s="497">
        <v>1000</v>
      </c>
      <c r="I34" s="220" t="s">
        <v>70</v>
      </c>
      <c r="J34" s="228" t="s">
        <v>50</v>
      </c>
      <c r="K34" s="220" t="s">
        <v>223</v>
      </c>
      <c r="L34" s="221"/>
      <c r="M34" s="221"/>
      <c r="N34" s="221"/>
      <c r="O34" s="221"/>
      <c r="P34" s="221"/>
      <c r="Q34" s="221"/>
      <c r="R34" s="221"/>
      <c r="S34" s="221"/>
    </row>
    <row r="35" spans="1:19" ht="15.75">
      <c r="A35" s="12" t="s">
        <v>123</v>
      </c>
      <c r="B35" s="175">
        <f>SUM(B29:B34)</f>
        <v>3033250</v>
      </c>
      <c r="C35" s="459"/>
      <c r="D35" s="459"/>
      <c r="E35" s="1" t="s">
        <v>132</v>
      </c>
      <c r="F35" s="497">
        <v>625</v>
      </c>
      <c r="I35" s="221">
        <v>1</v>
      </c>
      <c r="J35" s="223">
        <f>$J$31*K35</f>
        <v>87883.5</v>
      </c>
      <c r="K35" s="231">
        <v>0.1429</v>
      </c>
      <c r="L35" s="221"/>
      <c r="M35" s="221"/>
      <c r="N35" s="221"/>
      <c r="O35" s="221"/>
      <c r="P35" s="221"/>
      <c r="Q35" s="221"/>
      <c r="R35" s="221"/>
      <c r="S35" s="221"/>
    </row>
    <row r="36" spans="2:19" ht="15" customHeight="1">
      <c r="B36" s="174"/>
      <c r="C36" s="459"/>
      <c r="D36" s="459"/>
      <c r="E36" s="1" t="s">
        <v>133</v>
      </c>
      <c r="F36" s="497">
        <v>1600</v>
      </c>
      <c r="I36" s="221">
        <v>2</v>
      </c>
      <c r="J36" s="223">
        <f aca="true" t="shared" si="3" ref="J36:J42">$J$31*K36</f>
        <v>150613.5</v>
      </c>
      <c r="K36" s="231">
        <v>0.2449</v>
      </c>
      <c r="L36" s="221"/>
      <c r="M36" s="221"/>
      <c r="N36" s="221"/>
      <c r="O36" s="221"/>
      <c r="P36" s="221"/>
      <c r="Q36" s="221"/>
      <c r="R36" s="221"/>
      <c r="S36" s="221"/>
    </row>
    <row r="37" spans="1:19" ht="15.75">
      <c r="A37" s="170" t="s">
        <v>152</v>
      </c>
      <c r="B37" s="44" t="s">
        <v>121</v>
      </c>
      <c r="C37" s="459"/>
      <c r="D37" s="459"/>
      <c r="E37" s="1" t="s">
        <v>141</v>
      </c>
      <c r="F37" s="497">
        <v>300</v>
      </c>
      <c r="I37" s="221">
        <v>3</v>
      </c>
      <c r="J37" s="223">
        <f t="shared" si="3"/>
        <v>107563.5</v>
      </c>
      <c r="K37" s="231">
        <v>0.1749</v>
      </c>
      <c r="L37" s="221"/>
      <c r="M37" s="221"/>
      <c r="N37" s="221"/>
      <c r="O37" s="221"/>
      <c r="P37" s="221"/>
      <c r="Q37" s="221"/>
      <c r="R37" s="221"/>
      <c r="S37" s="221"/>
    </row>
    <row r="38" spans="1:19" ht="15.75">
      <c r="A38" s="1" t="s">
        <v>153</v>
      </c>
      <c r="B38" s="492">
        <f>15000</f>
        <v>15000</v>
      </c>
      <c r="C38" s="459"/>
      <c r="D38" s="459"/>
      <c r="E38" s="1" t="s">
        <v>134</v>
      </c>
      <c r="F38" s="497">
        <v>600</v>
      </c>
      <c r="I38" s="221">
        <v>4</v>
      </c>
      <c r="J38" s="223">
        <f t="shared" si="3"/>
        <v>76813.5</v>
      </c>
      <c r="K38" s="231">
        <v>0.1249</v>
      </c>
      <c r="L38" s="221"/>
      <c r="M38" s="221"/>
      <c r="N38" s="221"/>
      <c r="O38" s="221"/>
      <c r="P38" s="221"/>
      <c r="Q38" s="221"/>
      <c r="R38" s="221"/>
      <c r="S38" s="221"/>
    </row>
    <row r="39" spans="5:19" ht="15.75">
      <c r="E39" s="1" t="s">
        <v>135</v>
      </c>
      <c r="F39" s="497">
        <v>600</v>
      </c>
      <c r="I39" s="221">
        <v>5</v>
      </c>
      <c r="J39" s="223">
        <f t="shared" si="3"/>
        <v>54919.5</v>
      </c>
      <c r="K39" s="231">
        <v>0.0893</v>
      </c>
      <c r="L39" s="221"/>
      <c r="M39" s="221"/>
      <c r="N39" s="221"/>
      <c r="O39" s="221"/>
      <c r="P39" s="221"/>
      <c r="Q39" s="221"/>
      <c r="R39" s="221"/>
      <c r="S39" s="221"/>
    </row>
    <row r="40" spans="1:19" ht="15.75">
      <c r="A40" s="170" t="s">
        <v>142</v>
      </c>
      <c r="B40" s="44" t="s">
        <v>121</v>
      </c>
      <c r="E40" s="172" t="s">
        <v>137</v>
      </c>
      <c r="F40" s="173">
        <f>SUM(F29:F39)</f>
        <v>11775</v>
      </c>
      <c r="I40" s="221">
        <v>6</v>
      </c>
      <c r="J40" s="223">
        <f t="shared" si="3"/>
        <v>54858</v>
      </c>
      <c r="K40" s="231">
        <v>0.0892</v>
      </c>
      <c r="L40" s="221"/>
      <c r="M40" s="221"/>
      <c r="N40" s="221"/>
      <c r="O40" s="221"/>
      <c r="P40" s="221"/>
      <c r="Q40" s="221"/>
      <c r="R40" s="221"/>
      <c r="S40" s="221"/>
    </row>
    <row r="41" spans="1:19" ht="15.75">
      <c r="A41" s="169" t="s">
        <v>147</v>
      </c>
      <c r="B41" s="491">
        <v>35000</v>
      </c>
      <c r="I41" s="1">
        <v>7</v>
      </c>
      <c r="J41" s="223">
        <f t="shared" si="3"/>
        <v>54919.5</v>
      </c>
      <c r="K41" s="232">
        <v>0.0893</v>
      </c>
      <c r="L41" s="221"/>
      <c r="M41" s="221"/>
      <c r="N41" s="221"/>
      <c r="O41" s="221"/>
      <c r="P41" s="221"/>
      <c r="Q41" s="221"/>
      <c r="R41" s="221"/>
      <c r="S41" s="221"/>
    </row>
    <row r="42" spans="1:19" ht="15.75">
      <c r="A42" s="169" t="s">
        <v>143</v>
      </c>
      <c r="B42" s="491">
        <v>100000</v>
      </c>
      <c r="E42" s="170" t="s">
        <v>264</v>
      </c>
      <c r="I42" s="1">
        <v>8</v>
      </c>
      <c r="J42" s="223">
        <f t="shared" si="3"/>
        <v>27429</v>
      </c>
      <c r="K42" s="233">
        <v>0.0446</v>
      </c>
      <c r="L42" s="221"/>
      <c r="M42" s="221"/>
      <c r="N42" s="221"/>
      <c r="O42" s="221"/>
      <c r="P42" s="221"/>
      <c r="Q42" s="221"/>
      <c r="R42" s="221"/>
      <c r="S42" s="221"/>
    </row>
    <row r="43" spans="1:19" ht="15.75">
      <c r="A43" s="169" t="s">
        <v>149</v>
      </c>
      <c r="B43" s="491">
        <v>5000</v>
      </c>
      <c r="E43" s="1" t="s">
        <v>138</v>
      </c>
      <c r="F43" s="498">
        <v>230</v>
      </c>
      <c r="L43" s="221"/>
      <c r="M43" s="221"/>
      <c r="N43" s="221"/>
      <c r="O43" s="221"/>
      <c r="P43" s="221"/>
      <c r="Q43" s="221"/>
      <c r="R43" s="221"/>
      <c r="S43" s="221"/>
    </row>
    <row r="44" spans="1:19" ht="15.75">
      <c r="A44" s="169" t="s">
        <v>144</v>
      </c>
      <c r="B44" s="491">
        <v>25000</v>
      </c>
      <c r="E44" s="1" t="s">
        <v>139</v>
      </c>
      <c r="F44" s="498">
        <v>150</v>
      </c>
      <c r="L44" s="221"/>
      <c r="M44" s="221"/>
      <c r="N44" s="221"/>
      <c r="O44" s="221"/>
      <c r="P44" s="221"/>
      <c r="Q44" s="221"/>
      <c r="R44" s="221"/>
      <c r="S44" s="221"/>
    </row>
    <row r="45" spans="1:19" ht="15.75">
      <c r="A45" s="169" t="s">
        <v>150</v>
      </c>
      <c r="B45" s="491">
        <v>200000</v>
      </c>
      <c r="L45" s="221"/>
      <c r="M45" s="221"/>
      <c r="N45" s="221"/>
      <c r="O45" s="221"/>
      <c r="P45" s="221"/>
      <c r="Q45" s="221"/>
      <c r="R45" s="221"/>
      <c r="S45" s="221"/>
    </row>
    <row r="46" spans="1:19" ht="15.75">
      <c r="A46" s="169" t="s">
        <v>145</v>
      </c>
      <c r="B46" s="491">
        <v>100000</v>
      </c>
      <c r="C46" s="3"/>
      <c r="L46" s="221"/>
      <c r="M46" s="221"/>
      <c r="N46" s="221"/>
      <c r="O46" s="221"/>
      <c r="P46" s="221"/>
      <c r="Q46" s="221"/>
      <c r="R46" s="221"/>
      <c r="S46" s="221"/>
    </row>
    <row r="47" spans="1:19" ht="15.75">
      <c r="A47" s="169" t="s">
        <v>146</v>
      </c>
      <c r="B47" s="491">
        <v>150000</v>
      </c>
      <c r="C47" s="11"/>
      <c r="L47" s="221"/>
      <c r="M47" s="221"/>
      <c r="N47" s="221"/>
      <c r="O47" s="221"/>
      <c r="P47" s="221"/>
      <c r="Q47" s="221"/>
      <c r="R47" s="221"/>
      <c r="S47" s="221"/>
    </row>
    <row r="48" spans="1:19" ht="15.75">
      <c r="A48" s="4" t="s">
        <v>148</v>
      </c>
      <c r="B48" s="175">
        <f>SUM(B41:B47)</f>
        <v>615000</v>
      </c>
      <c r="L48" s="221"/>
      <c r="M48" s="221"/>
      <c r="N48" s="221"/>
      <c r="O48" s="221"/>
      <c r="P48" s="221"/>
      <c r="Q48" s="221"/>
      <c r="R48" s="221"/>
      <c r="S48" s="221"/>
    </row>
    <row r="49" spans="1:19" ht="15.75">
      <c r="A49" s="169"/>
      <c r="B49" s="174"/>
      <c r="C49" s="44"/>
      <c r="L49" s="221"/>
      <c r="M49" s="221"/>
      <c r="N49" s="221"/>
      <c r="O49" s="221"/>
      <c r="P49" s="221"/>
      <c r="Q49" s="221"/>
      <c r="R49" s="221"/>
      <c r="S49" s="221"/>
    </row>
    <row r="50" spans="1:19" ht="15.75">
      <c r="A50" s="169"/>
      <c r="B50" s="174"/>
      <c r="L50" s="221"/>
      <c r="M50" s="221"/>
      <c r="N50" s="221"/>
      <c r="O50" s="221"/>
      <c r="P50" s="221"/>
      <c r="Q50" s="221"/>
      <c r="R50" s="221"/>
      <c r="S50" s="221"/>
    </row>
    <row r="51" spans="12:19" ht="15.75">
      <c r="L51" s="221"/>
      <c r="M51" s="221"/>
      <c r="N51" s="221"/>
      <c r="O51" s="221"/>
      <c r="P51" s="221"/>
      <c r="Q51" s="221"/>
      <c r="R51" s="221"/>
      <c r="S51" s="221"/>
    </row>
    <row r="52" spans="12:19" ht="15.75">
      <c r="L52" s="221"/>
      <c r="M52" s="221"/>
      <c r="N52" s="221"/>
      <c r="O52" s="221"/>
      <c r="P52" s="221"/>
      <c r="Q52" s="221"/>
      <c r="R52" s="221"/>
      <c r="S52" s="221"/>
    </row>
    <row r="53" spans="12:19" ht="15.75">
      <c r="L53" s="221"/>
      <c r="M53" s="221"/>
      <c r="N53" s="221"/>
      <c r="O53" s="221"/>
      <c r="P53" s="221"/>
      <c r="Q53" s="221"/>
      <c r="R53" s="221"/>
      <c r="S53" s="221"/>
    </row>
    <row r="54" spans="12:19" ht="15.75">
      <c r="L54" s="221"/>
      <c r="M54" s="221"/>
      <c r="N54" s="221"/>
      <c r="O54" s="221"/>
      <c r="P54" s="221"/>
      <c r="Q54" s="221"/>
      <c r="R54" s="221"/>
      <c r="S54" s="221"/>
    </row>
    <row r="55" spans="12:19" ht="15.75">
      <c r="L55" s="221"/>
      <c r="M55" s="221"/>
      <c r="N55" s="221"/>
      <c r="O55" s="221"/>
      <c r="P55" s="221"/>
      <c r="Q55" s="221"/>
      <c r="R55" s="221"/>
      <c r="S55" s="221"/>
    </row>
    <row r="56" spans="12:19" ht="15.75">
      <c r="L56" s="221"/>
      <c r="M56" s="221"/>
      <c r="N56" s="221"/>
      <c r="O56" s="221"/>
      <c r="P56" s="221"/>
      <c r="Q56" s="221"/>
      <c r="R56" s="221"/>
      <c r="S56" s="221"/>
    </row>
    <row r="57" spans="12:19" ht="15.75">
      <c r="L57" s="221"/>
      <c r="M57" s="221"/>
      <c r="N57" s="221"/>
      <c r="O57" s="221"/>
      <c r="P57" s="189"/>
      <c r="Q57" s="189"/>
      <c r="R57" s="189"/>
      <c r="S57" s="189"/>
    </row>
    <row r="58" spans="12:19" ht="15.75">
      <c r="L58" s="221"/>
      <c r="M58" s="221"/>
      <c r="N58" s="221"/>
      <c r="O58" s="221"/>
      <c r="P58" s="189"/>
      <c r="Q58" s="189"/>
      <c r="R58" s="189"/>
      <c r="S58" s="189"/>
    </row>
    <row r="59" spans="15:19" ht="15.75">
      <c r="O59" s="189"/>
      <c r="P59" s="189"/>
      <c r="Q59" s="189"/>
      <c r="R59" s="189"/>
      <c r="S59" s="189"/>
    </row>
  </sheetData>
  <sheetProtection password="C977" sheet="1" selectLockedCells="1"/>
  <mergeCells count="2">
    <mergeCell ref="D33:D38"/>
    <mergeCell ref="C30:C38"/>
  </mergeCells>
  <hyperlinks>
    <hyperlink ref="A5" location="Assumptions!A1" display="Operating/Production Assumptions"/>
    <hyperlink ref="A6" location="'Labor Costs'!A1" display="Labor Costs"/>
    <hyperlink ref="C5" location="'Loan Amortization'!A1" display="Loan Amortization"/>
    <hyperlink ref="C6" location="'Variable Costs'!A1" display="Variable Costs"/>
    <hyperlink ref="D5" location="'Profit &amp; Loss'!A1" display="Profit &amp; Loss"/>
    <hyperlink ref="D6" location="'Return On Investment'!A1" display="Return on Investment"/>
    <hyperlink ref="A7" location="Revenue!A1" display="Revenue"/>
  </hyperlink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E58"/>
  <sheetViews>
    <sheetView showGridLines="0" zoomScale="75" zoomScaleNormal="75" zoomScalePageLayoutView="0" workbookViewId="0" topLeftCell="A1">
      <selection activeCell="A5" sqref="A5"/>
    </sheetView>
  </sheetViews>
  <sheetFormatPr defaultColWidth="9.140625" defaultRowHeight="12.75"/>
  <cols>
    <col min="1" max="1" width="31.140625" style="16" customWidth="1"/>
    <col min="2" max="2" width="11.28125" style="16" customWidth="1"/>
    <col min="3" max="3" width="13.57421875" style="16" customWidth="1"/>
    <col min="4" max="4" width="18.00390625" style="16" customWidth="1"/>
    <col min="5" max="5" width="16.7109375" style="16" customWidth="1"/>
    <col min="6" max="16384" width="9.140625" style="16" customWidth="1"/>
  </cols>
  <sheetData>
    <row r="2" ht="15.75">
      <c r="A2" s="28" t="s">
        <v>102</v>
      </c>
    </row>
    <row r="4" spans="1:5" ht="15.75">
      <c r="A4" s="1" t="s">
        <v>311</v>
      </c>
      <c r="B4" s="3"/>
      <c r="E4" s="394" t="s">
        <v>305</v>
      </c>
    </row>
    <row r="5" spans="1:5" ht="15.75">
      <c r="A5" s="399" t="s">
        <v>303</v>
      </c>
      <c r="B5" s="3"/>
      <c r="E5" s="399" t="s">
        <v>297</v>
      </c>
    </row>
    <row r="6" spans="1:5" ht="15.75">
      <c r="A6" s="399" t="s">
        <v>294</v>
      </c>
      <c r="B6" s="3"/>
      <c r="E6" s="399" t="s">
        <v>298</v>
      </c>
    </row>
    <row r="7" spans="1:5" ht="15.75">
      <c r="A7" s="399" t="s">
        <v>299</v>
      </c>
      <c r="B7" s="3"/>
      <c r="E7" s="399" t="s">
        <v>300</v>
      </c>
    </row>
    <row r="8" spans="1:5" ht="15.75">
      <c r="A8" s="390"/>
      <c r="B8" s="3"/>
      <c r="E8" s="399" t="s">
        <v>301</v>
      </c>
    </row>
    <row r="9" ht="16.5" thickBot="1"/>
    <row r="10" spans="1:5" s="69" customFormat="1" ht="20.25">
      <c r="A10" s="363"/>
      <c r="B10" s="357" t="s">
        <v>102</v>
      </c>
      <c r="C10" s="257"/>
      <c r="D10" s="257"/>
      <c r="E10" s="364"/>
    </row>
    <row r="11" spans="1:5" ht="16.5" thickBot="1">
      <c r="A11" s="273"/>
      <c r="B11" s="274" t="s">
        <v>10</v>
      </c>
      <c r="C11" s="275"/>
      <c r="D11" s="275"/>
      <c r="E11" s="365"/>
    </row>
    <row r="12" spans="1:5" s="19" customFormat="1" ht="15.75">
      <c r="A12" s="46" t="s">
        <v>11</v>
      </c>
      <c r="B12" s="70" t="s">
        <v>0</v>
      </c>
      <c r="C12" s="70" t="s">
        <v>103</v>
      </c>
      <c r="D12" s="70" t="s">
        <v>323</v>
      </c>
      <c r="E12" s="71" t="s">
        <v>9</v>
      </c>
    </row>
    <row r="13" spans="1:5" ht="15.75">
      <c r="A13" s="72" t="s">
        <v>8</v>
      </c>
      <c r="B13" s="418">
        <v>84740</v>
      </c>
      <c r="C13" s="419">
        <v>1</v>
      </c>
      <c r="D13" s="420">
        <v>0</v>
      </c>
      <c r="E13" s="73">
        <f>(B13)*(C13)*(1+D13)</f>
        <v>84740</v>
      </c>
    </row>
    <row r="14" spans="1:5" ht="15.75">
      <c r="A14" s="72" t="s">
        <v>2</v>
      </c>
      <c r="B14" s="418">
        <v>78130</v>
      </c>
      <c r="C14" s="419">
        <v>1</v>
      </c>
      <c r="D14" s="420">
        <v>0</v>
      </c>
      <c r="E14" s="73">
        <f>(B14)*(C14)*(1+D14)</f>
        <v>78130</v>
      </c>
    </row>
    <row r="15" spans="1:5" ht="15.75">
      <c r="A15" s="72" t="s">
        <v>3</v>
      </c>
      <c r="B15" s="418">
        <v>54540</v>
      </c>
      <c r="C15" s="419">
        <v>4</v>
      </c>
      <c r="D15" s="420">
        <v>0</v>
      </c>
      <c r="E15" s="73">
        <f>(B15)*(C15)*(1+D15)</f>
        <v>218160</v>
      </c>
    </row>
    <row r="16" spans="1:5" ht="15.75">
      <c r="A16" s="72" t="s">
        <v>4</v>
      </c>
      <c r="B16" s="418">
        <v>56920</v>
      </c>
      <c r="C16" s="419">
        <v>2</v>
      </c>
      <c r="D16" s="420">
        <v>0</v>
      </c>
      <c r="E16" s="73">
        <f>(B16)*(C16)*(1+D16)</f>
        <v>113840</v>
      </c>
    </row>
    <row r="17" spans="1:5" ht="15.75">
      <c r="A17" s="72" t="s">
        <v>5</v>
      </c>
      <c r="B17" s="418">
        <v>26930</v>
      </c>
      <c r="C17" s="419">
        <v>45</v>
      </c>
      <c r="D17" s="420">
        <v>0</v>
      </c>
      <c r="E17" s="73">
        <f>(B17)*(C17)*(1+D17)</f>
        <v>1211850</v>
      </c>
    </row>
    <row r="18" spans="1:5" ht="15.75">
      <c r="A18" s="72" t="s">
        <v>6</v>
      </c>
      <c r="B18" s="418">
        <v>33410</v>
      </c>
      <c r="C18" s="419">
        <v>2</v>
      </c>
      <c r="D18" s="420">
        <v>0</v>
      </c>
      <c r="E18" s="73">
        <f>(B18)*(C18)*(1+D18)</f>
        <v>66820</v>
      </c>
    </row>
    <row r="19" spans="1:5" ht="15.75">
      <c r="A19" s="46" t="s">
        <v>238</v>
      </c>
      <c r="B19" s="62"/>
      <c r="C19" s="63"/>
      <c r="D19" s="63"/>
      <c r="E19" s="75">
        <f>SUM(E13:E18)</f>
        <v>1773540</v>
      </c>
    </row>
    <row r="20" spans="1:5" ht="15.75">
      <c r="A20" s="46" t="s">
        <v>288</v>
      </c>
      <c r="B20" s="240"/>
      <c r="C20" s="420">
        <v>0.3</v>
      </c>
      <c r="D20" s="500"/>
      <c r="E20" s="73">
        <f>E19*C20</f>
        <v>532062</v>
      </c>
    </row>
    <row r="21" spans="1:5" ht="15.75">
      <c r="A21" s="74" t="s">
        <v>14</v>
      </c>
      <c r="C21" s="28">
        <f>SUM(C13:C18)</f>
        <v>55</v>
      </c>
      <c r="D21" s="28"/>
      <c r="E21" s="75">
        <f>SUM(E19:E20)</f>
        <v>2305602</v>
      </c>
    </row>
    <row r="22" spans="1:5" ht="16.5" thickBot="1">
      <c r="A22" s="460"/>
      <c r="B22" s="461"/>
      <c r="C22" s="461"/>
      <c r="D22" s="461"/>
      <c r="E22" s="462"/>
    </row>
    <row r="23" spans="1:5" ht="16.5" thickBot="1">
      <c r="A23" s="241"/>
      <c r="B23" s="266" t="s">
        <v>13</v>
      </c>
      <c r="C23" s="268"/>
      <c r="D23" s="268"/>
      <c r="E23" s="267"/>
    </row>
    <row r="24" spans="1:5" s="19" customFormat="1" ht="15.75">
      <c r="A24" s="76" t="s">
        <v>11</v>
      </c>
      <c r="B24" s="77" t="s">
        <v>0</v>
      </c>
      <c r="C24" s="77" t="s">
        <v>12</v>
      </c>
      <c r="D24" s="70" t="s">
        <v>323</v>
      </c>
      <c r="E24" s="78" t="s">
        <v>9</v>
      </c>
    </row>
    <row r="25" spans="1:5" ht="15.75">
      <c r="A25" s="72" t="s">
        <v>7</v>
      </c>
      <c r="B25" s="418">
        <v>102020</v>
      </c>
      <c r="C25" s="419">
        <v>1</v>
      </c>
      <c r="D25" s="420">
        <v>0</v>
      </c>
      <c r="E25" s="79">
        <f>(B25)*(C25)*(1+D25)</f>
        <v>102020</v>
      </c>
    </row>
    <row r="26" spans="1:5" ht="15.75">
      <c r="A26" s="72" t="s">
        <v>273</v>
      </c>
      <c r="B26" s="418">
        <v>60100</v>
      </c>
      <c r="C26" s="419">
        <v>1</v>
      </c>
      <c r="D26" s="420">
        <v>0</v>
      </c>
      <c r="E26" s="79">
        <f>(B26)*(C26)*(1+D26)</f>
        <v>60100</v>
      </c>
    </row>
    <row r="27" spans="1:5" ht="15.75">
      <c r="A27" s="72" t="s">
        <v>4</v>
      </c>
      <c r="B27" s="418">
        <v>47780</v>
      </c>
      <c r="C27" s="419">
        <v>1</v>
      </c>
      <c r="D27" s="420">
        <v>0</v>
      </c>
      <c r="E27" s="79">
        <f>(B27)*(C27)*(1+D27)</f>
        <v>47780</v>
      </c>
    </row>
    <row r="28" spans="1:5" ht="15.75">
      <c r="A28" s="72" t="s">
        <v>177</v>
      </c>
      <c r="B28" s="418">
        <v>29570</v>
      </c>
      <c r="C28" s="419">
        <v>3</v>
      </c>
      <c r="D28" s="420">
        <v>0</v>
      </c>
      <c r="E28" s="79">
        <f>(B28)*(C28)*(1+D28)</f>
        <v>88710</v>
      </c>
    </row>
    <row r="29" spans="1:5" ht="15.75">
      <c r="A29" s="46" t="s">
        <v>238</v>
      </c>
      <c r="B29" s="62"/>
      <c r="C29" s="63"/>
      <c r="D29" s="63"/>
      <c r="E29" s="75">
        <f>SUM(E23:E28)</f>
        <v>298610</v>
      </c>
    </row>
    <row r="30" spans="1:5" ht="15.75">
      <c r="A30" s="46" t="s">
        <v>288</v>
      </c>
      <c r="B30" s="240"/>
      <c r="C30" s="420">
        <v>0.3</v>
      </c>
      <c r="D30" s="500"/>
      <c r="E30" s="73">
        <f>E29*C30</f>
        <v>89583</v>
      </c>
    </row>
    <row r="31" spans="1:5" ht="15.75">
      <c r="A31" s="74" t="s">
        <v>15</v>
      </c>
      <c r="B31" s="28"/>
      <c r="C31" s="28">
        <f>SUM(C25:C28)</f>
        <v>6</v>
      </c>
      <c r="D31" s="28"/>
      <c r="E31" s="80">
        <f>SUM(E29:E30)</f>
        <v>388193</v>
      </c>
    </row>
    <row r="32" spans="1:5" ht="16.5" thickBot="1">
      <c r="A32" s="463"/>
      <c r="B32" s="464"/>
      <c r="C32" s="464"/>
      <c r="D32" s="464"/>
      <c r="E32" s="465"/>
    </row>
    <row r="33" spans="1:5" ht="16.5" thickBot="1">
      <c r="A33" s="269" t="s">
        <v>234</v>
      </c>
      <c r="B33" s="268" t="s">
        <v>25</v>
      </c>
      <c r="C33" s="270">
        <f>SUM(C21,C31)</f>
        <v>61</v>
      </c>
      <c r="D33" s="270"/>
      <c r="E33" s="271">
        <f>SUM(E31,E21)</f>
        <v>2693795</v>
      </c>
    </row>
    <row r="34" spans="1:5" ht="16.5" thickBot="1">
      <c r="A34" s="366" t="s">
        <v>235</v>
      </c>
      <c r="B34" s="367" t="s">
        <v>236</v>
      </c>
      <c r="C34" s="421">
        <v>0.01</v>
      </c>
      <c r="D34" s="501"/>
      <c r="E34" s="368"/>
    </row>
    <row r="35" spans="1:5" ht="15.75">
      <c r="A35" s="239"/>
      <c r="B35" s="239"/>
      <c r="C35" s="239"/>
      <c r="D35" s="239"/>
      <c r="E35" s="239"/>
    </row>
    <row r="58" ht="15.75">
      <c r="E58" s="66"/>
    </row>
  </sheetData>
  <sheetProtection password="C977" sheet="1" selectLockedCells="1"/>
  <mergeCells count="2">
    <mergeCell ref="A22:E22"/>
    <mergeCell ref="A32:E32"/>
  </mergeCells>
  <hyperlinks>
    <hyperlink ref="A5" location="Assumptions!A1" display="Operating/Production Assumptions"/>
    <hyperlink ref="E5" location="'Loan Amortization'!A1" display="Loan Amortization"/>
    <hyperlink ref="E6" location="'Variable Costs'!A1" display="Variable Costs"/>
    <hyperlink ref="E7" location="'Profit &amp; Loss'!A1" display="Profit &amp; Loss"/>
    <hyperlink ref="E8" location="'Return On Investment'!A1" display="Return on Investment"/>
    <hyperlink ref="A6" location="'Capital Requirements'!A1" display="Capital Requirements"/>
    <hyperlink ref="A7" location="Revenue!A1" display="Revenue"/>
  </hyperlink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C31"/>
  <sheetViews>
    <sheetView showGridLines="0" zoomScalePageLayoutView="0" workbookViewId="0" topLeftCell="A1">
      <selection activeCell="A5" sqref="A5"/>
    </sheetView>
  </sheetViews>
  <sheetFormatPr defaultColWidth="9.140625" defaultRowHeight="12.75"/>
  <cols>
    <col min="1" max="12" width="12.7109375" style="181" customWidth="1"/>
    <col min="13" max="17" width="12.7109375" style="182" customWidth="1"/>
    <col min="18" max="27" width="11.7109375" style="182" customWidth="1"/>
    <col min="28" max="16384" width="9.140625" style="182" customWidth="1"/>
  </cols>
  <sheetData>
    <row r="1" spans="1:12" ht="12.75">
      <c r="A1" s="182"/>
      <c r="K1" s="182"/>
      <c r="L1" s="182"/>
    </row>
    <row r="2" spans="1:12" ht="18.75">
      <c r="A2" s="395" t="s">
        <v>304</v>
      </c>
      <c r="K2" s="182"/>
      <c r="L2" s="182"/>
    </row>
    <row r="3" spans="11:12" ht="12.75">
      <c r="K3" s="182"/>
      <c r="L3" s="182"/>
    </row>
    <row r="4" spans="1:12" ht="15.75">
      <c r="A4" s="1" t="s">
        <v>311</v>
      </c>
      <c r="D4" s="394" t="s">
        <v>305</v>
      </c>
      <c r="K4" s="182"/>
      <c r="L4" s="182"/>
    </row>
    <row r="5" spans="1:12" ht="15.75">
      <c r="A5" s="399" t="s">
        <v>303</v>
      </c>
      <c r="D5" s="399" t="s">
        <v>298</v>
      </c>
      <c r="K5" s="182"/>
      <c r="L5" s="182"/>
    </row>
    <row r="6" spans="1:12" ht="15.75">
      <c r="A6" s="399" t="s">
        <v>294</v>
      </c>
      <c r="D6" s="399" t="s">
        <v>300</v>
      </c>
      <c r="K6" s="182"/>
      <c r="L6" s="182"/>
    </row>
    <row r="7" spans="1:12" ht="15.75">
      <c r="A7" s="399" t="s">
        <v>295</v>
      </c>
      <c r="D7" s="399" t="s">
        <v>301</v>
      </c>
      <c r="K7" s="182"/>
      <c r="L7" s="182"/>
    </row>
    <row r="8" spans="1:12" ht="15.75">
      <c r="A8" s="399" t="s">
        <v>299</v>
      </c>
      <c r="D8" s="182"/>
      <c r="K8" s="182"/>
      <c r="L8" s="182"/>
    </row>
    <row r="9" spans="11:12" ht="12.75">
      <c r="K9" s="182"/>
      <c r="L9" s="182"/>
    </row>
    <row r="10" spans="1:12" ht="12.75">
      <c r="A10" s="181" t="s">
        <v>168</v>
      </c>
      <c r="K10" s="182"/>
      <c r="L10" s="182"/>
    </row>
    <row r="11" spans="1:12" ht="12.75">
      <c r="A11" s="181" t="s">
        <v>167</v>
      </c>
      <c r="B11" s="187">
        <f>'Capital Requirements'!B19</f>
        <v>1831625</v>
      </c>
      <c r="K11" s="182"/>
      <c r="L11" s="182"/>
    </row>
    <row r="12" spans="1:12" ht="12.75">
      <c r="A12" s="181" t="s">
        <v>166</v>
      </c>
      <c r="B12" s="188">
        <f>'Capital Requirements'!B20</f>
        <v>0.095</v>
      </c>
      <c r="K12" s="182"/>
      <c r="L12" s="182"/>
    </row>
    <row r="13" spans="1:2" s="183" customFormat="1" ht="12.75">
      <c r="A13" s="183" t="s">
        <v>165</v>
      </c>
      <c r="B13" s="183">
        <f>'Capital Requirements'!B21</f>
        <v>15</v>
      </c>
    </row>
    <row r="14" spans="1:12" ht="12.75">
      <c r="A14" s="181" t="s">
        <v>164</v>
      </c>
      <c r="B14" s="187">
        <f>PMT(B12,B13,-B11)</f>
        <v>233978.54536795107</v>
      </c>
      <c r="K14" s="182"/>
      <c r="L14" s="182"/>
    </row>
    <row r="16" spans="3:12" ht="12.75">
      <c r="C16" s="184" t="s">
        <v>163</v>
      </c>
      <c r="D16" s="184">
        <f>B11</f>
        <v>1831625</v>
      </c>
      <c r="F16" s="184" t="s">
        <v>162</v>
      </c>
      <c r="G16" s="185">
        <f>B12</f>
        <v>0.095</v>
      </c>
      <c r="I16" s="184" t="s">
        <v>161</v>
      </c>
      <c r="J16" s="186">
        <f>B13</f>
        <v>15</v>
      </c>
      <c r="K16" s="182"/>
      <c r="L16" s="182"/>
    </row>
    <row r="17" spans="11:12" ht="12.75" hidden="1">
      <c r="K17" s="182"/>
      <c r="L17" s="182"/>
    </row>
    <row r="18" spans="11:12" ht="12.75" hidden="1">
      <c r="K18" s="182"/>
      <c r="L18" s="182"/>
    </row>
    <row r="19" spans="11:12" ht="12.75" hidden="1">
      <c r="K19" s="182"/>
      <c r="L19" s="182"/>
    </row>
    <row r="20" ht="12.75" hidden="1"/>
    <row r="21" ht="12.75">
      <c r="A21" s="181" t="s">
        <v>160</v>
      </c>
    </row>
    <row r="22" spans="1:17" ht="12.75">
      <c r="A22" s="183" t="s">
        <v>70</v>
      </c>
      <c r="B22" s="183">
        <v>0</v>
      </c>
      <c r="C22" s="183">
        <v>1</v>
      </c>
      <c r="D22" s="183">
        <v>2</v>
      </c>
      <c r="E22" s="183">
        <v>3</v>
      </c>
      <c r="F22" s="183">
        <v>4</v>
      </c>
      <c r="G22" s="183">
        <v>5</v>
      </c>
      <c r="H22" s="183">
        <v>6</v>
      </c>
      <c r="I22" s="183">
        <v>7</v>
      </c>
      <c r="J22" s="183">
        <v>8</v>
      </c>
      <c r="K22" s="183">
        <v>9</v>
      </c>
      <c r="L22" s="183">
        <v>10</v>
      </c>
      <c r="M22" s="183">
        <v>11</v>
      </c>
      <c r="N22" s="183">
        <v>12</v>
      </c>
      <c r="O22" s="183">
        <v>13</v>
      </c>
      <c r="P22" s="183">
        <v>14</v>
      </c>
      <c r="Q22" s="183">
        <v>15</v>
      </c>
    </row>
    <row r="23" spans="1:27" ht="12.75">
      <c r="A23" s="181" t="s">
        <v>159</v>
      </c>
      <c r="C23" s="181">
        <f>+B24</f>
        <v>1831625</v>
      </c>
      <c r="D23" s="181">
        <f aca="true" t="shared" si="0" ref="D23:Q23">+C23-C24</f>
        <v>1771650.829632049</v>
      </c>
      <c r="E23" s="181">
        <f t="shared" si="0"/>
        <v>1705979.1130791425</v>
      </c>
      <c r="F23" s="181">
        <f t="shared" si="0"/>
        <v>1634068.58345371</v>
      </c>
      <c r="G23" s="181">
        <f t="shared" si="0"/>
        <v>1555326.5535138613</v>
      </c>
      <c r="H23" s="181">
        <f t="shared" si="0"/>
        <v>1469104.030729727</v>
      </c>
      <c r="I23" s="181">
        <f t="shared" si="0"/>
        <v>1374690.3682811</v>
      </c>
      <c r="J23" s="181">
        <f t="shared" si="0"/>
        <v>1271307.4078998533</v>
      </c>
      <c r="K23" s="181">
        <f t="shared" si="0"/>
        <v>1158103.0662823883</v>
      </c>
      <c r="L23" s="181">
        <f t="shared" si="0"/>
        <v>1034144.3122112642</v>
      </c>
      <c r="M23" s="181">
        <f t="shared" si="0"/>
        <v>898409.4765033831</v>
      </c>
      <c r="N23" s="181">
        <f t="shared" si="0"/>
        <v>749779.8314032535</v>
      </c>
      <c r="O23" s="181">
        <f t="shared" si="0"/>
        <v>587030.3700186114</v>
      </c>
      <c r="P23" s="181">
        <f t="shared" si="0"/>
        <v>408819.70980242844</v>
      </c>
      <c r="Q23" s="181">
        <f t="shared" si="0"/>
        <v>213679.03686570807</v>
      </c>
      <c r="R23" s="181"/>
      <c r="S23" s="181"/>
      <c r="T23" s="181"/>
      <c r="U23" s="181"/>
      <c r="V23" s="181"/>
      <c r="W23" s="181"/>
      <c r="X23" s="181"/>
      <c r="Y23" s="181"/>
      <c r="Z23" s="181"/>
      <c r="AA23" s="181"/>
    </row>
    <row r="24" spans="1:29" ht="12.75">
      <c r="A24" s="181" t="s">
        <v>158</v>
      </c>
      <c r="B24" s="181">
        <f>+B11</f>
        <v>1831625</v>
      </c>
      <c r="C24" s="181">
        <f aca="true" t="shared" si="1" ref="C24:Q24">+$B$14-C26</f>
        <v>59974.17036795107</v>
      </c>
      <c r="D24" s="181">
        <f t="shared" si="1"/>
        <v>65671.71655290641</v>
      </c>
      <c r="E24" s="181">
        <f t="shared" si="1"/>
        <v>71910.52962543254</v>
      </c>
      <c r="F24" s="181">
        <f t="shared" si="1"/>
        <v>78742.02993984861</v>
      </c>
      <c r="G24" s="181">
        <f t="shared" si="1"/>
        <v>86222.52278413426</v>
      </c>
      <c r="H24" s="181">
        <f t="shared" si="1"/>
        <v>94413.662448627</v>
      </c>
      <c r="I24" s="181">
        <f t="shared" si="1"/>
        <v>103382.96038124656</v>
      </c>
      <c r="J24" s="181">
        <f t="shared" si="1"/>
        <v>113204.341617465</v>
      </c>
      <c r="K24" s="181">
        <f t="shared" si="1"/>
        <v>123958.75407112417</v>
      </c>
      <c r="L24" s="181">
        <f t="shared" si="1"/>
        <v>135734.83570788096</v>
      </c>
      <c r="M24" s="181">
        <f t="shared" si="1"/>
        <v>148629.64510012965</v>
      </c>
      <c r="N24" s="181">
        <f t="shared" si="1"/>
        <v>162749.461384642</v>
      </c>
      <c r="O24" s="181">
        <f t="shared" si="1"/>
        <v>178210.660216183</v>
      </c>
      <c r="P24" s="181">
        <f t="shared" si="1"/>
        <v>195140.67293672037</v>
      </c>
      <c r="Q24" s="181">
        <f t="shared" si="1"/>
        <v>213679.0368657088</v>
      </c>
      <c r="R24" s="181"/>
      <c r="S24" s="181"/>
      <c r="T24" s="181"/>
      <c r="U24" s="181"/>
      <c r="V24" s="181"/>
      <c r="W24" s="181"/>
      <c r="X24" s="181"/>
      <c r="Y24" s="181"/>
      <c r="Z24" s="181"/>
      <c r="AA24" s="181"/>
      <c r="AB24" s="181"/>
      <c r="AC24" s="181"/>
    </row>
    <row r="25" spans="13:29" ht="12.75">
      <c r="M25" s="181"/>
      <c r="N25" s="181"/>
      <c r="O25" s="181"/>
      <c r="P25" s="181"/>
      <c r="Q25" s="181"/>
      <c r="R25" s="181"/>
      <c r="S25" s="181"/>
      <c r="T25" s="181"/>
      <c r="U25" s="181"/>
      <c r="V25" s="181"/>
      <c r="W25" s="181"/>
      <c r="X25" s="181"/>
      <c r="Y25" s="181"/>
      <c r="Z25" s="181"/>
      <c r="AA25" s="181"/>
      <c r="AB25" s="181"/>
      <c r="AC25" s="181"/>
    </row>
    <row r="26" spans="1:29" ht="12.75">
      <c r="A26" s="181" t="s">
        <v>88</v>
      </c>
      <c r="B26" s="181">
        <f>+B24*B12</f>
        <v>174004.375</v>
      </c>
      <c r="C26" s="181">
        <f>+B24*$B$12</f>
        <v>174004.375</v>
      </c>
      <c r="D26" s="181">
        <f aca="true" t="shared" si="2" ref="D26:Q26">+D23*$B$12</f>
        <v>168306.82881504466</v>
      </c>
      <c r="E26" s="181">
        <f t="shared" si="2"/>
        <v>162068.01574251853</v>
      </c>
      <c r="F26" s="181">
        <f t="shared" si="2"/>
        <v>155236.51542810246</v>
      </c>
      <c r="G26" s="181">
        <f t="shared" si="2"/>
        <v>147756.0225838168</v>
      </c>
      <c r="H26" s="181">
        <f t="shared" si="2"/>
        <v>139564.88291932407</v>
      </c>
      <c r="I26" s="181">
        <f t="shared" si="2"/>
        <v>130595.5849867045</v>
      </c>
      <c r="J26" s="181">
        <f t="shared" si="2"/>
        <v>120774.20375048606</v>
      </c>
      <c r="K26" s="181">
        <f t="shared" si="2"/>
        <v>110019.7912968269</v>
      </c>
      <c r="L26" s="181">
        <f t="shared" si="2"/>
        <v>98243.70966007009</v>
      </c>
      <c r="M26" s="181">
        <f t="shared" si="2"/>
        <v>85348.9002678214</v>
      </c>
      <c r="N26" s="181">
        <f t="shared" si="2"/>
        <v>71229.08398330909</v>
      </c>
      <c r="O26" s="181">
        <f t="shared" si="2"/>
        <v>55767.88515176809</v>
      </c>
      <c r="P26" s="181">
        <f t="shared" si="2"/>
        <v>38837.8724312307</v>
      </c>
      <c r="Q26" s="181">
        <f t="shared" si="2"/>
        <v>20299.508502242268</v>
      </c>
      <c r="R26" s="181"/>
      <c r="S26" s="181"/>
      <c r="T26" s="181"/>
      <c r="U26" s="181"/>
      <c r="V26" s="181"/>
      <c r="W26" s="181"/>
      <c r="X26" s="181"/>
      <c r="Y26" s="181"/>
      <c r="Z26" s="181"/>
      <c r="AA26" s="181"/>
      <c r="AB26" s="181"/>
      <c r="AC26" s="181"/>
    </row>
    <row r="28" spans="1:27" ht="12.75">
      <c r="A28" s="181" t="s">
        <v>157</v>
      </c>
      <c r="C28" s="181">
        <f>'Capital Requirements'!$F$14</f>
        <v>321612.71875</v>
      </c>
      <c r="D28" s="181">
        <f>'Capital Requirements'!$F$14</f>
        <v>321612.71875</v>
      </c>
      <c r="E28" s="181">
        <f>'Capital Requirements'!$F$14</f>
        <v>321612.71875</v>
      </c>
      <c r="F28" s="181">
        <f>'Capital Requirements'!$F$14</f>
        <v>321612.71875</v>
      </c>
      <c r="G28" s="181">
        <f>'Capital Requirements'!$F$14</f>
        <v>321612.71875</v>
      </c>
      <c r="H28" s="181">
        <f>'Capital Requirements'!$F$14</f>
        <v>321612.71875</v>
      </c>
      <c r="I28" s="181">
        <f>'Capital Requirements'!$F$14</f>
        <v>321612.71875</v>
      </c>
      <c r="J28" s="181">
        <f>'Capital Requirements'!$F$14</f>
        <v>321612.71875</v>
      </c>
      <c r="K28" s="181">
        <f>'Capital Requirements'!$F$14</f>
        <v>321612.71875</v>
      </c>
      <c r="L28" s="181">
        <f>'Capital Requirements'!$F$14</f>
        <v>321612.71875</v>
      </c>
      <c r="M28" s="181">
        <f>'Capital Requirements'!$F$14</f>
        <v>321612.71875</v>
      </c>
      <c r="N28" s="181">
        <f>'Capital Requirements'!$F$14</f>
        <v>321612.71875</v>
      </c>
      <c r="O28" s="181">
        <f>'Capital Requirements'!$F$14</f>
        <v>321612.71875</v>
      </c>
      <c r="P28" s="181">
        <f>'Capital Requirements'!$F$14</f>
        <v>321612.71875</v>
      </c>
      <c r="Q28" s="181">
        <f>'Capital Requirements'!$F$14</f>
        <v>321612.71875</v>
      </c>
      <c r="R28" s="181"/>
      <c r="S28" s="181"/>
      <c r="T28" s="181"/>
      <c r="U28" s="181"/>
      <c r="V28" s="181"/>
      <c r="W28" s="181"/>
      <c r="X28" s="181"/>
      <c r="Y28" s="181"/>
      <c r="Z28" s="181"/>
      <c r="AA28" s="181"/>
    </row>
    <row r="29" spans="1:27" ht="12.75">
      <c r="A29" s="181" t="s">
        <v>156</v>
      </c>
      <c r="C29" s="181">
        <f>C28*'Capital Requirements'!$F$23</f>
        <v>30553.20828125</v>
      </c>
      <c r="D29" s="181">
        <f>D28*'Capital Requirements'!$F$23</f>
        <v>30553.20828125</v>
      </c>
      <c r="E29" s="181">
        <f>E28*'Capital Requirements'!$F$23</f>
        <v>30553.20828125</v>
      </c>
      <c r="F29" s="181">
        <f>F28*'Capital Requirements'!$F$23</f>
        <v>30553.20828125</v>
      </c>
      <c r="G29" s="181">
        <f>G28*'Capital Requirements'!$F$23</f>
        <v>30553.20828125</v>
      </c>
      <c r="H29" s="181">
        <f>H28*'Capital Requirements'!$F$23</f>
        <v>30553.20828125</v>
      </c>
      <c r="I29" s="181">
        <f>I28*'Capital Requirements'!$F$23</f>
        <v>30553.20828125</v>
      </c>
      <c r="J29" s="181">
        <f>J28*'Capital Requirements'!$F$23</f>
        <v>30553.20828125</v>
      </c>
      <c r="K29" s="181">
        <f>K28*'Capital Requirements'!$F$23</f>
        <v>30553.20828125</v>
      </c>
      <c r="L29" s="181">
        <f>L28*'Capital Requirements'!$F$23</f>
        <v>30553.20828125</v>
      </c>
      <c r="M29" s="181">
        <f>M28*'Capital Requirements'!$F$23</f>
        <v>30553.20828125</v>
      </c>
      <c r="N29" s="181">
        <f>N28*'Capital Requirements'!$F$23</f>
        <v>30553.20828125</v>
      </c>
      <c r="O29" s="181">
        <f>O28*'Capital Requirements'!$F$23</f>
        <v>30553.20828125</v>
      </c>
      <c r="P29" s="181">
        <f>P28*'Capital Requirements'!$F$23</f>
        <v>30553.20828125</v>
      </c>
      <c r="Q29" s="181">
        <f>Q28*'Capital Requirements'!$F$23</f>
        <v>30553.20828125</v>
      </c>
      <c r="R29" s="181"/>
      <c r="S29" s="181"/>
      <c r="T29" s="181"/>
      <c r="U29" s="181"/>
      <c r="V29" s="181"/>
      <c r="W29" s="181"/>
      <c r="X29" s="181"/>
      <c r="Y29" s="181"/>
      <c r="Z29" s="181"/>
      <c r="AA29" s="181"/>
    </row>
    <row r="30" spans="1:27" ht="12.75">
      <c r="A30" s="181" t="s">
        <v>155</v>
      </c>
      <c r="B30" s="181">
        <f>+B26+B29</f>
        <v>174004.375</v>
      </c>
      <c r="C30" s="181">
        <f aca="true" t="shared" si="3" ref="C30:Q30">+C26+C29</f>
        <v>204557.58328125</v>
      </c>
      <c r="D30" s="181">
        <f t="shared" si="3"/>
        <v>198860.03709629466</v>
      </c>
      <c r="E30" s="181">
        <f t="shared" si="3"/>
        <v>192621.22402376853</v>
      </c>
      <c r="F30" s="181">
        <f t="shared" si="3"/>
        <v>185789.72370935246</v>
      </c>
      <c r="G30" s="181">
        <f t="shared" si="3"/>
        <v>178309.2308650668</v>
      </c>
      <c r="H30" s="181">
        <f t="shared" si="3"/>
        <v>170118.09120057407</v>
      </c>
      <c r="I30" s="181">
        <f t="shared" si="3"/>
        <v>161148.7932679545</v>
      </c>
      <c r="J30" s="181">
        <f t="shared" si="3"/>
        <v>151327.41203173605</v>
      </c>
      <c r="K30" s="181">
        <f t="shared" si="3"/>
        <v>140572.99957807688</v>
      </c>
      <c r="L30" s="181">
        <f t="shared" si="3"/>
        <v>128796.91794132009</v>
      </c>
      <c r="M30" s="181">
        <f t="shared" si="3"/>
        <v>115902.1085490714</v>
      </c>
      <c r="N30" s="181">
        <f t="shared" si="3"/>
        <v>101782.29226455909</v>
      </c>
      <c r="O30" s="181">
        <f t="shared" si="3"/>
        <v>86321.09343301809</v>
      </c>
      <c r="P30" s="181">
        <f t="shared" si="3"/>
        <v>69391.0807124807</v>
      </c>
      <c r="Q30" s="181">
        <f t="shared" si="3"/>
        <v>50852.71678349227</v>
      </c>
      <c r="R30" s="181"/>
      <c r="S30" s="181"/>
      <c r="T30" s="181"/>
      <c r="U30" s="181"/>
      <c r="V30" s="181"/>
      <c r="W30" s="181"/>
      <c r="X30" s="181"/>
      <c r="Y30" s="181"/>
      <c r="Z30" s="181"/>
      <c r="AA30" s="181"/>
    </row>
    <row r="31" spans="1:27" ht="12.75">
      <c r="A31" s="181" t="s">
        <v>154</v>
      </c>
      <c r="C31" s="181">
        <f>+C24</f>
        <v>59974.17036795107</v>
      </c>
      <c r="D31" s="181">
        <f aca="true" t="shared" si="4" ref="D31:Q31">+D24</f>
        <v>65671.71655290641</v>
      </c>
      <c r="E31" s="181">
        <f t="shared" si="4"/>
        <v>71910.52962543254</v>
      </c>
      <c r="F31" s="181">
        <f t="shared" si="4"/>
        <v>78742.02993984861</v>
      </c>
      <c r="G31" s="181">
        <f t="shared" si="4"/>
        <v>86222.52278413426</v>
      </c>
      <c r="H31" s="181">
        <f t="shared" si="4"/>
        <v>94413.662448627</v>
      </c>
      <c r="I31" s="181">
        <f t="shared" si="4"/>
        <v>103382.96038124656</v>
      </c>
      <c r="J31" s="181">
        <f t="shared" si="4"/>
        <v>113204.341617465</v>
      </c>
      <c r="K31" s="181">
        <f t="shared" si="4"/>
        <v>123958.75407112417</v>
      </c>
      <c r="L31" s="181">
        <f t="shared" si="4"/>
        <v>135734.83570788096</v>
      </c>
      <c r="M31" s="181">
        <f t="shared" si="4"/>
        <v>148629.64510012965</v>
      </c>
      <c r="N31" s="181">
        <f t="shared" si="4"/>
        <v>162749.461384642</v>
      </c>
      <c r="O31" s="181">
        <f t="shared" si="4"/>
        <v>178210.660216183</v>
      </c>
      <c r="P31" s="181">
        <f t="shared" si="4"/>
        <v>195140.67293672037</v>
      </c>
      <c r="Q31" s="181">
        <f t="shared" si="4"/>
        <v>213679.0368657088</v>
      </c>
      <c r="R31" s="181"/>
      <c r="S31" s="181"/>
      <c r="T31" s="181"/>
      <c r="U31" s="181"/>
      <c r="V31" s="181"/>
      <c r="W31" s="181"/>
      <c r="X31" s="181"/>
      <c r="Y31" s="181"/>
      <c r="Z31" s="181"/>
      <c r="AA31" s="181"/>
    </row>
  </sheetData>
  <sheetProtection password="C977" sheet="1" selectLockedCells="1"/>
  <hyperlinks>
    <hyperlink ref="A6" location="'Capital Requirements'!A1" display="Capital Requirements"/>
    <hyperlink ref="A7" location="'Labor Costs'!A1" display="Labor Costs"/>
    <hyperlink ref="A5" location="Assumptions!A1" display="Operating/Production Assumptions"/>
    <hyperlink ref="D5" location="'Variable Costs'!A1" display="Variable Costs"/>
    <hyperlink ref="D6" location="'Profit &amp; Loss'!A1" display="Profit &amp; Loss"/>
    <hyperlink ref="D7" location="'Return On Investment'!A1" display="Return on Investment"/>
    <hyperlink ref="A8" location="Revenue!A1" display="Revenue"/>
  </hyperlinks>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2:R36"/>
  <sheetViews>
    <sheetView showGridLines="0" zoomScale="75" zoomScaleNormal="75" zoomScalePageLayoutView="0" workbookViewId="0" topLeftCell="A1">
      <selection activeCell="A5" sqref="A5"/>
    </sheetView>
  </sheetViews>
  <sheetFormatPr defaultColWidth="9.140625" defaultRowHeight="12.75"/>
  <cols>
    <col min="1" max="1" width="30.57421875" style="16" customWidth="1"/>
    <col min="2" max="2" width="5.57421875" style="16" bestFit="1" customWidth="1"/>
    <col min="3" max="3" width="19.421875" style="16" bestFit="1" customWidth="1"/>
    <col min="4" max="4" width="18.8515625" style="16" bestFit="1" customWidth="1"/>
    <col min="5" max="5" width="19.7109375" style="16" bestFit="1" customWidth="1"/>
    <col min="6" max="6" width="18.140625" style="16" customWidth="1"/>
    <col min="7" max="7" width="19.7109375" style="16" bestFit="1" customWidth="1"/>
    <col min="8" max="8" width="18.57421875" style="16" bestFit="1" customWidth="1"/>
    <col min="9" max="9" width="19.421875" style="16" bestFit="1" customWidth="1"/>
    <col min="10" max="11" width="18.28125" style="16" bestFit="1" customWidth="1"/>
    <col min="12" max="12" width="18.57421875" style="16" bestFit="1" customWidth="1"/>
    <col min="13" max="13" width="18.00390625" style="16" bestFit="1" customWidth="1"/>
    <col min="14" max="17" width="13.8515625" style="16" customWidth="1"/>
    <col min="18" max="18" width="13.7109375" style="16" customWidth="1"/>
    <col min="19" max="16384" width="9.140625" style="16" customWidth="1"/>
  </cols>
  <sheetData>
    <row r="2" spans="1:6" ht="18.75">
      <c r="A2" s="395" t="s">
        <v>306</v>
      </c>
      <c r="B2" s="181"/>
      <c r="C2" s="181"/>
      <c r="D2" s="181"/>
      <c r="E2" s="181"/>
      <c r="F2" s="181"/>
    </row>
    <row r="3" spans="1:6" ht="15.75">
      <c r="A3" s="181"/>
      <c r="B3" s="181"/>
      <c r="C3" s="181"/>
      <c r="D3" s="181"/>
      <c r="E3" s="181"/>
      <c r="F3" s="181"/>
    </row>
    <row r="4" spans="1:6" ht="15.75">
      <c r="A4" s="1" t="s">
        <v>311</v>
      </c>
      <c r="B4" s="181"/>
      <c r="C4" s="181"/>
      <c r="D4" s="394" t="s">
        <v>305</v>
      </c>
      <c r="E4" s="181"/>
      <c r="F4" s="181"/>
    </row>
    <row r="5" spans="1:5" ht="15.75">
      <c r="A5" s="399" t="s">
        <v>303</v>
      </c>
      <c r="B5" s="181"/>
      <c r="C5" s="181"/>
      <c r="D5" s="399" t="s">
        <v>297</v>
      </c>
      <c r="E5" s="181"/>
    </row>
    <row r="6" spans="1:5" ht="15.75">
      <c r="A6" s="399" t="s">
        <v>294</v>
      </c>
      <c r="B6" s="181"/>
      <c r="C6" s="181"/>
      <c r="D6" s="399" t="s">
        <v>300</v>
      </c>
      <c r="E6" s="181"/>
    </row>
    <row r="7" spans="1:6" ht="15.75">
      <c r="A7" s="399" t="s">
        <v>295</v>
      </c>
      <c r="B7" s="181"/>
      <c r="C7" s="181"/>
      <c r="D7" s="399" t="s">
        <v>301</v>
      </c>
      <c r="E7" s="181"/>
      <c r="F7" s="181"/>
    </row>
    <row r="8" spans="1:6" ht="15.75">
      <c r="A8" s="399" t="s">
        <v>299</v>
      </c>
      <c r="B8" s="181"/>
      <c r="C8" s="181"/>
      <c r="D8" s="182"/>
      <c r="E8" s="181"/>
      <c r="F8" s="181"/>
    </row>
    <row r="9" ht="16.5" thickBot="1"/>
    <row r="10" spans="1:18" s="18" customFormat="1" ht="21" thickBot="1">
      <c r="A10" s="276"/>
      <c r="B10" s="258"/>
      <c r="C10" s="258"/>
      <c r="D10" s="258"/>
      <c r="E10" s="258"/>
      <c r="F10" s="277" t="s">
        <v>104</v>
      </c>
      <c r="G10" s="258"/>
      <c r="H10" s="258"/>
      <c r="I10" s="258"/>
      <c r="J10" s="258"/>
      <c r="K10" s="258"/>
      <c r="L10" s="258"/>
      <c r="M10" s="260"/>
      <c r="N10" s="60"/>
      <c r="O10" s="60"/>
      <c r="P10" s="60"/>
      <c r="Q10" s="60"/>
      <c r="R10" s="60"/>
    </row>
    <row r="11" spans="1:18" s="67" customFormat="1" ht="20.25">
      <c r="A11" s="276"/>
      <c r="B11" s="258"/>
      <c r="C11" s="277" t="s">
        <v>24</v>
      </c>
      <c r="D11" s="258"/>
      <c r="E11" s="258"/>
      <c r="F11" s="258"/>
      <c r="G11" s="258"/>
      <c r="H11" s="258"/>
      <c r="I11" s="258"/>
      <c r="J11" s="258"/>
      <c r="K11" s="258"/>
      <c r="L11" s="258"/>
      <c r="M11" s="260"/>
      <c r="N11" s="60"/>
      <c r="O11" s="60"/>
      <c r="P11" s="60"/>
      <c r="Q11" s="60"/>
      <c r="R11" s="60"/>
    </row>
    <row r="12" spans="1:18" s="67" customFormat="1" ht="20.25">
      <c r="A12" s="466" t="s">
        <v>21</v>
      </c>
      <c r="B12" s="467"/>
      <c r="C12" s="272">
        <v>0</v>
      </c>
      <c r="D12" s="272">
        <v>1</v>
      </c>
      <c r="E12" s="272">
        <v>2</v>
      </c>
      <c r="F12" s="272">
        <v>3</v>
      </c>
      <c r="G12" s="272">
        <v>4</v>
      </c>
      <c r="H12" s="272">
        <v>5</v>
      </c>
      <c r="I12" s="272">
        <v>6</v>
      </c>
      <c r="J12" s="272">
        <v>7</v>
      </c>
      <c r="K12" s="272">
        <v>8</v>
      </c>
      <c r="L12" s="272">
        <v>9</v>
      </c>
      <c r="M12" s="278">
        <v>10</v>
      </c>
      <c r="N12" s="68"/>
      <c r="O12" s="68"/>
      <c r="P12" s="68"/>
      <c r="Q12" s="68"/>
      <c r="R12" s="68"/>
    </row>
    <row r="13" spans="1:18" ht="15.75">
      <c r="A13" s="90" t="s">
        <v>1</v>
      </c>
      <c r="B13" s="86" t="s">
        <v>105</v>
      </c>
      <c r="C13" s="87">
        <f>'Labor Costs'!E33*0.25</f>
        <v>673448.75</v>
      </c>
      <c r="D13" s="87">
        <f>'Labor Costs'!E21</f>
        <v>2305602</v>
      </c>
      <c r="E13" s="87">
        <f>D13*(1+'Labor Costs'!$C$34)</f>
        <v>2328658.02</v>
      </c>
      <c r="F13" s="87">
        <f>E13*(1+'Labor Costs'!$C$34)</f>
        <v>2351944.6002</v>
      </c>
      <c r="G13" s="87">
        <f>F13*(1+'Labor Costs'!$C$34)</f>
        <v>2375464.046202</v>
      </c>
      <c r="H13" s="87">
        <f>G13*(1+'Labor Costs'!$C$34)</f>
        <v>2399218.68666402</v>
      </c>
      <c r="I13" s="87">
        <f>H13*(1+'Labor Costs'!$C$34)</f>
        <v>2423210.8735306603</v>
      </c>
      <c r="J13" s="87">
        <f>I13*(1+'Labor Costs'!$C$34)</f>
        <v>2447442.982265967</v>
      </c>
      <c r="K13" s="87">
        <f>J13*(1+'Labor Costs'!$C$34)</f>
        <v>2471917.4120886265</v>
      </c>
      <c r="L13" s="87">
        <f>K13*(1+'Labor Costs'!$C$34)</f>
        <v>2496636.586209513</v>
      </c>
      <c r="M13" s="87">
        <f>L13*(1+'Labor Costs'!$C$34)</f>
        <v>2521602.952071608</v>
      </c>
      <c r="N13" s="84"/>
      <c r="O13" s="84"/>
      <c r="P13" s="84"/>
      <c r="Q13" s="84"/>
      <c r="R13" s="84"/>
    </row>
    <row r="14" spans="1:18" s="28" customFormat="1" ht="15.75">
      <c r="A14" s="92"/>
      <c r="B14" s="88" t="s">
        <v>20</v>
      </c>
      <c r="C14" s="89">
        <v>0</v>
      </c>
      <c r="D14" s="89">
        <f>D13/Revenue!E13</f>
        <v>87.83245714285714</v>
      </c>
      <c r="E14" s="89">
        <f>E13/Revenue!F13</f>
        <v>73.92565142857143</v>
      </c>
      <c r="F14" s="89">
        <f>F13/Revenue!G13</f>
        <v>74.66490794285716</v>
      </c>
      <c r="G14" s="89">
        <f>G13/Revenue!H13</f>
        <v>75.41155702228572</v>
      </c>
      <c r="H14" s="89">
        <f>H13/Revenue!I13</f>
        <v>76.16567259250857</v>
      </c>
      <c r="I14" s="89">
        <f>I13/Revenue!I13</f>
        <v>76.92732931843366</v>
      </c>
      <c r="J14" s="89">
        <f>J13/Revenue!I13</f>
        <v>77.696602611618</v>
      </c>
      <c r="K14" s="89">
        <f>K13/Revenue!I13</f>
        <v>78.47356863773418</v>
      </c>
      <c r="L14" s="89">
        <f>L13/Revenue!I13</f>
        <v>79.25830432411152</v>
      </c>
      <c r="M14" s="93">
        <f>M13/Revenue!I13</f>
        <v>80.05088736735263</v>
      </c>
      <c r="N14" s="85"/>
      <c r="O14" s="85"/>
      <c r="P14" s="85"/>
      <c r="Q14" s="85"/>
      <c r="R14" s="85"/>
    </row>
    <row r="15" spans="1:18" ht="15.75">
      <c r="A15" s="90" t="s">
        <v>22</v>
      </c>
      <c r="B15" s="86"/>
      <c r="C15" s="87"/>
      <c r="D15" s="87"/>
      <c r="E15" s="87"/>
      <c r="F15" s="87"/>
      <c r="G15" s="87"/>
      <c r="H15" s="87"/>
      <c r="I15" s="87"/>
      <c r="J15" s="87"/>
      <c r="K15" s="87"/>
      <c r="L15" s="87"/>
      <c r="M15" s="91"/>
      <c r="N15" s="84"/>
      <c r="O15" s="84"/>
      <c r="P15" s="84"/>
      <c r="Q15" s="84"/>
      <c r="R15" s="84"/>
    </row>
    <row r="16" spans="1:18" ht="15.75">
      <c r="A16" s="94" t="str">
        <f>Assumptions!A18</f>
        <v>Fed Steers/Heifers</v>
      </c>
      <c r="B16" s="83" t="s">
        <v>20</v>
      </c>
      <c r="C16" s="84">
        <f>Assumptions!$C$18*Assumptions!$B$18/100</f>
        <v>1284</v>
      </c>
      <c r="D16" s="84">
        <f>C16*(1+Assumptions!D18)</f>
        <v>1296.84</v>
      </c>
      <c r="E16" s="84">
        <f>D16*(1+Assumptions!D18)</f>
        <v>1309.8084</v>
      </c>
      <c r="F16" s="84">
        <f>E16*(1+Assumptions!D18)</f>
        <v>1322.9064839999999</v>
      </c>
      <c r="G16" s="84">
        <f>F16*(1+Assumptions!D18)</f>
        <v>1336.13554884</v>
      </c>
      <c r="H16" s="84">
        <f>G16*(1+Assumptions!D18)</f>
        <v>1349.4969043284</v>
      </c>
      <c r="I16" s="84">
        <f>H16*(1+Assumptions!D18)</f>
        <v>1362.991873371684</v>
      </c>
      <c r="J16" s="84">
        <f>I16*(1+Assumptions!D18)</f>
        <v>1376.6217921054008</v>
      </c>
      <c r="K16" s="84">
        <f>J16*(1+Assumptions!D18)</f>
        <v>1390.3880100264548</v>
      </c>
      <c r="L16" s="84">
        <f>K16*(1+Assumptions!D18)</f>
        <v>1404.2918901267194</v>
      </c>
      <c r="M16" s="95">
        <f>L16*(1+Assumptions!D18)</f>
        <v>1418.3348090279867</v>
      </c>
      <c r="N16" s="84"/>
      <c r="O16" s="84"/>
      <c r="P16" s="84"/>
      <c r="Q16" s="84"/>
      <c r="R16" s="84"/>
    </row>
    <row r="17" spans="1:18" s="28" customFormat="1" ht="15.75">
      <c r="A17" s="96"/>
      <c r="B17" s="88"/>
      <c r="C17" s="89"/>
      <c r="D17" s="89"/>
      <c r="E17" s="89"/>
      <c r="F17" s="89"/>
      <c r="G17" s="89"/>
      <c r="H17" s="89"/>
      <c r="I17" s="89"/>
      <c r="J17" s="89"/>
      <c r="K17" s="89"/>
      <c r="L17" s="89"/>
      <c r="M17" s="93"/>
      <c r="N17" s="85"/>
      <c r="O17" s="85"/>
      <c r="P17" s="85"/>
      <c r="Q17" s="85"/>
      <c r="R17" s="85"/>
    </row>
    <row r="18" spans="1:18" ht="15.75">
      <c r="A18" s="90" t="s">
        <v>16</v>
      </c>
      <c r="B18" s="86"/>
      <c r="C18" s="87"/>
      <c r="D18" s="87"/>
      <c r="E18" s="87"/>
      <c r="F18" s="87"/>
      <c r="G18" s="87"/>
      <c r="H18" s="87"/>
      <c r="I18" s="87"/>
      <c r="J18" s="87"/>
      <c r="K18" s="87"/>
      <c r="L18" s="87"/>
      <c r="M18" s="91"/>
      <c r="N18" s="84"/>
      <c r="O18" s="84"/>
      <c r="P18" s="84"/>
      <c r="Q18" s="84"/>
      <c r="R18" s="84"/>
    </row>
    <row r="19" spans="1:18" ht="15.75">
      <c r="A19" s="97" t="s">
        <v>17</v>
      </c>
      <c r="B19" s="83" t="s">
        <v>20</v>
      </c>
      <c r="C19" s="84">
        <f>Assumptions!C25*Assumptions!C24</f>
        <v>3.4200000000000004</v>
      </c>
      <c r="D19" s="84">
        <f>C19*(1+Assumptions!D24)</f>
        <v>3.4542000000000006</v>
      </c>
      <c r="E19" s="84">
        <f>D19*(1+Assumptions!D24)</f>
        <v>3.4887420000000007</v>
      </c>
      <c r="F19" s="84">
        <f>E19*(1+Assumptions!D24)</f>
        <v>3.5236294200000007</v>
      </c>
      <c r="G19" s="84">
        <f>F19*(1+Assumptions!D24)</f>
        <v>3.558865714200001</v>
      </c>
      <c r="H19" s="84">
        <f>G19*(1+Assumptions!D24)</f>
        <v>3.594454371342001</v>
      </c>
      <c r="I19" s="84">
        <f>H19*(1+Assumptions!D24)</f>
        <v>3.6303989150554212</v>
      </c>
      <c r="J19" s="84">
        <f>I19*(1+Assumptions!D24)</f>
        <v>3.6667029042059753</v>
      </c>
      <c r="K19" s="84">
        <f>J19*(1+Assumptions!D24)</f>
        <v>3.703369933248035</v>
      </c>
      <c r="L19" s="84">
        <f>K19*(1+Assumptions!D24)</f>
        <v>3.7404036325805157</v>
      </c>
      <c r="M19" s="95">
        <f>L19*(1+Assumptions!D24)</f>
        <v>3.7778076689063207</v>
      </c>
      <c r="N19" s="84"/>
      <c r="O19" s="84"/>
      <c r="P19" s="84"/>
      <c r="Q19" s="84"/>
      <c r="R19" s="84"/>
    </row>
    <row r="20" spans="1:18" ht="15.75">
      <c r="A20" s="97" t="s">
        <v>18</v>
      </c>
      <c r="B20" s="83" t="s">
        <v>20</v>
      </c>
      <c r="C20" s="84">
        <f>Assumptions!C27*Assumptions!C28</f>
        <v>1.232</v>
      </c>
      <c r="D20" s="84">
        <f>C20*(1+Assumptions!D27)</f>
        <v>1.24432</v>
      </c>
      <c r="E20" s="84">
        <f>D20*(1+Assumptions!D27)</f>
        <v>1.2567632000000002</v>
      </c>
      <c r="F20" s="84">
        <f>E20*(1+Assumptions!D27)</f>
        <v>1.2693308320000003</v>
      </c>
      <c r="G20" s="84">
        <f>F20*(1+Assumptions!D27)</f>
        <v>1.2820241403200003</v>
      </c>
      <c r="H20" s="84">
        <f>G20*(1+Assumptions!D27)</f>
        <v>1.2948443817232003</v>
      </c>
      <c r="I20" s="84">
        <f>H20*(1+Assumptions!D27)</f>
        <v>1.3077928255404323</v>
      </c>
      <c r="J20" s="84">
        <f>I20*(1+Assumptions!D27)</f>
        <v>1.3208707537958366</v>
      </c>
      <c r="K20" s="84">
        <f>J20*(1+Assumptions!D27)</f>
        <v>1.334079461333795</v>
      </c>
      <c r="L20" s="84">
        <f>K20*(1+Assumptions!D27)</f>
        <v>1.3474202559471329</v>
      </c>
      <c r="M20" s="95">
        <f>L20*(1+Assumptions!D27)</f>
        <v>1.3608944585066043</v>
      </c>
      <c r="N20" s="84"/>
      <c r="O20" s="84"/>
      <c r="P20" s="84"/>
      <c r="Q20" s="84"/>
      <c r="R20" s="84"/>
    </row>
    <row r="21" spans="1:18" ht="15.75">
      <c r="A21" s="97" t="s">
        <v>19</v>
      </c>
      <c r="B21" s="83" t="s">
        <v>20</v>
      </c>
      <c r="C21" s="84">
        <f>Assumptions!C30*Assumptions!C31</f>
        <v>2.037</v>
      </c>
      <c r="D21" s="84">
        <f>C21*(1+Assumptions!D30)</f>
        <v>2.05737</v>
      </c>
      <c r="E21" s="84">
        <f>D21*(1+Assumptions!D30)</f>
        <v>2.0779437</v>
      </c>
      <c r="F21" s="84">
        <f>E21*(1+Assumptions!D30)</f>
        <v>2.098723137</v>
      </c>
      <c r="G21" s="84">
        <f>F21*(1+Assumptions!D30)</f>
        <v>2.11971036837</v>
      </c>
      <c r="H21" s="84">
        <f>G21*(1+Assumptions!D30)</f>
        <v>2.1409074720537</v>
      </c>
      <c r="I21" s="84">
        <f>H21*(1+Assumptions!D30)</f>
        <v>2.162316546774237</v>
      </c>
      <c r="J21" s="84">
        <f>I21*(1+Assumptions!D30)</f>
        <v>2.1839397122419797</v>
      </c>
      <c r="K21" s="84">
        <f>J21*(1+Assumptions!D30)</f>
        <v>2.2057791093643995</v>
      </c>
      <c r="L21" s="84">
        <f>K21*(1+Assumptions!D30)</f>
        <v>2.2278369004580436</v>
      </c>
      <c r="M21" s="95">
        <f>L21*(1+Assumptions!D30)</f>
        <v>2.250115269462624</v>
      </c>
      <c r="N21" s="84"/>
      <c r="O21" s="84"/>
      <c r="P21" s="84"/>
      <c r="Q21" s="84"/>
      <c r="R21" s="84"/>
    </row>
    <row r="22" spans="1:18" ht="15.75">
      <c r="A22" s="97" t="s">
        <v>112</v>
      </c>
      <c r="B22" s="83" t="s">
        <v>20</v>
      </c>
      <c r="C22" s="84">
        <f>Assumptions!$C$33*Assumptions!$C$34</f>
        <v>0.679</v>
      </c>
      <c r="D22" s="84">
        <f>(1+Assumptions!$D$33)*C22</f>
        <v>0.68579</v>
      </c>
      <c r="E22" s="84">
        <f>(1+Assumptions!$D$33)*D22</f>
        <v>0.6926479</v>
      </c>
      <c r="F22" s="84">
        <f>(1+Assumptions!$D$33)*E22</f>
        <v>0.699574379</v>
      </c>
      <c r="G22" s="84">
        <f>(1+Assumptions!$D$33)*F22</f>
        <v>0.70657012279</v>
      </c>
      <c r="H22" s="84">
        <f>(1+Assumptions!$D$33)*G22</f>
        <v>0.7136358240178999</v>
      </c>
      <c r="I22" s="84">
        <f>(1+Assumptions!$D$33)*H22</f>
        <v>0.7207721822580789</v>
      </c>
      <c r="J22" s="84">
        <f>(1+Assumptions!$D$33)*I22</f>
        <v>0.7279799040806597</v>
      </c>
      <c r="K22" s="84">
        <f>(1+Assumptions!$D$33)*J22</f>
        <v>0.7352597031214663</v>
      </c>
      <c r="L22" s="84">
        <f>(1+Assumptions!$D$33)*K22</f>
        <v>0.742612300152681</v>
      </c>
      <c r="M22" s="95">
        <f>(1+Assumptions!$D$33)*L22</f>
        <v>0.7500384231542078</v>
      </c>
      <c r="N22" s="84"/>
      <c r="O22" s="84"/>
      <c r="P22" s="84"/>
      <c r="Q22" s="84"/>
      <c r="R22" s="84"/>
    </row>
    <row r="23" spans="1:18" s="28" customFormat="1" ht="16.5" thickBot="1">
      <c r="A23" s="98" t="s">
        <v>26</v>
      </c>
      <c r="B23" s="166"/>
      <c r="C23" s="99">
        <f>SUM(C19:C22)</f>
        <v>7.368</v>
      </c>
      <c r="D23" s="99">
        <f>SUM(D19:D22)</f>
        <v>7.441680000000001</v>
      </c>
      <c r="E23" s="99">
        <f aca="true" t="shared" si="0" ref="E23:M23">SUM(E19:E22)</f>
        <v>7.516096800000001</v>
      </c>
      <c r="F23" s="99">
        <f>SUM(F19:F22)</f>
        <v>7.591257768</v>
      </c>
      <c r="G23" s="99">
        <f t="shared" si="0"/>
        <v>7.667170345680001</v>
      </c>
      <c r="H23" s="99">
        <f t="shared" si="0"/>
        <v>7.743842049136801</v>
      </c>
      <c r="I23" s="99">
        <f t="shared" si="0"/>
        <v>7.82128046962817</v>
      </c>
      <c r="J23" s="99">
        <f t="shared" si="0"/>
        <v>7.899493274324452</v>
      </c>
      <c r="K23" s="99">
        <f t="shared" si="0"/>
        <v>7.978488207067695</v>
      </c>
      <c r="L23" s="99">
        <f t="shared" si="0"/>
        <v>8.058273089138373</v>
      </c>
      <c r="M23" s="100">
        <f t="shared" si="0"/>
        <v>8.138855820029757</v>
      </c>
      <c r="N23" s="85"/>
      <c r="O23" s="85"/>
      <c r="P23" s="85"/>
      <c r="Q23" s="85"/>
      <c r="R23" s="85"/>
    </row>
    <row r="24" spans="1:18" s="28" customFormat="1" ht="15.75">
      <c r="A24" s="90" t="s">
        <v>23</v>
      </c>
      <c r="B24" s="86" t="s">
        <v>20</v>
      </c>
      <c r="C24" s="87">
        <f>Assumptions!I29</f>
        <v>7</v>
      </c>
      <c r="D24" s="87">
        <f>C24*(1+Assumptions!$J$29)</f>
        <v>7.07</v>
      </c>
      <c r="E24" s="87">
        <f>D24*(1+Assumptions!$J$29)</f>
        <v>7.140700000000001</v>
      </c>
      <c r="F24" s="87">
        <f>E24*(1+Assumptions!$J$29)</f>
        <v>7.2121070000000005</v>
      </c>
      <c r="G24" s="87">
        <f>F24*(1+Assumptions!$J$29)</f>
        <v>7.28422807</v>
      </c>
      <c r="H24" s="87">
        <f>G24*(1+Assumptions!$J$29)</f>
        <v>7.3570703507</v>
      </c>
      <c r="I24" s="87">
        <f>H24*(1+Assumptions!$J$29)</f>
        <v>7.430641054207</v>
      </c>
      <c r="J24" s="87">
        <f>I24*(1+Assumptions!$J$29)</f>
        <v>7.50494746474907</v>
      </c>
      <c r="K24" s="87">
        <f>J24*(1+Assumptions!$J$29)</f>
        <v>7.579996939396561</v>
      </c>
      <c r="L24" s="87">
        <f>K24*(1+Assumptions!$J$29)</f>
        <v>7.655796908790527</v>
      </c>
      <c r="M24" s="87">
        <f>L24*(1+Assumptions!$J$29)</f>
        <v>7.732354877878432</v>
      </c>
      <c r="N24" s="85"/>
      <c r="O24" s="85"/>
      <c r="P24" s="85"/>
      <c r="Q24" s="85"/>
      <c r="R24" s="85"/>
    </row>
    <row r="25" spans="1:18" ht="15.75">
      <c r="A25" s="234" t="s">
        <v>229</v>
      </c>
      <c r="B25" s="235" t="s">
        <v>20</v>
      </c>
      <c r="C25" s="236">
        <f>Assumptions!C36</f>
        <v>15</v>
      </c>
      <c r="D25" s="236">
        <f>C25*(1+Assumptions!$J$29)</f>
        <v>15.15</v>
      </c>
      <c r="E25" s="236">
        <f>D25*(1+Assumptions!$J$29)</f>
        <v>15.3015</v>
      </c>
      <c r="F25" s="236">
        <f>E25*(1+Assumptions!$J$29)</f>
        <v>15.454515</v>
      </c>
      <c r="G25" s="236">
        <f>F25*(1+Assumptions!$J$29)</f>
        <v>15.609060150000001</v>
      </c>
      <c r="H25" s="236">
        <f>G25*(1+Assumptions!$J$29)</f>
        <v>15.765150751500002</v>
      </c>
      <c r="I25" s="236">
        <f>H25*(1+Assumptions!$J$29)</f>
        <v>15.922802259015002</v>
      </c>
      <c r="J25" s="236">
        <f>I25*(1+Assumptions!$J$29)</f>
        <v>16.082030281605153</v>
      </c>
      <c r="K25" s="236">
        <f>J25*(1+Assumptions!$J$29)</f>
        <v>16.242850584421205</v>
      </c>
      <c r="L25" s="236">
        <f>K25*(1+Assumptions!$J$29)</f>
        <v>16.405279090265417</v>
      </c>
      <c r="M25" s="236">
        <f>L25*(1+Assumptions!$J$29)</f>
        <v>16.569331881168072</v>
      </c>
      <c r="N25" s="84"/>
      <c r="O25" s="84"/>
      <c r="P25" s="84"/>
      <c r="Q25" s="84"/>
      <c r="R25" s="84"/>
    </row>
    <row r="26" spans="1:18" ht="15.75">
      <c r="A26" s="238" t="s">
        <v>232</v>
      </c>
      <c r="B26" s="235" t="s">
        <v>20</v>
      </c>
      <c r="C26" s="236">
        <f>Assumptions!C37</f>
        <v>0.75</v>
      </c>
      <c r="D26" s="236">
        <f>C26*(1+Assumptions!$J$29)</f>
        <v>0.7575000000000001</v>
      </c>
      <c r="E26" s="236">
        <f>D26*(1+Assumptions!$J$29)</f>
        <v>0.7650750000000001</v>
      </c>
      <c r="F26" s="236">
        <f>E26*(1+Assumptions!$J$29)</f>
        <v>0.7727257500000001</v>
      </c>
      <c r="G26" s="236">
        <f>F26*(1+Assumptions!$J$29)</f>
        <v>0.7804530075000001</v>
      </c>
      <c r="H26" s="236">
        <f>G26*(1+Assumptions!$J$29)</f>
        <v>0.7882575375750002</v>
      </c>
      <c r="I26" s="236">
        <f>H26*(1+Assumptions!$J$29)</f>
        <v>0.7961401129507502</v>
      </c>
      <c r="J26" s="236">
        <f>I26*(1+Assumptions!$J$29)</f>
        <v>0.8041015140802577</v>
      </c>
      <c r="K26" s="236">
        <f>J26*(1+Assumptions!$J$29)</f>
        <v>0.8121425292210602</v>
      </c>
      <c r="L26" s="236">
        <f>K26*(1+Assumptions!$J$29)</f>
        <v>0.8202639545132708</v>
      </c>
      <c r="M26" s="236">
        <f>L26*(1+Assumptions!$J$29)</f>
        <v>0.8284665940584035</v>
      </c>
      <c r="N26" s="84"/>
      <c r="O26" s="84"/>
      <c r="P26" s="84"/>
      <c r="Q26" s="84"/>
      <c r="R26" s="84"/>
    </row>
    <row r="36" spans="1:6" ht="15.75">
      <c r="A36" s="28"/>
      <c r="B36" s="14"/>
      <c r="C36" s="28"/>
      <c r="D36" s="65"/>
      <c r="E36" s="28"/>
      <c r="F36" s="65"/>
    </row>
  </sheetData>
  <sheetProtection password="C977" sheet="1" selectLockedCells="1"/>
  <mergeCells count="1">
    <mergeCell ref="A12:B12"/>
  </mergeCells>
  <hyperlinks>
    <hyperlink ref="A6" location="'Capital Requirements'!A1" display="Capital Requirements"/>
    <hyperlink ref="A7" location="'Labor Costs'!A1" display="Labor Costs"/>
    <hyperlink ref="A5" location="Assumptions!A1" display="Operating/Production Assumptions"/>
    <hyperlink ref="D6" location="'Profit &amp; Loss'!A1" display="Profit &amp; Loss"/>
    <hyperlink ref="D7" location="'Return On Investment'!A1" display="Return on Investment"/>
    <hyperlink ref="D5" location="'Loan Amortization'!A1" display="Loan Amortization"/>
    <hyperlink ref="A8" location="Revenue!A1" display="Revenue"/>
  </hyperlink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2:AA25"/>
  <sheetViews>
    <sheetView showGridLines="0" zoomScale="75" zoomScaleNormal="75" zoomScalePageLayoutView="0" workbookViewId="0" topLeftCell="A1">
      <selection activeCell="A5" sqref="A5"/>
    </sheetView>
  </sheetViews>
  <sheetFormatPr defaultColWidth="9.140625" defaultRowHeight="12.75"/>
  <cols>
    <col min="1" max="1" width="9.140625" style="16" customWidth="1"/>
    <col min="2" max="2" width="18.28125" style="16" customWidth="1"/>
    <col min="3" max="3" width="12.8515625" style="61" customWidth="1"/>
    <col min="4" max="14" width="14.7109375" style="16" customWidth="1"/>
    <col min="15" max="17" width="12.57421875" style="16" customWidth="1"/>
    <col min="18" max="18" width="13.8515625" style="16" bestFit="1" customWidth="1"/>
    <col min="19" max="27" width="12.57421875" style="16" customWidth="1"/>
    <col min="28" max="16384" width="9.140625" style="16" customWidth="1"/>
  </cols>
  <sheetData>
    <row r="1" ht="15.75"/>
    <row r="2" ht="18.75">
      <c r="A2" s="396" t="s">
        <v>307</v>
      </c>
    </row>
    <row r="3" ht="15.75"/>
    <row r="4" spans="1:6" ht="15.75">
      <c r="A4" s="1" t="s">
        <v>311</v>
      </c>
      <c r="B4" s="181"/>
      <c r="C4" s="181"/>
      <c r="D4" s="394" t="s">
        <v>305</v>
      </c>
      <c r="E4" s="181"/>
      <c r="F4" s="181"/>
    </row>
    <row r="5" spans="1:6" ht="15.75">
      <c r="A5" s="399" t="s">
        <v>303</v>
      </c>
      <c r="B5" s="181"/>
      <c r="C5" s="181"/>
      <c r="D5" s="399" t="s">
        <v>297</v>
      </c>
      <c r="E5" s="181"/>
      <c r="F5" s="399" t="s">
        <v>300</v>
      </c>
    </row>
    <row r="6" spans="1:6" ht="15.75">
      <c r="A6" s="399" t="s">
        <v>294</v>
      </c>
      <c r="B6" s="181"/>
      <c r="C6" s="181"/>
      <c r="D6" s="399" t="s">
        <v>298</v>
      </c>
      <c r="E6" s="181"/>
      <c r="F6" s="399" t="s">
        <v>301</v>
      </c>
    </row>
    <row r="7" ht="16.5" thickBot="1"/>
    <row r="8" spans="1:27" s="18" customFormat="1" ht="21" thickBot="1">
      <c r="A8" s="370"/>
      <c r="B8" s="371"/>
      <c r="C8" s="372"/>
      <c r="D8" s="371"/>
      <c r="E8" s="361"/>
      <c r="F8" s="361"/>
      <c r="G8" s="373" t="s">
        <v>28</v>
      </c>
      <c r="H8" s="373"/>
      <c r="I8" s="373"/>
      <c r="J8" s="373"/>
      <c r="K8" s="361"/>
      <c r="L8" s="361"/>
      <c r="M8" s="361"/>
      <c r="N8" s="280"/>
      <c r="O8" s="105"/>
      <c r="P8" s="105"/>
      <c r="Q8" s="105"/>
      <c r="R8" s="105"/>
      <c r="S8" s="105"/>
      <c r="T8" s="105"/>
      <c r="U8" s="105"/>
      <c r="V8" s="105"/>
      <c r="W8" s="105"/>
      <c r="X8" s="105"/>
      <c r="Y8" s="105"/>
      <c r="Z8" s="105"/>
      <c r="AA8" s="105"/>
    </row>
    <row r="9" spans="1:27" s="18" customFormat="1" ht="15.75">
      <c r="A9" s="360"/>
      <c r="B9" s="361"/>
      <c r="C9" s="361"/>
      <c r="D9" s="279" t="s">
        <v>24</v>
      </c>
      <c r="E9" s="361"/>
      <c r="F9" s="361"/>
      <c r="G9" s="361"/>
      <c r="H9" s="361"/>
      <c r="I9" s="361"/>
      <c r="J9" s="361"/>
      <c r="K9" s="361"/>
      <c r="L9" s="361"/>
      <c r="M9" s="361"/>
      <c r="N9" s="280"/>
      <c r="O9" s="105"/>
      <c r="P9" s="105"/>
      <c r="Q9" s="105"/>
      <c r="R9" s="105"/>
      <c r="S9" s="105"/>
      <c r="T9" s="105"/>
      <c r="U9" s="105"/>
      <c r="V9" s="105"/>
      <c r="W9" s="105"/>
      <c r="X9" s="105"/>
      <c r="Y9" s="105"/>
      <c r="Z9" s="105"/>
      <c r="AA9" s="105"/>
    </row>
    <row r="10" spans="1:27" s="18" customFormat="1" ht="16.5" thickBot="1">
      <c r="A10" s="475" t="s">
        <v>27</v>
      </c>
      <c r="B10" s="476"/>
      <c r="C10" s="476"/>
      <c r="D10" s="358">
        <v>0</v>
      </c>
      <c r="E10" s="358">
        <v>1</v>
      </c>
      <c r="F10" s="358">
        <v>2</v>
      </c>
      <c r="G10" s="358">
        <v>3</v>
      </c>
      <c r="H10" s="358">
        <v>4</v>
      </c>
      <c r="I10" s="358">
        <v>5</v>
      </c>
      <c r="J10" s="358">
        <v>6</v>
      </c>
      <c r="K10" s="358">
        <v>7</v>
      </c>
      <c r="L10" s="358">
        <v>8</v>
      </c>
      <c r="M10" s="358">
        <v>9</v>
      </c>
      <c r="N10" s="281">
        <v>10</v>
      </c>
      <c r="O10" s="106"/>
      <c r="P10" s="106"/>
      <c r="Q10" s="106"/>
      <c r="R10" s="106"/>
      <c r="S10" s="106"/>
      <c r="T10" s="106"/>
      <c r="U10" s="106"/>
      <c r="V10" s="106"/>
      <c r="W10" s="106"/>
      <c r="X10" s="106"/>
      <c r="Y10" s="106"/>
      <c r="Z10" s="106"/>
      <c r="AA10" s="106"/>
    </row>
    <row r="11" spans="1:27" s="28" customFormat="1" ht="16.5" thickBot="1">
      <c r="A11" s="470" t="s">
        <v>115</v>
      </c>
      <c r="B11" s="471"/>
      <c r="C11" s="472"/>
      <c r="D11" s="422">
        <v>0</v>
      </c>
      <c r="E11" s="422">
        <v>0.75</v>
      </c>
      <c r="F11" s="422">
        <v>0.9</v>
      </c>
      <c r="G11" s="422">
        <v>0.9</v>
      </c>
      <c r="H11" s="422">
        <v>0.9</v>
      </c>
      <c r="I11" s="422">
        <v>0.9</v>
      </c>
      <c r="J11" s="422">
        <v>0.9</v>
      </c>
      <c r="K11" s="422">
        <v>0.9</v>
      </c>
      <c r="L11" s="422">
        <v>0.9</v>
      </c>
      <c r="M11" s="422">
        <v>0.9</v>
      </c>
      <c r="N11" s="423">
        <v>0.9</v>
      </c>
      <c r="O11" s="107"/>
      <c r="P11" s="107"/>
      <c r="Q11" s="107"/>
      <c r="R11" s="107"/>
      <c r="S11" s="107"/>
      <c r="T11" s="107"/>
      <c r="U11" s="107"/>
      <c r="V11" s="107"/>
      <c r="W11" s="107"/>
      <c r="X11" s="107"/>
      <c r="Y11" s="107"/>
      <c r="Z11" s="107"/>
      <c r="AA11" s="107"/>
    </row>
    <row r="12" spans="1:27" ht="15.75">
      <c r="A12" s="473" t="str">
        <f>Assumptions!G26</f>
        <v>Wholesale Beef Values</v>
      </c>
      <c r="B12" s="474"/>
      <c r="C12" s="101" t="s">
        <v>29</v>
      </c>
      <c r="D12" s="102">
        <f>D11*Assumptions!$C$13</f>
        <v>0</v>
      </c>
      <c r="E12" s="102">
        <f>E11*Assumptions!$C$13</f>
        <v>26250</v>
      </c>
      <c r="F12" s="102">
        <f>F11*Assumptions!$C$13</f>
        <v>31500</v>
      </c>
      <c r="G12" s="102">
        <f>G11*Assumptions!$C$13</f>
        <v>31500</v>
      </c>
      <c r="H12" s="102">
        <f>H11*Assumptions!$C$13</f>
        <v>31500</v>
      </c>
      <c r="I12" s="102">
        <f>I11*Assumptions!$C$13</f>
        <v>31500</v>
      </c>
      <c r="J12" s="102">
        <f>J11*Assumptions!$C$13</f>
        <v>31500</v>
      </c>
      <c r="K12" s="102">
        <f>K11*Assumptions!$C$13</f>
        <v>31500</v>
      </c>
      <c r="L12" s="102">
        <f>L11*Assumptions!$C$13</f>
        <v>31500</v>
      </c>
      <c r="M12" s="102">
        <f>M11*Assumptions!$C$13</f>
        <v>31500</v>
      </c>
      <c r="N12" s="374">
        <f>N11*Assumptions!$C$13</f>
        <v>31500</v>
      </c>
      <c r="O12" s="102"/>
      <c r="P12" s="102"/>
      <c r="Q12" s="102"/>
      <c r="R12" s="102"/>
      <c r="S12" s="102"/>
      <c r="T12" s="102"/>
      <c r="U12" s="102"/>
      <c r="V12" s="102"/>
      <c r="W12" s="102"/>
      <c r="X12" s="102"/>
      <c r="Y12" s="102"/>
      <c r="Z12" s="102"/>
      <c r="AA12" s="102"/>
    </row>
    <row r="13" spans="1:27" ht="16.5" thickBot="1">
      <c r="A13" s="468" t="s">
        <v>30</v>
      </c>
      <c r="B13" s="469"/>
      <c r="C13" s="378" t="s">
        <v>29</v>
      </c>
      <c r="D13" s="379">
        <f>AVERAGE(SUM(D12:D12))</f>
        <v>0</v>
      </c>
      <c r="E13" s="379">
        <f aca="true" t="shared" si="0" ref="E13:N13">SUM(E12:E12)</f>
        <v>26250</v>
      </c>
      <c r="F13" s="379">
        <f t="shared" si="0"/>
        <v>31500</v>
      </c>
      <c r="G13" s="379">
        <f t="shared" si="0"/>
        <v>31500</v>
      </c>
      <c r="H13" s="379">
        <f t="shared" si="0"/>
        <v>31500</v>
      </c>
      <c r="I13" s="379">
        <f t="shared" si="0"/>
        <v>31500</v>
      </c>
      <c r="J13" s="379">
        <f t="shared" si="0"/>
        <v>31500</v>
      </c>
      <c r="K13" s="379">
        <f t="shared" si="0"/>
        <v>31500</v>
      </c>
      <c r="L13" s="379">
        <f t="shared" si="0"/>
        <v>31500</v>
      </c>
      <c r="M13" s="379">
        <f t="shared" si="0"/>
        <v>31500</v>
      </c>
      <c r="N13" s="380">
        <f t="shared" si="0"/>
        <v>31500</v>
      </c>
      <c r="O13" s="103"/>
      <c r="P13" s="103"/>
      <c r="Q13" s="103"/>
      <c r="R13" s="103"/>
      <c r="S13" s="103"/>
      <c r="T13" s="103"/>
      <c r="U13" s="103"/>
      <c r="V13" s="103"/>
      <c r="W13" s="103"/>
      <c r="X13" s="103"/>
      <c r="Y13" s="103"/>
      <c r="Z13" s="103"/>
      <c r="AA13" s="103"/>
    </row>
    <row r="14" spans="1:27" s="18" customFormat="1" ht="15.75">
      <c r="A14" s="481"/>
      <c r="B14" s="482"/>
      <c r="C14" s="482"/>
      <c r="D14" s="358" t="s">
        <v>24</v>
      </c>
      <c r="E14" s="362"/>
      <c r="F14" s="362"/>
      <c r="G14" s="362"/>
      <c r="H14" s="362"/>
      <c r="I14" s="362"/>
      <c r="J14" s="362"/>
      <c r="K14" s="362"/>
      <c r="L14" s="362"/>
      <c r="M14" s="362"/>
      <c r="N14" s="375"/>
      <c r="O14" s="105"/>
      <c r="P14" s="105"/>
      <c r="Q14" s="105"/>
      <c r="R14" s="105"/>
      <c r="S14" s="105"/>
      <c r="T14" s="105"/>
      <c r="U14" s="105"/>
      <c r="V14" s="105"/>
      <c r="W14" s="105"/>
      <c r="X14" s="105"/>
      <c r="Y14" s="105"/>
      <c r="Z14" s="105"/>
      <c r="AA14" s="105"/>
    </row>
    <row r="15" spans="1:27" s="18" customFormat="1" ht="15.75">
      <c r="A15" s="475" t="s">
        <v>290</v>
      </c>
      <c r="B15" s="476"/>
      <c r="C15" s="476"/>
      <c r="D15" s="358">
        <v>0</v>
      </c>
      <c r="E15" s="358">
        <v>1</v>
      </c>
      <c r="F15" s="358">
        <v>2</v>
      </c>
      <c r="G15" s="358">
        <v>3</v>
      </c>
      <c r="H15" s="358">
        <v>4</v>
      </c>
      <c r="I15" s="358">
        <v>5</v>
      </c>
      <c r="J15" s="358">
        <v>6</v>
      </c>
      <c r="K15" s="358">
        <v>7</v>
      </c>
      <c r="L15" s="358">
        <v>8</v>
      </c>
      <c r="M15" s="358">
        <v>9</v>
      </c>
      <c r="N15" s="281">
        <v>10</v>
      </c>
      <c r="O15" s="106"/>
      <c r="P15" s="106"/>
      <c r="Q15" s="106"/>
      <c r="R15" s="106"/>
      <c r="S15" s="106"/>
      <c r="T15" s="106"/>
      <c r="U15" s="106"/>
      <c r="V15" s="106"/>
      <c r="W15" s="106"/>
      <c r="X15" s="106"/>
      <c r="Y15" s="106"/>
      <c r="Z15" s="106"/>
      <c r="AA15" s="106"/>
    </row>
    <row r="16" spans="1:27" ht="15.75">
      <c r="A16" s="473" t="str">
        <f>A12</f>
        <v>Wholesale Beef Values</v>
      </c>
      <c r="B16" s="474"/>
      <c r="C16" s="101" t="s">
        <v>20</v>
      </c>
      <c r="D16" s="104">
        <f>Assumptions!I26</f>
        <v>1322.301528</v>
      </c>
      <c r="E16" s="104">
        <f>D16*(1+Assumptions!$J$26)</f>
        <v>1335.52454328</v>
      </c>
      <c r="F16" s="104">
        <f>E16*(1+Assumptions!$J$26)</f>
        <v>1348.8797887128</v>
      </c>
      <c r="G16" s="104">
        <f>F16*(1+Assumptions!$J$26)</f>
        <v>1362.368586599928</v>
      </c>
      <c r="H16" s="104">
        <f>G16*(1+Assumptions!$J$26)</f>
        <v>1375.9922724659273</v>
      </c>
      <c r="I16" s="104">
        <f>H16*(1+Assumptions!$J$26)</f>
        <v>1389.7521951905865</v>
      </c>
      <c r="J16" s="104">
        <f>I16*(1+Assumptions!$J$26)</f>
        <v>1403.6497171424924</v>
      </c>
      <c r="K16" s="104">
        <f>J16*(1+Assumptions!$J$26)</f>
        <v>1417.6862143139174</v>
      </c>
      <c r="L16" s="104">
        <f>K16*(1+Assumptions!$J$26)</f>
        <v>1431.8630764570566</v>
      </c>
      <c r="M16" s="104">
        <f>L16*(1+Assumptions!$J$26)</f>
        <v>1446.1817072216272</v>
      </c>
      <c r="N16" s="108">
        <f>M16*(1+Assumptions!$J$26)</f>
        <v>1460.6435242938435</v>
      </c>
      <c r="O16" s="104"/>
      <c r="P16" s="104"/>
      <c r="Q16" s="104"/>
      <c r="R16" s="104"/>
      <c r="S16" s="104"/>
      <c r="T16" s="104"/>
      <c r="U16" s="104"/>
      <c r="V16" s="104"/>
      <c r="W16" s="104"/>
      <c r="X16" s="104"/>
      <c r="Y16" s="104"/>
      <c r="Z16" s="104"/>
      <c r="AA16" s="104"/>
    </row>
    <row r="17" spans="1:27" ht="15.75">
      <c r="A17" s="473" t="s">
        <v>206</v>
      </c>
      <c r="B17" s="474"/>
      <c r="C17" s="101" t="s">
        <v>20</v>
      </c>
      <c r="D17" s="104">
        <f>Assumptions!I27</f>
        <v>25</v>
      </c>
      <c r="E17" s="104">
        <f>D17*(1+Assumptions!$J$26)</f>
        <v>25.25</v>
      </c>
      <c r="F17" s="104">
        <f>E17*(1+Assumptions!$J$26)</f>
        <v>25.5025</v>
      </c>
      <c r="G17" s="104">
        <f>F17*(1+Assumptions!$J$26)</f>
        <v>25.757525</v>
      </c>
      <c r="H17" s="104">
        <f>G17*(1+Assumptions!$J$26)</f>
        <v>26.01510025</v>
      </c>
      <c r="I17" s="104">
        <f>H17*(1+Assumptions!$J$26)</f>
        <v>26.2752512525</v>
      </c>
      <c r="J17" s="104">
        <f>I17*(1+Assumptions!$J$26)</f>
        <v>26.538003765025</v>
      </c>
      <c r="K17" s="104">
        <f>J17*(1+Assumptions!$J$26)</f>
        <v>26.80338380267525</v>
      </c>
      <c r="L17" s="104">
        <f>K17*(1+Assumptions!$J$26)</f>
        <v>27.071417640702002</v>
      </c>
      <c r="M17" s="104">
        <f>L17*(1+Assumptions!$J$26)</f>
        <v>27.34213181710902</v>
      </c>
      <c r="N17" s="108">
        <f>M17*(1+Assumptions!$J$26)</f>
        <v>27.615553135280113</v>
      </c>
      <c r="O17" s="104"/>
      <c r="P17" s="104"/>
      <c r="Q17" s="104"/>
      <c r="R17" s="104"/>
      <c r="S17" s="104"/>
      <c r="T17" s="104"/>
      <c r="U17" s="104"/>
      <c r="V17" s="104"/>
      <c r="W17" s="104"/>
      <c r="X17" s="104"/>
      <c r="Y17" s="104"/>
      <c r="Z17" s="104"/>
      <c r="AA17" s="104"/>
    </row>
    <row r="18" spans="1:14" ht="16.5" thickBot="1">
      <c r="A18" s="483" t="s">
        <v>289</v>
      </c>
      <c r="B18" s="484"/>
      <c r="C18" s="369" t="s">
        <v>20</v>
      </c>
      <c r="D18" s="104">
        <f>Assumptions!I28</f>
        <v>15</v>
      </c>
      <c r="E18" s="104">
        <f>D18*(1+Assumptions!$J$26)</f>
        <v>15.15</v>
      </c>
      <c r="F18" s="104">
        <f>E18*(1+Assumptions!$J$26)</f>
        <v>15.3015</v>
      </c>
      <c r="G18" s="104">
        <f>F18*(1+Assumptions!$J$26)</f>
        <v>15.454515</v>
      </c>
      <c r="H18" s="104">
        <f>G18*(1+Assumptions!$J$26)</f>
        <v>15.609060150000001</v>
      </c>
      <c r="I18" s="104">
        <f>H18*(1+Assumptions!$J$26)</f>
        <v>15.765150751500002</v>
      </c>
      <c r="J18" s="104">
        <f>I18*(1+Assumptions!$J$26)</f>
        <v>15.922802259015002</v>
      </c>
      <c r="K18" s="104">
        <f>J18*(1+Assumptions!$J$26)</f>
        <v>16.082030281605153</v>
      </c>
      <c r="L18" s="104">
        <f>K18*(1+Assumptions!$J$26)</f>
        <v>16.242850584421205</v>
      </c>
      <c r="M18" s="104">
        <f>L18*(1+Assumptions!$J$26)</f>
        <v>16.405279090265417</v>
      </c>
      <c r="N18" s="108">
        <f>M18*(1+Assumptions!$J$26)</f>
        <v>16.569331881168072</v>
      </c>
    </row>
    <row r="19" spans="1:27" s="18" customFormat="1" ht="15.75">
      <c r="A19" s="479"/>
      <c r="B19" s="480"/>
      <c r="C19" s="480"/>
      <c r="D19" s="279" t="s">
        <v>24</v>
      </c>
      <c r="E19" s="361"/>
      <c r="F19" s="361"/>
      <c r="G19" s="361"/>
      <c r="H19" s="361"/>
      <c r="I19" s="361"/>
      <c r="J19" s="361"/>
      <c r="K19" s="361"/>
      <c r="L19" s="361"/>
      <c r="M19" s="361"/>
      <c r="N19" s="280"/>
      <c r="O19" s="105"/>
      <c r="P19" s="105"/>
      <c r="Q19" s="105"/>
      <c r="R19" s="105"/>
      <c r="S19" s="105"/>
      <c r="T19" s="105"/>
      <c r="U19" s="105"/>
      <c r="V19" s="105"/>
      <c r="W19" s="105"/>
      <c r="X19" s="105"/>
      <c r="Y19" s="105"/>
      <c r="Z19" s="105"/>
      <c r="AA19" s="105"/>
    </row>
    <row r="20" spans="1:27" s="18" customFormat="1" ht="16.5" thickBot="1">
      <c r="A20" s="477" t="s">
        <v>265</v>
      </c>
      <c r="B20" s="478"/>
      <c r="C20" s="478"/>
      <c r="D20" s="359">
        <v>0</v>
      </c>
      <c r="E20" s="359">
        <v>1</v>
      </c>
      <c r="F20" s="359">
        <v>2</v>
      </c>
      <c r="G20" s="359">
        <v>3</v>
      </c>
      <c r="H20" s="359">
        <v>4</v>
      </c>
      <c r="I20" s="359">
        <v>5</v>
      </c>
      <c r="J20" s="359">
        <v>6</v>
      </c>
      <c r="K20" s="359">
        <v>7</v>
      </c>
      <c r="L20" s="359">
        <v>8</v>
      </c>
      <c r="M20" s="359">
        <v>9</v>
      </c>
      <c r="N20" s="282">
        <v>10</v>
      </c>
      <c r="O20" s="106"/>
      <c r="P20" s="106"/>
      <c r="Q20" s="106"/>
      <c r="R20" s="106"/>
      <c r="S20" s="106"/>
      <c r="T20" s="106"/>
      <c r="U20" s="106"/>
      <c r="V20" s="106"/>
      <c r="W20" s="106"/>
      <c r="X20" s="106"/>
      <c r="Y20" s="106"/>
      <c r="Z20" s="106"/>
      <c r="AA20" s="106"/>
    </row>
    <row r="21" spans="1:27" ht="15.75">
      <c r="A21" s="473" t="str">
        <f>A12</f>
        <v>Wholesale Beef Values</v>
      </c>
      <c r="B21" s="474"/>
      <c r="C21" s="101"/>
      <c r="D21" s="339">
        <f aca="true" t="shared" si="1" ref="D21:N21">D12*D16</f>
        <v>0</v>
      </c>
      <c r="E21" s="339">
        <f t="shared" si="1"/>
        <v>35057519.2611</v>
      </c>
      <c r="F21" s="339">
        <f t="shared" si="1"/>
        <v>42489713.3444532</v>
      </c>
      <c r="G21" s="339">
        <f t="shared" si="1"/>
        <v>42914610.47789773</v>
      </c>
      <c r="H21" s="339">
        <f t="shared" si="1"/>
        <v>43343756.58267671</v>
      </c>
      <c r="I21" s="339">
        <f t="shared" si="1"/>
        <v>43777194.148503475</v>
      </c>
      <c r="J21" s="339">
        <f t="shared" si="1"/>
        <v>44214966.08998851</v>
      </c>
      <c r="K21" s="339">
        <f t="shared" si="1"/>
        <v>44657115.7508884</v>
      </c>
      <c r="L21" s="339">
        <f t="shared" si="1"/>
        <v>45103686.90839729</v>
      </c>
      <c r="M21" s="339">
        <f t="shared" si="1"/>
        <v>45554723.77748126</v>
      </c>
      <c r="N21" s="79">
        <f t="shared" si="1"/>
        <v>46010271.01525607</v>
      </c>
      <c r="O21" s="104"/>
      <c r="P21" s="104"/>
      <c r="Q21" s="104"/>
      <c r="R21" s="104"/>
      <c r="S21" s="104"/>
      <c r="T21" s="104"/>
      <c r="U21" s="104"/>
      <c r="V21" s="104"/>
      <c r="W21" s="104"/>
      <c r="X21" s="104"/>
      <c r="Y21" s="104"/>
      <c r="Z21" s="104"/>
      <c r="AA21" s="104"/>
    </row>
    <row r="22" spans="1:27" ht="15.75">
      <c r="A22" s="473" t="s">
        <v>233</v>
      </c>
      <c r="B22" s="474"/>
      <c r="C22" s="101"/>
      <c r="D22" s="339">
        <f>-Assumptions!$I$30*Revenue!D21</f>
        <v>0</v>
      </c>
      <c r="E22" s="339">
        <f>-Assumptions!$I$30*Revenue!E21</f>
        <v>-876437.9815275001</v>
      </c>
      <c r="F22" s="339">
        <f>-Assumptions!$I$30*Revenue!F21</f>
        <v>-1062242.83361133</v>
      </c>
      <c r="G22" s="339">
        <f>-Assumptions!$I$30*Revenue!G21</f>
        <v>-1072865.2619474435</v>
      </c>
      <c r="H22" s="339">
        <f>-Assumptions!$I$30*Revenue!H21</f>
        <v>-1083593.9145669178</v>
      </c>
      <c r="I22" s="339">
        <f>-Assumptions!$I$30*Revenue!I21</f>
        <v>-1094429.853712587</v>
      </c>
      <c r="J22" s="339">
        <f>-Assumptions!$I$30*Revenue!J21</f>
        <v>-1105374.1522497127</v>
      </c>
      <c r="K22" s="339">
        <f>-Assumptions!$I$30*Revenue!K21</f>
        <v>-1116427.89377221</v>
      </c>
      <c r="L22" s="339">
        <f>-Assumptions!$I$30*Revenue!L21</f>
        <v>-1127592.1727099323</v>
      </c>
      <c r="M22" s="339">
        <f>-Assumptions!$I$30*Revenue!M21</f>
        <v>-1138868.0944370315</v>
      </c>
      <c r="N22" s="79">
        <f>-Assumptions!$I$30*Revenue!N21</f>
        <v>-1150256.7753814019</v>
      </c>
      <c r="O22" s="104"/>
      <c r="P22" s="104"/>
      <c r="Q22" s="104"/>
      <c r="R22" s="104"/>
      <c r="S22" s="104"/>
      <c r="T22" s="104"/>
      <c r="U22" s="104"/>
      <c r="V22" s="104"/>
      <c r="W22" s="104"/>
      <c r="X22" s="104"/>
      <c r="Y22" s="104"/>
      <c r="Z22" s="104"/>
      <c r="AA22" s="104"/>
    </row>
    <row r="23" spans="1:27" ht="15.75">
      <c r="A23" s="202"/>
      <c r="B23" s="203" t="str">
        <f>A17</f>
        <v>Hides</v>
      </c>
      <c r="C23" s="101"/>
      <c r="D23" s="339">
        <f>D$13*D17</f>
        <v>0</v>
      </c>
      <c r="E23" s="339">
        <f aca="true" t="shared" si="2" ref="E23:N24">E$13*E17</f>
        <v>662812.5</v>
      </c>
      <c r="F23" s="339">
        <f t="shared" si="2"/>
        <v>803328.75</v>
      </c>
      <c r="G23" s="339">
        <f t="shared" si="2"/>
        <v>811362.0375000001</v>
      </c>
      <c r="H23" s="339">
        <f t="shared" si="2"/>
        <v>819475.657875</v>
      </c>
      <c r="I23" s="339">
        <f t="shared" si="2"/>
        <v>827670.41445375</v>
      </c>
      <c r="J23" s="339">
        <f t="shared" si="2"/>
        <v>835947.1185982875</v>
      </c>
      <c r="K23" s="339">
        <f t="shared" si="2"/>
        <v>844306.5897842704</v>
      </c>
      <c r="L23" s="339">
        <f t="shared" si="2"/>
        <v>852749.655682113</v>
      </c>
      <c r="M23" s="339">
        <f t="shared" si="2"/>
        <v>861277.1522389342</v>
      </c>
      <c r="N23" s="79">
        <f t="shared" si="2"/>
        <v>869889.9237613236</v>
      </c>
      <c r="O23" s="104"/>
      <c r="P23" s="104"/>
      <c r="Q23" s="104"/>
      <c r="R23" s="104"/>
      <c r="S23" s="104"/>
      <c r="T23" s="104"/>
      <c r="U23" s="104"/>
      <c r="V23" s="104"/>
      <c r="W23" s="104"/>
      <c r="X23" s="104"/>
      <c r="Y23" s="104"/>
      <c r="Z23" s="104"/>
      <c r="AA23" s="104"/>
    </row>
    <row r="24" spans="1:27" ht="15.75">
      <c r="A24" s="473" t="s">
        <v>289</v>
      </c>
      <c r="B24" s="474"/>
      <c r="C24" s="101"/>
      <c r="D24" s="339">
        <f>D$13*D18</f>
        <v>0</v>
      </c>
      <c r="E24" s="339">
        <f t="shared" si="2"/>
        <v>397687.5</v>
      </c>
      <c r="F24" s="339">
        <f t="shared" si="2"/>
        <v>481997.25</v>
      </c>
      <c r="G24" s="339">
        <f t="shared" si="2"/>
        <v>486817.22250000003</v>
      </c>
      <c r="H24" s="339">
        <f t="shared" si="2"/>
        <v>491685.394725</v>
      </c>
      <c r="I24" s="339">
        <f t="shared" si="2"/>
        <v>496602.2486722501</v>
      </c>
      <c r="J24" s="339">
        <f t="shared" si="2"/>
        <v>501568.2711589726</v>
      </c>
      <c r="K24" s="339">
        <f t="shared" si="2"/>
        <v>506583.9538705623</v>
      </c>
      <c r="L24" s="339">
        <f t="shared" si="2"/>
        <v>511649.79340926796</v>
      </c>
      <c r="M24" s="339">
        <f t="shared" si="2"/>
        <v>516766.2913433606</v>
      </c>
      <c r="N24" s="79">
        <f t="shared" si="2"/>
        <v>521933.95425679424</v>
      </c>
      <c r="O24" s="104"/>
      <c r="P24" s="104"/>
      <c r="Q24" s="104"/>
      <c r="R24" s="104"/>
      <c r="S24" s="104"/>
      <c r="T24" s="104"/>
      <c r="U24" s="104"/>
      <c r="V24" s="104"/>
      <c r="W24" s="104"/>
      <c r="X24" s="104"/>
      <c r="Y24" s="104"/>
      <c r="Z24" s="104"/>
      <c r="AA24" s="104"/>
    </row>
    <row r="25" spans="1:27" s="28" customFormat="1" ht="16.5" thickBot="1">
      <c r="A25" s="376" t="s">
        <v>208</v>
      </c>
      <c r="B25" s="377"/>
      <c r="C25" s="378"/>
      <c r="D25" s="381">
        <f>SUM(D21:D22)</f>
        <v>0</v>
      </c>
      <c r="E25" s="381">
        <f>SUM(E21:E24)</f>
        <v>35241581.2795725</v>
      </c>
      <c r="F25" s="381">
        <f aca="true" t="shared" si="3" ref="F25:N25">SUM(F21:F24)</f>
        <v>42712796.51084187</v>
      </c>
      <c r="G25" s="381">
        <f t="shared" si="3"/>
        <v>43139924.475950286</v>
      </c>
      <c r="H25" s="381">
        <f t="shared" si="3"/>
        <v>43571323.72070979</v>
      </c>
      <c r="I25" s="381">
        <f t="shared" si="3"/>
        <v>44007036.957916886</v>
      </c>
      <c r="J25" s="381">
        <f t="shared" si="3"/>
        <v>44447107.32749605</v>
      </c>
      <c r="K25" s="381">
        <f t="shared" si="3"/>
        <v>44891578.40077103</v>
      </c>
      <c r="L25" s="381">
        <f t="shared" si="3"/>
        <v>45340494.18477873</v>
      </c>
      <c r="M25" s="381">
        <f t="shared" si="3"/>
        <v>45793899.12662652</v>
      </c>
      <c r="N25" s="382">
        <f t="shared" si="3"/>
        <v>46251838.11789279</v>
      </c>
      <c r="O25" s="111"/>
      <c r="P25" s="111"/>
      <c r="Q25" s="111"/>
      <c r="R25" s="111"/>
      <c r="S25" s="111"/>
      <c r="T25" s="111"/>
      <c r="U25" s="111"/>
      <c r="V25" s="111"/>
      <c r="W25" s="111"/>
      <c r="X25" s="111"/>
      <c r="Y25" s="111"/>
      <c r="Z25" s="111"/>
      <c r="AA25" s="111"/>
    </row>
  </sheetData>
  <sheetProtection password="C977" sheet="1" selectLockedCells="1"/>
  <mergeCells count="14">
    <mergeCell ref="A18:B18"/>
    <mergeCell ref="A24:B24"/>
    <mergeCell ref="A22:B22"/>
    <mergeCell ref="A21:B21"/>
    <mergeCell ref="A13:B13"/>
    <mergeCell ref="A11:C11"/>
    <mergeCell ref="A12:B12"/>
    <mergeCell ref="A10:C10"/>
    <mergeCell ref="A17:B17"/>
    <mergeCell ref="A20:C20"/>
    <mergeCell ref="A19:C19"/>
    <mergeCell ref="A14:C14"/>
    <mergeCell ref="A15:C15"/>
    <mergeCell ref="A16:B16"/>
  </mergeCells>
  <hyperlinks>
    <hyperlink ref="A6" location="'Capital Requirements'!A1" display="Capital Requirements"/>
    <hyperlink ref="A5" location="Assumptions!A1" display="Operating/Production Assumptions"/>
    <hyperlink ref="F6" location="'Return On Investment'!A1" display="Return on Investment"/>
    <hyperlink ref="D5" location="'Loan Amortization'!A1" display="Loan Amortization"/>
    <hyperlink ref="D6" location="'Variable Costs'!A1" display="Variable Costs"/>
    <hyperlink ref="F5" location="'Profit &amp; Loss'!A1" display="Profit &amp; Loss"/>
  </hyperlinks>
  <printOptions/>
  <pageMargins left="0.75" right="0.75" top="1" bottom="1" header="0.5" footer="0.5"/>
  <pageSetup horizontalDpi="600" verticalDpi="600" orientation="portrait" r:id="rId3"/>
  <legacyDrawing r:id="rId2"/>
</worksheet>
</file>

<file path=xl/worksheets/sheet8.xml><?xml version="1.0" encoding="utf-8"?>
<worksheet xmlns="http://schemas.openxmlformats.org/spreadsheetml/2006/main" xmlns:r="http://schemas.openxmlformats.org/officeDocument/2006/relationships">
  <dimension ref="A2:AD62"/>
  <sheetViews>
    <sheetView showGridLines="0" zoomScale="75" zoomScaleNormal="75" zoomScalePageLayoutView="0" workbookViewId="0" topLeftCell="A1">
      <selection activeCell="A5" sqref="A5"/>
    </sheetView>
  </sheetViews>
  <sheetFormatPr defaultColWidth="9.140625" defaultRowHeight="12.75"/>
  <cols>
    <col min="1" max="1" width="8.8515625" style="118" customWidth="1"/>
    <col min="2" max="2" width="17.8515625" style="118" customWidth="1"/>
    <col min="3" max="3" width="9.57421875" style="118" bestFit="1" customWidth="1"/>
    <col min="4" max="4" width="6.28125" style="118" customWidth="1"/>
    <col min="5" max="5" width="18.7109375" style="9" bestFit="1" customWidth="1"/>
    <col min="6" max="20" width="12.7109375" style="9" customWidth="1"/>
    <col min="21" max="30" width="9.140625" style="9" customWidth="1"/>
    <col min="31" max="16384" width="9.140625" style="64" customWidth="1"/>
  </cols>
  <sheetData>
    <row r="2" spans="1:7" ht="18.75">
      <c r="A2" s="396" t="s">
        <v>308</v>
      </c>
      <c r="B2" s="16"/>
      <c r="C2" s="16"/>
      <c r="D2" s="16"/>
      <c r="E2" s="16"/>
      <c r="F2" s="16"/>
      <c r="G2" s="16"/>
    </row>
    <row r="3" spans="1:7" ht="15.75">
      <c r="A3" s="16"/>
      <c r="B3" s="16"/>
      <c r="C3" s="16"/>
      <c r="D3" s="16"/>
      <c r="E3" s="16"/>
      <c r="F3" s="16"/>
      <c r="G3" s="16"/>
    </row>
    <row r="4" spans="1:7" ht="15.75">
      <c r="A4" s="1" t="s">
        <v>311</v>
      </c>
      <c r="B4" s="3"/>
      <c r="C4" s="16"/>
      <c r="D4" s="64"/>
      <c r="E4" s="394" t="s">
        <v>305</v>
      </c>
      <c r="F4" s="16"/>
      <c r="G4" s="16"/>
    </row>
    <row r="5" spans="1:7" ht="15.75">
      <c r="A5" s="399" t="s">
        <v>303</v>
      </c>
      <c r="B5" s="3"/>
      <c r="C5" s="16"/>
      <c r="D5" s="64"/>
      <c r="E5" s="399" t="s">
        <v>297</v>
      </c>
      <c r="F5" s="16"/>
      <c r="G5" s="399" t="s">
        <v>300</v>
      </c>
    </row>
    <row r="6" spans="1:7" ht="15.75">
      <c r="A6" s="399" t="s">
        <v>294</v>
      </c>
      <c r="B6" s="3"/>
      <c r="C6" s="16"/>
      <c r="D6" s="64"/>
      <c r="E6" s="399" t="s">
        <v>298</v>
      </c>
      <c r="F6" s="16"/>
      <c r="G6" s="399" t="s">
        <v>301</v>
      </c>
    </row>
    <row r="7" ht="15.75">
      <c r="A7" s="399" t="s">
        <v>299</v>
      </c>
    </row>
    <row r="8" ht="16.5" thickBot="1"/>
    <row r="9" spans="1:30" s="164" customFormat="1" ht="15.75">
      <c r="A9" s="283" t="s">
        <v>107</v>
      </c>
      <c r="B9" s="284"/>
      <c r="C9" s="285"/>
      <c r="D9" s="285"/>
      <c r="E9" s="286"/>
      <c r="F9" s="286"/>
      <c r="G9" s="286"/>
      <c r="H9" s="286"/>
      <c r="I9" s="286"/>
      <c r="J9" s="286"/>
      <c r="K9" s="286"/>
      <c r="L9" s="286"/>
      <c r="M9" s="286"/>
      <c r="N9" s="286"/>
      <c r="O9" s="287"/>
      <c r="P9" s="163"/>
      <c r="Q9" s="163"/>
      <c r="R9" s="163"/>
      <c r="S9" s="163"/>
      <c r="T9" s="163"/>
      <c r="U9" s="163"/>
      <c r="V9" s="163"/>
      <c r="W9" s="163"/>
      <c r="X9" s="163"/>
      <c r="Y9" s="163"/>
      <c r="Z9" s="163"/>
      <c r="AA9" s="163"/>
      <c r="AB9" s="163"/>
      <c r="AC9" s="163"/>
      <c r="AD9" s="163"/>
    </row>
    <row r="10" spans="1:20" s="113" customFormat="1" ht="16.5" thickBot="1">
      <c r="A10" s="288"/>
      <c r="B10" s="289"/>
      <c r="C10" s="290"/>
      <c r="D10" s="289"/>
      <c r="E10" s="291">
        <v>0</v>
      </c>
      <c r="F10" s="291">
        <v>1</v>
      </c>
      <c r="G10" s="291">
        <v>2</v>
      </c>
      <c r="H10" s="291">
        <v>3</v>
      </c>
      <c r="I10" s="291">
        <v>4</v>
      </c>
      <c r="J10" s="291">
        <v>5</v>
      </c>
      <c r="K10" s="291">
        <v>6</v>
      </c>
      <c r="L10" s="291">
        <v>7</v>
      </c>
      <c r="M10" s="291">
        <v>8</v>
      </c>
      <c r="N10" s="291">
        <v>9</v>
      </c>
      <c r="O10" s="292">
        <v>10</v>
      </c>
      <c r="P10" s="112"/>
      <c r="Q10" s="112"/>
      <c r="R10" s="112"/>
      <c r="S10" s="112"/>
      <c r="T10" s="112"/>
    </row>
    <row r="11" spans="1:20" s="115" customFormat="1" ht="15.75">
      <c r="A11" s="123" t="s">
        <v>64</v>
      </c>
      <c r="B11" s="124"/>
      <c r="C11" s="125"/>
      <c r="D11" s="126"/>
      <c r="E11" s="126"/>
      <c r="F11" s="126"/>
      <c r="G11" s="126"/>
      <c r="H11" s="126"/>
      <c r="I11" s="126"/>
      <c r="J11" s="126"/>
      <c r="K11" s="126"/>
      <c r="L11" s="126"/>
      <c r="M11" s="126"/>
      <c r="N11" s="126"/>
      <c r="O11" s="127"/>
      <c r="P11" s="114"/>
      <c r="Q11" s="114"/>
      <c r="R11" s="114"/>
      <c r="S11" s="114"/>
      <c r="T11" s="114"/>
    </row>
    <row r="12" spans="1:20" s="115" customFormat="1" ht="15.75">
      <c r="A12" s="237"/>
      <c r="C12" s="116" t="str">
        <f>Revenue!A21</f>
        <v>Wholesale Beef Values</v>
      </c>
      <c r="D12" s="114"/>
      <c r="E12" s="9">
        <f>Revenue!D21</f>
        <v>0</v>
      </c>
      <c r="F12" s="9">
        <f>Revenue!E21</f>
        <v>35057519.2611</v>
      </c>
      <c r="G12" s="9">
        <f>Revenue!F21</f>
        <v>42489713.3444532</v>
      </c>
      <c r="H12" s="9">
        <f>Revenue!G21</f>
        <v>42914610.47789773</v>
      </c>
      <c r="I12" s="9">
        <f>Revenue!H21</f>
        <v>43343756.58267671</v>
      </c>
      <c r="J12" s="9">
        <f>Revenue!I21</f>
        <v>43777194.148503475</v>
      </c>
      <c r="K12" s="9">
        <f>Revenue!J21</f>
        <v>44214966.08998851</v>
      </c>
      <c r="L12" s="9">
        <f>Revenue!K21</f>
        <v>44657115.7508884</v>
      </c>
      <c r="M12" s="9">
        <f>Revenue!L21</f>
        <v>45103686.90839729</v>
      </c>
      <c r="N12" s="9">
        <f>Revenue!M21</f>
        <v>45554723.77748126</v>
      </c>
      <c r="O12" s="23">
        <f>Revenue!N21</f>
        <v>46010271.01525607</v>
      </c>
      <c r="P12" s="114"/>
      <c r="Q12" s="114"/>
      <c r="R12" s="114"/>
      <c r="S12" s="114"/>
      <c r="T12" s="114"/>
    </row>
    <row r="13" spans="1:20" s="115" customFormat="1" ht="15.75">
      <c r="A13" s="237"/>
      <c r="C13" s="116" t="str">
        <f>Revenue!A22</f>
        <v>Minus Samples/Give-Aways</v>
      </c>
      <c r="D13" s="114"/>
      <c r="E13" s="9">
        <f>Revenue!D22</f>
        <v>0</v>
      </c>
      <c r="F13" s="9">
        <f>Revenue!E22</f>
        <v>-876437.9815275001</v>
      </c>
      <c r="G13" s="9">
        <f>Revenue!F22</f>
        <v>-1062242.83361133</v>
      </c>
      <c r="H13" s="9">
        <f>Revenue!G22</f>
        <v>-1072865.2619474435</v>
      </c>
      <c r="I13" s="9">
        <f>Revenue!H22</f>
        <v>-1083593.9145669178</v>
      </c>
      <c r="J13" s="9">
        <f>Revenue!I22</f>
        <v>-1094429.853712587</v>
      </c>
      <c r="K13" s="9">
        <f>Revenue!J22</f>
        <v>-1105374.1522497127</v>
      </c>
      <c r="L13" s="9">
        <f>Revenue!K22</f>
        <v>-1116427.89377221</v>
      </c>
      <c r="M13" s="9">
        <f>Revenue!L22</f>
        <v>-1127592.1727099323</v>
      </c>
      <c r="N13" s="9">
        <f>Revenue!M22</f>
        <v>-1138868.0944370315</v>
      </c>
      <c r="O13" s="23">
        <f>Revenue!N22</f>
        <v>-1150256.7753814019</v>
      </c>
      <c r="P13" s="114"/>
      <c r="Q13" s="114"/>
      <c r="R13" s="114"/>
      <c r="S13" s="114"/>
      <c r="T13" s="114"/>
    </row>
    <row r="14" spans="1:20" s="115" customFormat="1" ht="15.75">
      <c r="A14" s="128"/>
      <c r="C14" s="116" t="str">
        <f>Revenue!B23</f>
        <v>Hides</v>
      </c>
      <c r="D14" s="114"/>
      <c r="E14" s="9">
        <f>Revenue!D23</f>
        <v>0</v>
      </c>
      <c r="F14" s="9">
        <f>Revenue!E23</f>
        <v>662812.5</v>
      </c>
      <c r="G14" s="9">
        <f>Revenue!F23</f>
        <v>803328.75</v>
      </c>
      <c r="H14" s="9">
        <f>Revenue!G23</f>
        <v>811362.0375000001</v>
      </c>
      <c r="I14" s="9">
        <f>Revenue!H23</f>
        <v>819475.657875</v>
      </c>
      <c r="J14" s="9">
        <f>Revenue!I23</f>
        <v>827670.41445375</v>
      </c>
      <c r="K14" s="9">
        <f>Revenue!J23</f>
        <v>835947.1185982875</v>
      </c>
      <c r="L14" s="9">
        <f>Revenue!K23</f>
        <v>844306.5897842704</v>
      </c>
      <c r="M14" s="9">
        <f>Revenue!L23</f>
        <v>852749.655682113</v>
      </c>
      <c r="N14" s="9">
        <f>Revenue!M23</f>
        <v>861277.1522389342</v>
      </c>
      <c r="O14" s="23">
        <f>Revenue!N23</f>
        <v>869889.9237613236</v>
      </c>
      <c r="P14" s="9" t="s">
        <v>84</v>
      </c>
      <c r="Q14" s="9"/>
      <c r="R14" s="9"/>
      <c r="S14" s="9"/>
      <c r="T14" s="9"/>
    </row>
    <row r="15" spans="1:30" s="65" customFormat="1" ht="15.75">
      <c r="A15" s="129" t="s">
        <v>65</v>
      </c>
      <c r="B15" s="117"/>
      <c r="C15" s="117"/>
      <c r="D15" s="117"/>
      <c r="E15" s="29">
        <f>E14</f>
        <v>0</v>
      </c>
      <c r="F15" s="29">
        <f aca="true" t="shared" si="0" ref="F15:O15">SUM(F12:F14)</f>
        <v>34843893.7795725</v>
      </c>
      <c r="G15" s="29">
        <f t="shared" si="0"/>
        <v>42230799.26084187</v>
      </c>
      <c r="H15" s="29">
        <f t="shared" si="0"/>
        <v>42653107.25345029</v>
      </c>
      <c r="I15" s="29">
        <f t="shared" si="0"/>
        <v>43079638.32598479</v>
      </c>
      <c r="J15" s="29">
        <f t="shared" si="0"/>
        <v>43510434.70924464</v>
      </c>
      <c r="K15" s="29">
        <f t="shared" si="0"/>
        <v>43945539.05633708</v>
      </c>
      <c r="L15" s="29">
        <f t="shared" si="0"/>
        <v>44384994.446900465</v>
      </c>
      <c r="M15" s="29">
        <f t="shared" si="0"/>
        <v>44828844.39136946</v>
      </c>
      <c r="N15" s="29">
        <f t="shared" si="0"/>
        <v>45277132.83528316</v>
      </c>
      <c r="O15" s="130">
        <f t="shared" si="0"/>
        <v>45729904.16363599</v>
      </c>
      <c r="P15" s="29"/>
      <c r="Q15" s="29"/>
      <c r="R15" s="29"/>
      <c r="S15" s="29"/>
      <c r="T15" s="29"/>
      <c r="U15" s="29"/>
      <c r="V15" s="29"/>
      <c r="W15" s="29"/>
      <c r="X15" s="29"/>
      <c r="Y15" s="29"/>
      <c r="Z15" s="29"/>
      <c r="AA15" s="29"/>
      <c r="AB15" s="29"/>
      <c r="AC15" s="29"/>
      <c r="AD15" s="29"/>
    </row>
    <row r="16" spans="1:15" ht="16.5" thickBot="1">
      <c r="A16" s="131"/>
      <c r="B16" s="132"/>
      <c r="C16" s="132"/>
      <c r="D16" s="133"/>
      <c r="E16" s="134"/>
      <c r="F16" s="134"/>
      <c r="G16" s="134"/>
      <c r="H16" s="134"/>
      <c r="I16" s="134"/>
      <c r="J16" s="134"/>
      <c r="K16" s="134"/>
      <c r="L16" s="134"/>
      <c r="M16" s="134"/>
      <c r="N16" s="134"/>
      <c r="O16" s="24"/>
    </row>
    <row r="17" spans="1:15" ht="15.75">
      <c r="A17" s="135" t="s">
        <v>41</v>
      </c>
      <c r="B17" s="136"/>
      <c r="C17" s="136"/>
      <c r="D17" s="137"/>
      <c r="E17" s="138"/>
      <c r="F17" s="138"/>
      <c r="G17" s="138"/>
      <c r="H17" s="138"/>
      <c r="I17" s="138"/>
      <c r="J17" s="138"/>
      <c r="K17" s="138"/>
      <c r="L17" s="138"/>
      <c r="M17" s="138"/>
      <c r="N17" s="138"/>
      <c r="O17" s="139"/>
    </row>
    <row r="18" spans="1:15" ht="15.75">
      <c r="A18" s="129"/>
      <c r="B18" s="64"/>
      <c r="C18" s="116" t="s">
        <v>230</v>
      </c>
      <c r="D18" s="117"/>
      <c r="E18" s="9">
        <f>Revenue!D21*Assumptions!$I$31</f>
        <v>0</v>
      </c>
      <c r="F18" s="9">
        <f>Revenue!E21*Assumptions!$I$31</f>
        <v>3505751.9261100003</v>
      </c>
      <c r="G18" s="9">
        <f>Revenue!F21*Assumptions!$I$31</f>
        <v>4248971.33444532</v>
      </c>
      <c r="H18" s="9">
        <f>Revenue!G21*Assumptions!$I$31</f>
        <v>4291461.047789774</v>
      </c>
      <c r="I18" s="9">
        <f>Revenue!H21*Assumptions!$I$31</f>
        <v>4334375.658267671</v>
      </c>
      <c r="J18" s="9">
        <f>Revenue!I21*Assumptions!$I$31</f>
        <v>4377719.414850348</v>
      </c>
      <c r="K18" s="9">
        <f>Revenue!J21*Assumptions!$I$31</f>
        <v>4421496.608998851</v>
      </c>
      <c r="L18" s="9">
        <f>Revenue!K21*Assumptions!$I$31</f>
        <v>4465711.57508884</v>
      </c>
      <c r="M18" s="9">
        <f>Revenue!L21*Assumptions!$I$31</f>
        <v>4510368.690839729</v>
      </c>
      <c r="N18" s="9">
        <f>Revenue!M21*Assumptions!$I$31</f>
        <v>4555472.377748126</v>
      </c>
      <c r="O18" s="23">
        <f>Revenue!N21*Assumptions!$I$31</f>
        <v>4601027.1015256075</v>
      </c>
    </row>
    <row r="19" spans="1:30" s="65" customFormat="1" ht="15.75">
      <c r="A19" s="129" t="s">
        <v>66</v>
      </c>
      <c r="C19" s="119"/>
      <c r="D19" s="117"/>
      <c r="E19" s="29">
        <f>E18</f>
        <v>0</v>
      </c>
      <c r="F19" s="29">
        <f aca="true" t="shared" si="1" ref="F19:O19">F18</f>
        <v>3505751.9261100003</v>
      </c>
      <c r="G19" s="29">
        <f t="shared" si="1"/>
        <v>4248971.33444532</v>
      </c>
      <c r="H19" s="29">
        <f t="shared" si="1"/>
        <v>4291461.047789774</v>
      </c>
      <c r="I19" s="29">
        <f t="shared" si="1"/>
        <v>4334375.658267671</v>
      </c>
      <c r="J19" s="29">
        <f t="shared" si="1"/>
        <v>4377719.414850348</v>
      </c>
      <c r="K19" s="29">
        <f t="shared" si="1"/>
        <v>4421496.608998851</v>
      </c>
      <c r="L19" s="29">
        <f t="shared" si="1"/>
        <v>4465711.57508884</v>
      </c>
      <c r="M19" s="29">
        <f t="shared" si="1"/>
        <v>4510368.690839729</v>
      </c>
      <c r="N19" s="29">
        <f t="shared" si="1"/>
        <v>4555472.377748126</v>
      </c>
      <c r="O19" s="130">
        <f t="shared" si="1"/>
        <v>4601027.1015256075</v>
      </c>
      <c r="P19" s="29"/>
      <c r="Q19" s="29"/>
      <c r="R19" s="29"/>
      <c r="S19" s="29"/>
      <c r="T19" s="29"/>
      <c r="U19" s="29"/>
      <c r="V19" s="29"/>
      <c r="W19" s="29"/>
      <c r="X19" s="29"/>
      <c r="Y19" s="29"/>
      <c r="Z19" s="29"/>
      <c r="AA19" s="29"/>
      <c r="AB19" s="29"/>
      <c r="AC19" s="29"/>
      <c r="AD19" s="29"/>
    </row>
    <row r="20" spans="1:15" ht="16.5" thickBot="1">
      <c r="A20" s="131"/>
      <c r="B20" s="132"/>
      <c r="C20" s="132"/>
      <c r="D20" s="133"/>
      <c r="E20" s="134"/>
      <c r="F20" s="134"/>
      <c r="G20" s="134"/>
      <c r="H20" s="134"/>
      <c r="I20" s="134"/>
      <c r="J20" s="134"/>
      <c r="K20" s="134"/>
      <c r="L20" s="134"/>
      <c r="M20" s="134"/>
      <c r="N20" s="134"/>
      <c r="O20" s="24"/>
    </row>
    <row r="21" spans="1:20" s="9" customFormat="1" ht="16.5" thickBot="1">
      <c r="A21" s="140" t="s">
        <v>108</v>
      </c>
      <c r="B21" s="141"/>
      <c r="C21" s="142" t="s">
        <v>84</v>
      </c>
      <c r="D21" s="143"/>
      <c r="E21" s="144">
        <f aca="true" t="shared" si="2" ref="E21:O21">E15+E19</f>
        <v>0</v>
      </c>
      <c r="F21" s="144">
        <f t="shared" si="2"/>
        <v>38349645.7056825</v>
      </c>
      <c r="G21" s="144">
        <f t="shared" si="2"/>
        <v>46479770.59528719</v>
      </c>
      <c r="H21" s="144">
        <f t="shared" si="2"/>
        <v>46944568.301240064</v>
      </c>
      <c r="I21" s="144">
        <f t="shared" si="2"/>
        <v>47414013.98425246</v>
      </c>
      <c r="J21" s="144">
        <f t="shared" si="2"/>
        <v>47888154.124094985</v>
      </c>
      <c r="K21" s="144">
        <f t="shared" si="2"/>
        <v>48367035.66533593</v>
      </c>
      <c r="L21" s="144">
        <f t="shared" si="2"/>
        <v>48850706.0219893</v>
      </c>
      <c r="M21" s="144">
        <f t="shared" si="2"/>
        <v>49339213.08220919</v>
      </c>
      <c r="N21" s="144">
        <f t="shared" si="2"/>
        <v>49832605.213031285</v>
      </c>
      <c r="O21" s="145">
        <f t="shared" si="2"/>
        <v>50330931.265161596</v>
      </c>
      <c r="P21" s="29"/>
      <c r="Q21" s="29"/>
      <c r="R21" s="29"/>
      <c r="S21" s="29"/>
      <c r="T21" s="29"/>
    </row>
    <row r="22" spans="1:15" ht="12.75" customHeight="1">
      <c r="A22" s="283"/>
      <c r="B22" s="285"/>
      <c r="C22" s="285"/>
      <c r="D22" s="293"/>
      <c r="E22" s="286"/>
      <c r="F22" s="286"/>
      <c r="G22" s="286"/>
      <c r="H22" s="286"/>
      <c r="I22" s="286"/>
      <c r="J22" s="286"/>
      <c r="K22" s="286"/>
      <c r="L22" s="286"/>
      <c r="M22" s="286"/>
      <c r="N22" s="286"/>
      <c r="O22" s="287"/>
    </row>
    <row r="23" spans="1:15" ht="19.5" customHeight="1">
      <c r="A23" s="298" t="s">
        <v>67</v>
      </c>
      <c r="B23" s="294"/>
      <c r="C23" s="294"/>
      <c r="D23" s="295"/>
      <c r="E23" s="299" t="s">
        <v>70</v>
      </c>
      <c r="F23" s="296"/>
      <c r="G23" s="296"/>
      <c r="H23" s="296"/>
      <c r="I23" s="296"/>
      <c r="J23" s="296"/>
      <c r="K23" s="296"/>
      <c r="L23" s="296"/>
      <c r="M23" s="296"/>
      <c r="N23" s="296"/>
      <c r="O23" s="297"/>
    </row>
    <row r="24" spans="1:20" s="113" customFormat="1" ht="16.5" thickBot="1">
      <c r="A24" s="300"/>
      <c r="B24" s="291"/>
      <c r="C24" s="301"/>
      <c r="D24" s="289"/>
      <c r="E24" s="291">
        <v>0</v>
      </c>
      <c r="F24" s="291">
        <v>1</v>
      </c>
      <c r="G24" s="291">
        <v>2</v>
      </c>
      <c r="H24" s="291">
        <v>3</v>
      </c>
      <c r="I24" s="291">
        <v>4</v>
      </c>
      <c r="J24" s="291">
        <v>5</v>
      </c>
      <c r="K24" s="291">
        <v>6</v>
      </c>
      <c r="L24" s="291">
        <v>7</v>
      </c>
      <c r="M24" s="291">
        <v>8</v>
      </c>
      <c r="N24" s="291">
        <v>9</v>
      </c>
      <c r="O24" s="292">
        <v>10</v>
      </c>
      <c r="P24" s="112"/>
      <c r="Q24" s="112"/>
      <c r="R24" s="112"/>
      <c r="S24" s="112"/>
      <c r="T24" s="112"/>
    </row>
    <row r="25" spans="1:15" s="9" customFormat="1" ht="15.75">
      <c r="A25" s="146"/>
      <c r="C25" s="20" t="s">
        <v>1</v>
      </c>
      <c r="D25" s="16"/>
      <c r="E25" s="9">
        <f>'Variable Costs'!C13*0.25</f>
        <v>168362.1875</v>
      </c>
      <c r="F25" s="9">
        <f>'Variable Costs'!D13</f>
        <v>2305602</v>
      </c>
      <c r="G25" s="9">
        <f>'Variable Costs'!E13</f>
        <v>2328658.02</v>
      </c>
      <c r="H25" s="9">
        <f>'Variable Costs'!F13</f>
        <v>2351944.6002</v>
      </c>
      <c r="I25" s="9">
        <f>'Variable Costs'!G13</f>
        <v>2375464.046202</v>
      </c>
      <c r="J25" s="9">
        <f>'Variable Costs'!H13</f>
        <v>2399218.68666402</v>
      </c>
      <c r="K25" s="9">
        <f>'Variable Costs'!I13</f>
        <v>2423210.8735306603</v>
      </c>
      <c r="L25" s="9">
        <f>'Variable Costs'!J13</f>
        <v>2447442.982265967</v>
      </c>
      <c r="M25" s="9">
        <f>'Variable Costs'!K13</f>
        <v>2471917.4120886265</v>
      </c>
      <c r="N25" s="9">
        <f>'Variable Costs'!L13</f>
        <v>2496636.586209513</v>
      </c>
      <c r="O25" s="23">
        <f>'Variable Costs'!M13</f>
        <v>2521602.952071608</v>
      </c>
    </row>
    <row r="26" spans="1:15" s="9" customFormat="1" ht="15.75">
      <c r="A26" s="146"/>
      <c r="C26" s="20" t="s">
        <v>209</v>
      </c>
      <c r="D26" s="16"/>
      <c r="E26" s="9">
        <f>'Variable Costs'!C16*Revenue!D12</f>
        <v>0</v>
      </c>
      <c r="F26" s="9">
        <f>'Variable Costs'!D16*Revenue!E12</f>
        <v>34042050</v>
      </c>
      <c r="G26" s="9">
        <f>'Variable Costs'!E16*Revenue!F12</f>
        <v>41258964.599999994</v>
      </c>
      <c r="H26" s="9">
        <f>'Variable Costs'!F16*Revenue!G12</f>
        <v>41671554.246</v>
      </c>
      <c r="I26" s="9">
        <f>'Variable Costs'!G16*Revenue!H12</f>
        <v>42088269.78846</v>
      </c>
      <c r="J26" s="9">
        <f>'Variable Costs'!H16*Revenue!I12</f>
        <v>42509152.4863446</v>
      </c>
      <c r="K26" s="9">
        <f>'Variable Costs'!I16*Revenue!J12</f>
        <v>42934244.01120805</v>
      </c>
      <c r="L26" s="9">
        <f>'Variable Costs'!J16*Revenue!K12</f>
        <v>43363586.45132013</v>
      </c>
      <c r="M26" s="9">
        <f>'Variable Costs'!K16*Revenue!L12</f>
        <v>43797222.31583333</v>
      </c>
      <c r="N26" s="9">
        <f>'Variable Costs'!L16*Revenue!M12</f>
        <v>44235194.53899166</v>
      </c>
      <c r="O26" s="23">
        <f>'Variable Costs'!M16*Revenue!N12</f>
        <v>44677546.48438158</v>
      </c>
    </row>
    <row r="27" spans="1:15" s="9" customFormat="1" ht="15.75">
      <c r="A27" s="146"/>
      <c r="C27" s="20" t="s">
        <v>68</v>
      </c>
      <c r="D27" s="16"/>
      <c r="E27" s="9">
        <f>'Variable Costs'!C24*Revenue!D12</f>
        <v>0</v>
      </c>
      <c r="F27" s="9">
        <f>'Variable Costs'!D24*Revenue!E12</f>
        <v>185587.5</v>
      </c>
      <c r="G27" s="9">
        <f>'Variable Costs'!E24*Revenue!F12</f>
        <v>224932.05000000002</v>
      </c>
      <c r="H27" s="9">
        <f>'Variable Costs'!F24*Revenue!G12</f>
        <v>227181.37050000002</v>
      </c>
      <c r="I27" s="9">
        <f>'Variable Costs'!G24*Revenue!H12</f>
        <v>229453.184205</v>
      </c>
      <c r="J27" s="9">
        <f>'Variable Costs'!H24*Revenue!I12</f>
        <v>231747.71604705</v>
      </c>
      <c r="K27" s="9">
        <f>'Variable Costs'!I24*Revenue!J12</f>
        <v>234065.1932075205</v>
      </c>
      <c r="L27" s="9">
        <f>'Variable Costs'!J24*Revenue!K12</f>
        <v>236405.8451395957</v>
      </c>
      <c r="M27" s="9">
        <f>'Variable Costs'!K24*Revenue!L12</f>
        <v>238769.90359099166</v>
      </c>
      <c r="N27" s="9">
        <f>'Variable Costs'!L24*Revenue!M12</f>
        <v>241157.6026269016</v>
      </c>
      <c r="O27" s="23">
        <f>'Variable Costs'!M24*Revenue!N12</f>
        <v>243569.17865317062</v>
      </c>
    </row>
    <row r="28" spans="1:15" s="9" customFormat="1" ht="15.75">
      <c r="A28" s="146"/>
      <c r="C28" s="20" t="s">
        <v>16</v>
      </c>
      <c r="D28" s="16"/>
      <c r="E28" s="9">
        <f>'Variable Costs'!C23*Revenue!D13</f>
        <v>0</v>
      </c>
      <c r="F28" s="9">
        <f>'Variable Costs'!D23*Revenue!E13</f>
        <v>195344.1</v>
      </c>
      <c r="G28" s="9">
        <f>'Variable Costs'!E23*Revenue!F13</f>
        <v>236757.0492</v>
      </c>
      <c r="H28" s="9">
        <f>'Variable Costs'!F23*Revenue!G13</f>
        <v>239124.619692</v>
      </c>
      <c r="I28" s="9">
        <f>'Variable Costs'!G23*Revenue!H13</f>
        <v>241515.86588892003</v>
      </c>
      <c r="J28" s="9">
        <f>'Variable Costs'!H23*Revenue!I13</f>
        <v>243931.02454780924</v>
      </c>
      <c r="K28" s="9">
        <f>'Variable Costs'!I23*Revenue!J13</f>
        <v>246370.33479328736</v>
      </c>
      <c r="L28" s="9">
        <f>'Variable Costs'!J23*Revenue!K13</f>
        <v>248834.03814122023</v>
      </c>
      <c r="M28" s="9">
        <f>'Variable Costs'!K23*Revenue!L13</f>
        <v>251322.37852263238</v>
      </c>
      <c r="N28" s="9">
        <f>'Variable Costs'!L23*Revenue!M13</f>
        <v>253835.60230785876</v>
      </c>
      <c r="O28" s="23">
        <f>'Variable Costs'!M23*Revenue!N13</f>
        <v>256373.95833093737</v>
      </c>
    </row>
    <row r="29" spans="1:15" s="9" customFormat="1" ht="15.75">
      <c r="A29" s="146"/>
      <c r="C29" s="20" t="s">
        <v>229</v>
      </c>
      <c r="D29" s="16"/>
      <c r="E29" s="9">
        <f>'Variable Costs'!C25*Revenue!D13</f>
        <v>0</v>
      </c>
      <c r="F29" s="9">
        <f>'Variable Costs'!D25*Revenue!E13</f>
        <v>397687.5</v>
      </c>
      <c r="G29" s="9">
        <f>'Variable Costs'!E25*Revenue!F13</f>
        <v>481997.25</v>
      </c>
      <c r="H29" s="9">
        <f>'Variable Costs'!F25*Revenue!G13</f>
        <v>486817.22250000003</v>
      </c>
      <c r="I29" s="9">
        <f>'Variable Costs'!G25*Revenue!H13</f>
        <v>491685.394725</v>
      </c>
      <c r="J29" s="9">
        <f>'Variable Costs'!H25*Revenue!I13</f>
        <v>496602.2486722501</v>
      </c>
      <c r="K29" s="9">
        <f>'Variable Costs'!I25*Revenue!J13</f>
        <v>501568.2711589726</v>
      </c>
      <c r="L29" s="9">
        <f>'Variable Costs'!J25*Revenue!K13</f>
        <v>506583.9538705623</v>
      </c>
      <c r="M29" s="9">
        <f>'Variable Costs'!K25*Revenue!L13</f>
        <v>511649.79340926796</v>
      </c>
      <c r="N29" s="9">
        <f>'Variable Costs'!L25*Revenue!M13</f>
        <v>516766.2913433606</v>
      </c>
      <c r="O29" s="23">
        <f>'Variable Costs'!M25*Revenue!N13</f>
        <v>521933.95425679424</v>
      </c>
    </row>
    <row r="30" spans="1:15" s="9" customFormat="1" ht="15.75">
      <c r="A30" s="146"/>
      <c r="C30" s="20" t="s">
        <v>231</v>
      </c>
      <c r="D30" s="16"/>
      <c r="E30" s="9">
        <f>Assumptions!$C$36*Revenue!D13</f>
        <v>0</v>
      </c>
      <c r="F30" s="9">
        <f>'Variable Costs'!C26*Revenue!E13</f>
        <v>19687.5</v>
      </c>
      <c r="G30" s="9">
        <f>Assumptions!$C$36*Revenue!F13</f>
        <v>472500</v>
      </c>
      <c r="H30" s="9">
        <f>Assumptions!$C$36*Revenue!G13</f>
        <v>472500</v>
      </c>
      <c r="I30" s="9">
        <f>Assumptions!$C$36*Revenue!H13</f>
        <v>472500</v>
      </c>
      <c r="J30" s="9">
        <f>Assumptions!$C$36*Revenue!I13</f>
        <v>472500</v>
      </c>
      <c r="K30" s="9">
        <f>Assumptions!$C$36*Revenue!J13</f>
        <v>472500</v>
      </c>
      <c r="L30" s="9">
        <f>Assumptions!$C$36*Revenue!K13</f>
        <v>472500</v>
      </c>
      <c r="M30" s="9">
        <f>Assumptions!$C$36*Revenue!L13</f>
        <v>472500</v>
      </c>
      <c r="N30" s="9">
        <f>Assumptions!$C$36*Revenue!M13</f>
        <v>472500</v>
      </c>
      <c r="O30" s="23">
        <f>Assumptions!$C$36*Revenue!N13</f>
        <v>472500</v>
      </c>
    </row>
    <row r="31" spans="1:30" s="65" customFormat="1" ht="15.75">
      <c r="A31" s="74" t="s">
        <v>69</v>
      </c>
      <c r="D31" s="28"/>
      <c r="E31" s="29">
        <f>SUM(E25:E30)</f>
        <v>168362.1875</v>
      </c>
      <c r="F31" s="29">
        <f aca="true" t="shared" si="3" ref="F31:O31">SUM(F25:F30)</f>
        <v>37145958.6</v>
      </c>
      <c r="G31" s="29">
        <f t="shared" si="3"/>
        <v>45003808.96919999</v>
      </c>
      <c r="H31" s="29">
        <f t="shared" si="3"/>
        <v>45449122.05889199</v>
      </c>
      <c r="I31" s="29">
        <f t="shared" si="3"/>
        <v>45898888.279480934</v>
      </c>
      <c r="J31" s="29">
        <f t="shared" si="3"/>
        <v>46353152.162275724</v>
      </c>
      <c r="K31" s="29">
        <f t="shared" si="3"/>
        <v>46811958.683898486</v>
      </c>
      <c r="L31" s="29">
        <f t="shared" si="3"/>
        <v>47275353.27073747</v>
      </c>
      <c r="M31" s="29">
        <f t="shared" si="3"/>
        <v>47743381.80344485</v>
      </c>
      <c r="N31" s="29">
        <f t="shared" si="3"/>
        <v>48216090.621479295</v>
      </c>
      <c r="O31" s="130">
        <f t="shared" si="3"/>
        <v>48693526.52769409</v>
      </c>
      <c r="P31" s="29"/>
      <c r="Q31" s="29"/>
      <c r="R31" s="29"/>
      <c r="S31" s="29"/>
      <c r="T31" s="29"/>
      <c r="U31" s="29"/>
      <c r="V31" s="29"/>
      <c r="W31" s="29"/>
      <c r="X31" s="29"/>
      <c r="Y31" s="29"/>
      <c r="Z31" s="29"/>
      <c r="AA31" s="29"/>
      <c r="AB31" s="29"/>
      <c r="AC31" s="29"/>
      <c r="AD31" s="29"/>
    </row>
    <row r="32" spans="1:15" ht="16.5" thickBot="1">
      <c r="A32" s="81"/>
      <c r="B32" s="82"/>
      <c r="C32" s="147"/>
      <c r="D32" s="82"/>
      <c r="E32" s="134"/>
      <c r="F32" s="134"/>
      <c r="G32" s="134"/>
      <c r="H32" s="134"/>
      <c r="I32" s="134"/>
      <c r="J32" s="134"/>
      <c r="K32" s="134"/>
      <c r="L32" s="134"/>
      <c r="M32" s="134"/>
      <c r="N32" s="134"/>
      <c r="O32" s="24"/>
    </row>
    <row r="33" spans="1:20" ht="16.5" thickBot="1">
      <c r="A33" s="140" t="s">
        <v>52</v>
      </c>
      <c r="B33" s="151"/>
      <c r="C33" s="152"/>
      <c r="D33" s="151"/>
      <c r="E33" s="144">
        <f>E21-E31</f>
        <v>-168362.1875</v>
      </c>
      <c r="F33" s="144">
        <f aca="true" t="shared" si="4" ref="F33:O33">F21-F31</f>
        <v>1203687.1056824997</v>
      </c>
      <c r="G33" s="144">
        <f t="shared" si="4"/>
        <v>1475961.6260871962</v>
      </c>
      <c r="H33" s="144">
        <f t="shared" si="4"/>
        <v>1495446.242348075</v>
      </c>
      <c r="I33" s="144">
        <f t="shared" si="4"/>
        <v>1515125.7047715262</v>
      </c>
      <c r="J33" s="144">
        <f t="shared" si="4"/>
        <v>1535001.9618192613</v>
      </c>
      <c r="K33" s="144">
        <f t="shared" si="4"/>
        <v>1555076.9814374447</v>
      </c>
      <c r="L33" s="144">
        <f t="shared" si="4"/>
        <v>1575352.7512518317</v>
      </c>
      <c r="M33" s="144">
        <f t="shared" si="4"/>
        <v>1595831.2787643448</v>
      </c>
      <c r="N33" s="144">
        <f t="shared" si="4"/>
        <v>1616514.5915519893</v>
      </c>
      <c r="O33" s="145">
        <f t="shared" si="4"/>
        <v>1637404.737467505</v>
      </c>
      <c r="P33" s="29"/>
      <c r="Q33" s="29"/>
      <c r="R33" s="29"/>
      <c r="S33" s="29"/>
      <c r="T33" s="29"/>
    </row>
    <row r="34" spans="1:30" s="164" customFormat="1" ht="19.5" customHeight="1">
      <c r="A34" s="298" t="s">
        <v>109</v>
      </c>
      <c r="B34" s="285"/>
      <c r="C34" s="285"/>
      <c r="D34" s="285"/>
      <c r="E34" s="384" t="s">
        <v>70</v>
      </c>
      <c r="F34" s="286"/>
      <c r="G34" s="286"/>
      <c r="H34" s="286"/>
      <c r="I34" s="286"/>
      <c r="J34" s="286"/>
      <c r="K34" s="286"/>
      <c r="L34" s="286"/>
      <c r="M34" s="286"/>
      <c r="N34" s="286"/>
      <c r="O34" s="287"/>
      <c r="P34" s="163"/>
      <c r="Q34" s="163"/>
      <c r="R34" s="163"/>
      <c r="S34" s="163"/>
      <c r="T34" s="163"/>
      <c r="U34" s="163"/>
      <c r="V34" s="163"/>
      <c r="W34" s="163"/>
      <c r="X34" s="163"/>
      <c r="Y34" s="163"/>
      <c r="Z34" s="163"/>
      <c r="AA34" s="163"/>
      <c r="AB34" s="163"/>
      <c r="AC34" s="163"/>
      <c r="AD34" s="163"/>
    </row>
    <row r="35" spans="1:20" s="113" customFormat="1" ht="16.5" thickBot="1">
      <c r="A35" s="300"/>
      <c r="B35" s="291"/>
      <c r="C35" s="301"/>
      <c r="D35" s="291"/>
      <c r="E35" s="291">
        <v>0</v>
      </c>
      <c r="F35" s="291">
        <v>1</v>
      </c>
      <c r="G35" s="291">
        <v>2</v>
      </c>
      <c r="H35" s="291">
        <v>3</v>
      </c>
      <c r="I35" s="291">
        <v>4</v>
      </c>
      <c r="J35" s="291">
        <v>5</v>
      </c>
      <c r="K35" s="291">
        <v>6</v>
      </c>
      <c r="L35" s="291">
        <v>7</v>
      </c>
      <c r="M35" s="291">
        <v>8</v>
      </c>
      <c r="N35" s="291">
        <v>9</v>
      </c>
      <c r="O35" s="292">
        <v>10</v>
      </c>
      <c r="P35" s="112" t="s">
        <v>84</v>
      </c>
      <c r="Q35" s="112"/>
      <c r="R35" s="112"/>
      <c r="S35" s="112"/>
      <c r="T35" s="112"/>
    </row>
    <row r="36" spans="1:15" ht="15.75">
      <c r="A36" s="153"/>
      <c r="B36" s="64"/>
      <c r="C36" s="6" t="s">
        <v>85</v>
      </c>
      <c r="E36" s="9">
        <f>'Labor Costs'!$E$31*0.25</f>
        <v>97048.25</v>
      </c>
      <c r="F36" s="9">
        <f>'Labor Costs'!E31</f>
        <v>388193</v>
      </c>
      <c r="G36" s="9">
        <f>F36*(1+'Labor Costs'!$C$34)</f>
        <v>392074.93</v>
      </c>
      <c r="H36" s="9">
        <f>G36*(1+'Labor Costs'!$C$34)</f>
        <v>395995.6793</v>
      </c>
      <c r="I36" s="9">
        <f>H36*(1+'Labor Costs'!$C$34)</f>
        <v>399955.636093</v>
      </c>
      <c r="J36" s="9">
        <f>I36*(1+'Labor Costs'!$C$34)</f>
        <v>403955.19245393004</v>
      </c>
      <c r="K36" s="9">
        <f>J36*(1+'Labor Costs'!$C$34)</f>
        <v>407994.74437846936</v>
      </c>
      <c r="L36" s="9">
        <f>K36*(1+'Labor Costs'!$C$34)</f>
        <v>412074.69182225404</v>
      </c>
      <c r="M36" s="9">
        <f>L36*(1+'Labor Costs'!$C$34)</f>
        <v>416195.43874047656</v>
      </c>
      <c r="N36" s="9">
        <f>M36*(1+'Labor Costs'!$C$34)</f>
        <v>420357.39312788134</v>
      </c>
      <c r="O36" s="23">
        <f>N36*(1+'Labor Costs'!$C$34)</f>
        <v>424560.9670591602</v>
      </c>
    </row>
    <row r="37" spans="1:16" ht="15.75">
      <c r="A37" s="153"/>
      <c r="B37" s="64"/>
      <c r="C37" s="6" t="s">
        <v>87</v>
      </c>
      <c r="E37" s="9">
        <f>Assumptions!$B$41*0.25</f>
        <v>25000</v>
      </c>
      <c r="F37" s="9">
        <f>Assumptions!$B$41</f>
        <v>100000</v>
      </c>
      <c r="G37" s="9">
        <f>F37*(1+Assumptions!$C$41)</f>
        <v>101000</v>
      </c>
      <c r="H37" s="9">
        <f>G37*(1+Assumptions!$C$41)</f>
        <v>102010</v>
      </c>
      <c r="I37" s="9">
        <f>H37*(1+Assumptions!$C$41)</f>
        <v>103030.1</v>
      </c>
      <c r="J37" s="9">
        <f>I37*(1+Assumptions!$C$41)</f>
        <v>104060.40100000001</v>
      </c>
      <c r="K37" s="9">
        <f>J37*(1+Assumptions!$C$41)</f>
        <v>105101.00501000001</v>
      </c>
      <c r="L37" s="9">
        <f>K37*(1+Assumptions!$C$41)</f>
        <v>106152.0150601</v>
      </c>
      <c r="M37" s="9">
        <f>L37*(1+Assumptions!$C$41)</f>
        <v>107213.53521070101</v>
      </c>
      <c r="N37" s="9">
        <f>M37*(1+Assumptions!$C$41)</f>
        <v>108285.67056280802</v>
      </c>
      <c r="O37" s="23">
        <f>N37*(1+Assumptions!$C$41)</f>
        <v>109368.52726843611</v>
      </c>
      <c r="P37" s="9" t="s">
        <v>84</v>
      </c>
    </row>
    <row r="38" spans="1:15" ht="15.75">
      <c r="A38" s="153"/>
      <c r="B38" s="64"/>
      <c r="C38" s="6" t="s">
        <v>263</v>
      </c>
      <c r="E38" s="9">
        <v>0</v>
      </c>
      <c r="F38" s="9">
        <f>Assumptions!C20*Assumptions!C11</f>
        <v>21250</v>
      </c>
      <c r="G38" s="9">
        <f>F38*(1+Assumptions!$D$20)</f>
        <v>21462.5</v>
      </c>
      <c r="H38" s="9">
        <f>G38*(1+Assumptions!$D$20)</f>
        <v>21677.125</v>
      </c>
      <c r="I38" s="9">
        <f>H38*(1+Assumptions!$D$20)</f>
        <v>21893.89625</v>
      </c>
      <c r="J38" s="9">
        <f>I38*(1+Assumptions!$D$20)</f>
        <v>22112.835212500002</v>
      </c>
      <c r="K38" s="9">
        <f>J38*(1+Assumptions!$D$20)</f>
        <v>22333.963564625003</v>
      </c>
      <c r="L38" s="9">
        <f>K38*(1+Assumptions!$D$20)</f>
        <v>22557.303200271253</v>
      </c>
      <c r="M38" s="9">
        <f>L38*(1+Assumptions!$D$20)</f>
        <v>22782.876232273968</v>
      </c>
      <c r="N38" s="9">
        <f>M38*(1+Assumptions!$D$20)</f>
        <v>23010.70499459671</v>
      </c>
      <c r="O38" s="23">
        <f>N38*(1+Assumptions!$D$20)</f>
        <v>23240.812044542676</v>
      </c>
    </row>
    <row r="39" spans="1:15" ht="15.75">
      <c r="A39" s="153"/>
      <c r="B39" s="64"/>
      <c r="C39" s="6" t="s">
        <v>204</v>
      </c>
      <c r="E39" s="9">
        <f>0.1*Assumptions!C35*Assumptions!C11</f>
        <v>1250</v>
      </c>
      <c r="F39" s="9">
        <f>Assumptions!C35*Assumptions!C11</f>
        <v>12500</v>
      </c>
      <c r="G39" s="9">
        <f>F39*(1+Assumptions!$D$35)</f>
        <v>12625</v>
      </c>
      <c r="H39" s="9">
        <f>G39*(1+Assumptions!$D$35)</f>
        <v>12751.25</v>
      </c>
      <c r="I39" s="9">
        <f>H39*(1+Assumptions!$D$35)</f>
        <v>12878.7625</v>
      </c>
      <c r="J39" s="9">
        <f>I39*(1+Assumptions!$D$35)</f>
        <v>13007.550125000002</v>
      </c>
      <c r="K39" s="9">
        <f>J39*(1+Assumptions!$D$35)</f>
        <v>13137.625626250001</v>
      </c>
      <c r="L39" s="9">
        <f>K39*(1+Assumptions!$D$35)</f>
        <v>13269.0018825125</v>
      </c>
      <c r="M39" s="9">
        <f>L39*(1+Assumptions!$D$35)</f>
        <v>13401.691901337626</v>
      </c>
      <c r="N39" s="9">
        <f>M39*(1+Assumptions!$D$35)</f>
        <v>13535.708820351003</v>
      </c>
      <c r="O39" s="23">
        <f>N39*(1+Assumptions!$D$35)</f>
        <v>13671.065908554514</v>
      </c>
    </row>
    <row r="40" spans="1:16" ht="15.75">
      <c r="A40" s="74" t="s">
        <v>110</v>
      </c>
      <c r="B40" s="64"/>
      <c r="C40" s="16"/>
      <c r="D40" s="16"/>
      <c r="E40" s="29">
        <f>SUM(E36:E39)</f>
        <v>123298.25</v>
      </c>
      <c r="F40" s="29">
        <f aca="true" t="shared" si="5" ref="F40:O40">SUM(F36:F39)</f>
        <v>521943</v>
      </c>
      <c r="G40" s="29">
        <f t="shared" si="5"/>
        <v>527162.4299999999</v>
      </c>
      <c r="H40" s="29">
        <f t="shared" si="5"/>
        <v>532434.0543</v>
      </c>
      <c r="I40" s="29">
        <f t="shared" si="5"/>
        <v>537758.394843</v>
      </c>
      <c r="J40" s="29">
        <f t="shared" si="5"/>
        <v>543135.97879143</v>
      </c>
      <c r="K40" s="29">
        <f t="shared" si="5"/>
        <v>548567.3385793444</v>
      </c>
      <c r="L40" s="29">
        <f t="shared" si="5"/>
        <v>554053.0119651378</v>
      </c>
      <c r="M40" s="29">
        <f t="shared" si="5"/>
        <v>559593.5420847891</v>
      </c>
      <c r="N40" s="29">
        <f t="shared" si="5"/>
        <v>565189.4775056371</v>
      </c>
      <c r="O40" s="29">
        <f t="shared" si="5"/>
        <v>570841.3722806934</v>
      </c>
      <c r="P40" s="9" t="s">
        <v>84</v>
      </c>
    </row>
    <row r="41" spans="1:15" ht="16.5" thickBot="1">
      <c r="A41" s="154"/>
      <c r="B41" s="110"/>
      <c r="C41" s="110"/>
      <c r="D41" s="110"/>
      <c r="E41" s="134"/>
      <c r="F41" s="134"/>
      <c r="G41" s="134"/>
      <c r="H41" s="134"/>
      <c r="I41" s="134"/>
      <c r="J41" s="134"/>
      <c r="K41" s="134"/>
      <c r="L41" s="134"/>
      <c r="M41" s="134"/>
      <c r="N41" s="134"/>
      <c r="O41" s="24"/>
    </row>
    <row r="42" spans="1:20" ht="16.5" thickBot="1">
      <c r="A42" s="148" t="s">
        <v>51</v>
      </c>
      <c r="B42" s="148"/>
      <c r="C42" s="138"/>
      <c r="D42" s="138"/>
      <c r="E42" s="149">
        <f aca="true" t="shared" si="6" ref="E42:O42">E33-E40</f>
        <v>-291660.4375</v>
      </c>
      <c r="F42" s="149">
        <f t="shared" si="6"/>
        <v>681744.1056824997</v>
      </c>
      <c r="G42" s="149">
        <f t="shared" si="6"/>
        <v>948799.1960871962</v>
      </c>
      <c r="H42" s="149">
        <f t="shared" si="6"/>
        <v>963012.188048075</v>
      </c>
      <c r="I42" s="149">
        <f t="shared" si="6"/>
        <v>977367.3099285262</v>
      </c>
      <c r="J42" s="149">
        <f t="shared" si="6"/>
        <v>991865.9830278313</v>
      </c>
      <c r="K42" s="149">
        <f t="shared" si="6"/>
        <v>1006509.6428581002</v>
      </c>
      <c r="L42" s="149">
        <f t="shared" si="6"/>
        <v>1021299.7392866939</v>
      </c>
      <c r="M42" s="149">
        <f t="shared" si="6"/>
        <v>1036237.7366795556</v>
      </c>
      <c r="N42" s="149">
        <f t="shared" si="6"/>
        <v>1051325.1140463522</v>
      </c>
      <c r="O42" s="150">
        <f t="shared" si="6"/>
        <v>1066563.3651868117</v>
      </c>
      <c r="P42" s="29"/>
      <c r="Q42" s="29"/>
      <c r="R42" s="29"/>
      <c r="S42" s="29"/>
      <c r="T42" s="29"/>
    </row>
    <row r="43" spans="1:15" ht="15.75">
      <c r="A43" s="157"/>
      <c r="B43" s="136" t="s">
        <v>71</v>
      </c>
      <c r="C43" s="136"/>
      <c r="D43" s="136"/>
      <c r="E43" s="138"/>
      <c r="F43" s="138"/>
      <c r="G43" s="138"/>
      <c r="H43" s="138"/>
      <c r="I43" s="138"/>
      <c r="J43" s="138"/>
      <c r="K43" s="138"/>
      <c r="L43" s="138"/>
      <c r="M43" s="138"/>
      <c r="N43" s="138"/>
      <c r="O43" s="139"/>
    </row>
    <row r="44" spans="1:15" ht="15.75">
      <c r="A44" s="153"/>
      <c r="C44" s="6" t="s">
        <v>88</v>
      </c>
      <c r="E44" s="9">
        <f>'Loan Amortization'!B30</f>
        <v>174004.375</v>
      </c>
      <c r="F44" s="9">
        <f>'Loan Amortization'!C30</f>
        <v>204557.58328125</v>
      </c>
      <c r="G44" s="9">
        <f>'Loan Amortization'!D30</f>
        <v>198860.03709629466</v>
      </c>
      <c r="H44" s="9">
        <f>'Loan Amortization'!E30</f>
        <v>192621.22402376853</v>
      </c>
      <c r="I44" s="9">
        <f>'Loan Amortization'!F30</f>
        <v>185789.72370935246</v>
      </c>
      <c r="J44" s="9">
        <f>'Loan Amortization'!G30</f>
        <v>178309.2308650668</v>
      </c>
      <c r="K44" s="9">
        <f>'Loan Amortization'!H30</f>
        <v>170118.09120057407</v>
      </c>
      <c r="L44" s="9">
        <f>'Loan Amortization'!I30</f>
        <v>161148.7932679545</v>
      </c>
      <c r="M44" s="9">
        <f>'Loan Amortization'!J30</f>
        <v>151327.41203173605</v>
      </c>
      <c r="N44" s="9">
        <f>'Loan Amortization'!K30</f>
        <v>140572.99957807688</v>
      </c>
      <c r="O44" s="23">
        <f>'Loan Amortization'!L30</f>
        <v>128796.91794132009</v>
      </c>
    </row>
    <row r="45" spans="1:15" ht="15.75">
      <c r="A45" s="146"/>
      <c r="B45" s="64"/>
      <c r="C45" s="20" t="s">
        <v>50</v>
      </c>
      <c r="D45" s="16"/>
      <c r="E45" s="9">
        <v>0</v>
      </c>
      <c r="F45" s="9">
        <f>'Capital Requirements'!J13</f>
        <v>178881</v>
      </c>
      <c r="G45" s="9">
        <f>'Capital Requirements'!K13</f>
        <v>241611</v>
      </c>
      <c r="H45" s="9">
        <f>'Capital Requirements'!L13</f>
        <v>198561</v>
      </c>
      <c r="I45" s="9">
        <f>'Capital Requirements'!M13</f>
        <v>167811</v>
      </c>
      <c r="J45" s="9">
        <f>'Capital Requirements'!N13</f>
        <v>145917</v>
      </c>
      <c r="K45" s="9">
        <f>'Capital Requirements'!O13</f>
        <v>145855.5</v>
      </c>
      <c r="L45" s="9">
        <f>'Capital Requirements'!P13</f>
        <v>145917</v>
      </c>
      <c r="M45" s="9">
        <f>'Capital Requirements'!Q13</f>
        <v>118426.5</v>
      </c>
      <c r="N45" s="9">
        <f>'Capital Requirements'!R13</f>
        <v>90997.5</v>
      </c>
      <c r="O45" s="23">
        <f>'Capital Requirements'!S13</f>
        <v>90997.5</v>
      </c>
    </row>
    <row r="46" spans="1:15" ht="16.5" thickBot="1">
      <c r="A46" s="109"/>
      <c r="B46" s="147"/>
      <c r="C46" s="158"/>
      <c r="D46" s="110"/>
      <c r="E46" s="134"/>
      <c r="F46" s="134"/>
      <c r="G46" s="134"/>
      <c r="H46" s="134"/>
      <c r="I46" s="134"/>
      <c r="J46" s="134"/>
      <c r="K46" s="134"/>
      <c r="L46" s="134"/>
      <c r="M46" s="134"/>
      <c r="N46" s="134"/>
      <c r="O46" s="24"/>
    </row>
    <row r="47" spans="1:15" ht="16.5" thickBot="1">
      <c r="A47" s="81" t="s">
        <v>72</v>
      </c>
      <c r="B47" s="147"/>
      <c r="C47" s="158"/>
      <c r="D47" s="110"/>
      <c r="E47" s="155">
        <f aca="true" t="shared" si="7" ref="E47:O47">E42-E44-E45</f>
        <v>-465664.8125</v>
      </c>
      <c r="F47" s="155">
        <f t="shared" si="7"/>
        <v>298305.52240124973</v>
      </c>
      <c r="G47" s="155">
        <f t="shared" si="7"/>
        <v>508328.15899090155</v>
      </c>
      <c r="H47" s="155">
        <f t="shared" si="7"/>
        <v>571829.9640243064</v>
      </c>
      <c r="I47" s="155">
        <f t="shared" si="7"/>
        <v>623766.5862191737</v>
      </c>
      <c r="J47" s="155">
        <f t="shared" si="7"/>
        <v>667639.7521627645</v>
      </c>
      <c r="K47" s="155">
        <f t="shared" si="7"/>
        <v>690536.0516575262</v>
      </c>
      <c r="L47" s="155">
        <f t="shared" si="7"/>
        <v>714233.9460187394</v>
      </c>
      <c r="M47" s="155">
        <f t="shared" si="7"/>
        <v>766483.8246478196</v>
      </c>
      <c r="N47" s="155">
        <f t="shared" si="7"/>
        <v>819754.6144682753</v>
      </c>
      <c r="O47" s="156">
        <f t="shared" si="7"/>
        <v>846768.9472454916</v>
      </c>
    </row>
    <row r="48" spans="1:15" ht="15.75">
      <c r="A48" s="117" t="s">
        <v>73</v>
      </c>
      <c r="B48" s="64"/>
      <c r="C48" s="20"/>
      <c r="D48" s="16"/>
      <c r="E48" s="9">
        <f>IF(E47&gt;0,E47*'Capital Requirements'!$F$24,0)</f>
        <v>0</v>
      </c>
      <c r="F48" s="9">
        <f>IF(F47&gt;0,F47*'Capital Requirements'!$F$24,0)</f>
        <v>119322.2089604999</v>
      </c>
      <c r="G48" s="9">
        <f>IF(G47&gt;0,G47*'Capital Requirements'!$F$24,0)</f>
        <v>203331.26359636063</v>
      </c>
      <c r="H48" s="9">
        <f>IF(H47&gt;0,H47*'Capital Requirements'!$F$24,0)</f>
        <v>228731.98560972256</v>
      </c>
      <c r="I48" s="9">
        <f>IF(I47&gt;0,I47*'Capital Requirements'!$F$24,0)</f>
        <v>249506.6344876695</v>
      </c>
      <c r="J48" s="9">
        <f>IF(J47&gt;0,J47*'Capital Requirements'!$F$24,0)</f>
        <v>267055.90086510585</v>
      </c>
      <c r="K48" s="9">
        <f>IF(K47&gt;0,K47*'Capital Requirements'!$F$24,0)</f>
        <v>276214.4206630105</v>
      </c>
      <c r="L48" s="9">
        <f>IF(L47&gt;0,L47*'Capital Requirements'!$F$24,0)</f>
        <v>285693.57840749575</v>
      </c>
      <c r="M48" s="9">
        <f>IF(M47&gt;0,M47*'Capital Requirements'!$F$24,0)</f>
        <v>306593.5298591279</v>
      </c>
      <c r="N48" s="9">
        <f>IF(N47&gt;0,N47*'Capital Requirements'!$F$24,0)</f>
        <v>327901.84578731016</v>
      </c>
      <c r="O48" s="23">
        <f>IF(O47&gt;0,O47*'Capital Requirements'!$F$24,0)</f>
        <v>338707.57889819663</v>
      </c>
    </row>
    <row r="49" spans="1:15" ht="16.5" thickBot="1">
      <c r="A49" s="81"/>
      <c r="B49" s="147"/>
      <c r="C49" s="158"/>
      <c r="D49" s="159"/>
      <c r="E49" s="134"/>
      <c r="F49" s="134"/>
      <c r="G49" s="134"/>
      <c r="H49" s="134"/>
      <c r="I49" s="134"/>
      <c r="J49" s="134"/>
      <c r="K49" s="134"/>
      <c r="L49" s="134"/>
      <c r="M49" s="134"/>
      <c r="N49" s="134"/>
      <c r="O49" s="24"/>
    </row>
    <row r="50" spans="1:15" ht="16.5" thickBot="1">
      <c r="A50" s="307" t="s">
        <v>74</v>
      </c>
      <c r="B50" s="302"/>
      <c r="C50" s="303"/>
      <c r="D50" s="304"/>
      <c r="E50" s="305"/>
      <c r="F50" s="305"/>
      <c r="G50" s="305"/>
      <c r="H50" s="305"/>
      <c r="I50" s="305"/>
      <c r="J50" s="305"/>
      <c r="K50" s="305"/>
      <c r="L50" s="305"/>
      <c r="M50" s="305"/>
      <c r="N50" s="305"/>
      <c r="O50" s="306"/>
    </row>
    <row r="51" spans="1:15" ht="16.5" thickBot="1">
      <c r="A51" s="165" t="s">
        <v>111</v>
      </c>
      <c r="B51" s="160"/>
      <c r="C51" s="161"/>
      <c r="D51" s="147"/>
      <c r="E51" s="155">
        <f>+E47-E48</f>
        <v>-465664.8125</v>
      </c>
      <c r="F51" s="155">
        <f aca="true" t="shared" si="8" ref="F51:O51">F47-F48</f>
        <v>178983.31344074983</v>
      </c>
      <c r="G51" s="155">
        <f t="shared" si="8"/>
        <v>304996.8953945409</v>
      </c>
      <c r="H51" s="155">
        <f t="shared" si="8"/>
        <v>343097.97841458383</v>
      </c>
      <c r="I51" s="155">
        <f t="shared" si="8"/>
        <v>374259.95173150423</v>
      </c>
      <c r="J51" s="155">
        <f t="shared" si="8"/>
        <v>400583.8512976587</v>
      </c>
      <c r="K51" s="155">
        <f t="shared" si="8"/>
        <v>414321.63099451567</v>
      </c>
      <c r="L51" s="155">
        <f t="shared" si="8"/>
        <v>428540.3676112436</v>
      </c>
      <c r="M51" s="155">
        <f t="shared" si="8"/>
        <v>459890.29478869174</v>
      </c>
      <c r="N51" s="155">
        <f t="shared" si="8"/>
        <v>491852.7686809652</v>
      </c>
      <c r="O51" s="156">
        <f t="shared" si="8"/>
        <v>508061.3683472949</v>
      </c>
    </row>
    <row r="52" spans="1:15" ht="15.75">
      <c r="A52" s="162"/>
      <c r="O52" s="23"/>
    </row>
    <row r="53" spans="1:20" ht="12.75" customHeight="1" thickBot="1">
      <c r="A53" s="162"/>
      <c r="B53" s="117"/>
      <c r="D53" s="121"/>
      <c r="O53" s="23"/>
      <c r="R53" s="120"/>
      <c r="S53" s="120"/>
      <c r="T53" s="120"/>
    </row>
    <row r="54" spans="1:30" s="164" customFormat="1" ht="15.75">
      <c r="A54" s="308"/>
      <c r="B54" s="309" t="s">
        <v>76</v>
      </c>
      <c r="C54" s="310"/>
      <c r="D54" s="309"/>
      <c r="E54" s="309">
        <f>E24</f>
        <v>0</v>
      </c>
      <c r="F54" s="309">
        <f aca="true" t="shared" si="9" ref="F54:O54">F24</f>
        <v>1</v>
      </c>
      <c r="G54" s="309">
        <f t="shared" si="9"/>
        <v>2</v>
      </c>
      <c r="H54" s="309">
        <f t="shared" si="9"/>
        <v>3</v>
      </c>
      <c r="I54" s="309">
        <f t="shared" si="9"/>
        <v>4</v>
      </c>
      <c r="J54" s="309">
        <f t="shared" si="9"/>
        <v>5</v>
      </c>
      <c r="K54" s="309">
        <f t="shared" si="9"/>
        <v>6</v>
      </c>
      <c r="L54" s="309">
        <f t="shared" si="9"/>
        <v>7</v>
      </c>
      <c r="M54" s="309">
        <f t="shared" si="9"/>
        <v>8</v>
      </c>
      <c r="N54" s="309">
        <f t="shared" si="9"/>
        <v>9</v>
      </c>
      <c r="O54" s="336">
        <f t="shared" si="9"/>
        <v>10</v>
      </c>
      <c r="P54" s="163"/>
      <c r="Q54" s="163"/>
      <c r="R54" s="163"/>
      <c r="S54" s="163"/>
      <c r="T54" s="163"/>
      <c r="U54" s="163"/>
      <c r="V54" s="163"/>
      <c r="W54" s="163"/>
      <c r="X54" s="163"/>
      <c r="Y54" s="163"/>
      <c r="Z54" s="163"/>
      <c r="AA54" s="163"/>
      <c r="AB54" s="163"/>
      <c r="AC54" s="163"/>
      <c r="AD54" s="163"/>
    </row>
    <row r="55" spans="1:15" ht="15.75">
      <c r="A55" s="162"/>
      <c r="C55" s="6" t="s">
        <v>239</v>
      </c>
      <c r="E55" s="9">
        <f>'Capital Requirements'!F13+'Capital Requirements'!F14</f>
        <v>3090617.09375</v>
      </c>
      <c r="O55" s="23"/>
    </row>
    <row r="56" spans="1:15" ht="15.75">
      <c r="A56" s="162"/>
      <c r="C56" s="6" t="s">
        <v>77</v>
      </c>
      <c r="E56" s="9">
        <f>E51</f>
        <v>-465664.8125</v>
      </c>
      <c r="F56" s="9">
        <f aca="true" t="shared" si="10" ref="F56:O56">F51</f>
        <v>178983.31344074983</v>
      </c>
      <c r="G56" s="9">
        <f t="shared" si="10"/>
        <v>304996.8953945409</v>
      </c>
      <c r="H56" s="9">
        <f t="shared" si="10"/>
        <v>343097.97841458383</v>
      </c>
      <c r="I56" s="9">
        <f t="shared" si="10"/>
        <v>374259.95173150423</v>
      </c>
      <c r="J56" s="9">
        <f t="shared" si="10"/>
        <v>400583.8512976587</v>
      </c>
      <c r="K56" s="9">
        <f t="shared" si="10"/>
        <v>414321.63099451567</v>
      </c>
      <c r="L56" s="9">
        <f t="shared" si="10"/>
        <v>428540.3676112436</v>
      </c>
      <c r="M56" s="9">
        <f t="shared" si="10"/>
        <v>459890.29478869174</v>
      </c>
      <c r="N56" s="9">
        <f t="shared" si="10"/>
        <v>491852.7686809652</v>
      </c>
      <c r="O56" s="23">
        <f t="shared" si="10"/>
        <v>508061.3683472949</v>
      </c>
    </row>
    <row r="57" spans="1:15" ht="15.75">
      <c r="A57" s="162"/>
      <c r="C57" s="6" t="s">
        <v>50</v>
      </c>
      <c r="E57" s="9">
        <f>E45</f>
        <v>0</v>
      </c>
      <c r="F57" s="9">
        <f aca="true" t="shared" si="11" ref="F57:O57">F45</f>
        <v>178881</v>
      </c>
      <c r="G57" s="9">
        <f t="shared" si="11"/>
        <v>241611</v>
      </c>
      <c r="H57" s="9">
        <f t="shared" si="11"/>
        <v>198561</v>
      </c>
      <c r="I57" s="9">
        <f t="shared" si="11"/>
        <v>167811</v>
      </c>
      <c r="J57" s="9">
        <f t="shared" si="11"/>
        <v>145917</v>
      </c>
      <c r="K57" s="9">
        <f t="shared" si="11"/>
        <v>145855.5</v>
      </c>
      <c r="L57" s="9">
        <f t="shared" si="11"/>
        <v>145917</v>
      </c>
      <c r="M57" s="9">
        <f t="shared" si="11"/>
        <v>118426.5</v>
      </c>
      <c r="N57" s="9">
        <f t="shared" si="11"/>
        <v>90997.5</v>
      </c>
      <c r="O57" s="23">
        <f t="shared" si="11"/>
        <v>90997.5</v>
      </c>
    </row>
    <row r="58" spans="1:15" ht="15.75">
      <c r="A58" s="162"/>
      <c r="C58" s="6" t="s">
        <v>78</v>
      </c>
      <c r="E58" s="9">
        <f>E57*-0.5</f>
        <v>0</v>
      </c>
      <c r="F58" s="9">
        <f aca="true" t="shared" si="12" ref="F58:O58">F57*-0.5</f>
        <v>-89440.5</v>
      </c>
      <c r="G58" s="9">
        <f t="shared" si="12"/>
        <v>-120805.5</v>
      </c>
      <c r="H58" s="9">
        <f t="shared" si="12"/>
        <v>-99280.5</v>
      </c>
      <c r="I58" s="9">
        <f t="shared" si="12"/>
        <v>-83905.5</v>
      </c>
      <c r="J58" s="9">
        <f t="shared" si="12"/>
        <v>-72958.5</v>
      </c>
      <c r="K58" s="9">
        <f t="shared" si="12"/>
        <v>-72927.75</v>
      </c>
      <c r="L58" s="9">
        <f t="shared" si="12"/>
        <v>-72958.5</v>
      </c>
      <c r="M58" s="9">
        <f t="shared" si="12"/>
        <v>-59213.25</v>
      </c>
      <c r="N58" s="9">
        <f t="shared" si="12"/>
        <v>-45498.75</v>
      </c>
      <c r="O58" s="23">
        <f t="shared" si="12"/>
        <v>-45498.75</v>
      </c>
    </row>
    <row r="59" spans="1:15" ht="15.75">
      <c r="A59" s="162"/>
      <c r="C59" s="6" t="s">
        <v>79</v>
      </c>
      <c r="E59" s="9">
        <v>0</v>
      </c>
      <c r="F59" s="9">
        <f>'Loan Amortization'!C24</f>
        <v>59974.17036795107</v>
      </c>
      <c r="G59" s="9">
        <f>'Loan Amortization'!D24</f>
        <v>65671.71655290641</v>
      </c>
      <c r="H59" s="9">
        <f>'Loan Amortization'!E24</f>
        <v>71910.52962543254</v>
      </c>
      <c r="I59" s="9">
        <f>'Loan Amortization'!F24</f>
        <v>78742.02993984861</v>
      </c>
      <c r="J59" s="9">
        <f>'Loan Amortization'!G24</f>
        <v>86222.52278413426</v>
      </c>
      <c r="K59" s="9">
        <f>'Loan Amortization'!H24</f>
        <v>94413.662448627</v>
      </c>
      <c r="L59" s="9">
        <f>'Loan Amortization'!I24</f>
        <v>103382.96038124656</v>
      </c>
      <c r="M59" s="9">
        <f>'Loan Amortization'!J24</f>
        <v>113204.341617465</v>
      </c>
      <c r="N59" s="9">
        <f>'Loan Amortization'!K24</f>
        <v>123958.75407112417</v>
      </c>
      <c r="O59" s="23">
        <f>'Loan Amortization'!L24</f>
        <v>135734.83570788096</v>
      </c>
    </row>
    <row r="60" spans="1:15" ht="16.5" thickBot="1">
      <c r="A60" s="383"/>
      <c r="B60" s="132"/>
      <c r="C60" s="132"/>
      <c r="D60" s="132"/>
      <c r="E60" s="134"/>
      <c r="F60" s="134"/>
      <c r="G60" s="134"/>
      <c r="H60" s="134"/>
      <c r="I60" s="134"/>
      <c r="J60" s="134"/>
      <c r="K60" s="134"/>
      <c r="L60" s="134"/>
      <c r="M60" s="134"/>
      <c r="N60" s="134"/>
      <c r="O60" s="24"/>
    </row>
    <row r="61" spans="1:15" ht="16.5" thickBot="1">
      <c r="A61" s="485" t="s">
        <v>291</v>
      </c>
      <c r="B61" s="486"/>
      <c r="C61" s="486"/>
      <c r="D61" s="486"/>
      <c r="E61" s="155">
        <f aca="true" t="shared" si="13" ref="E61:O61">SUM(E55:E60)</f>
        <v>2624952.28125</v>
      </c>
      <c r="F61" s="155">
        <f t="shared" si="13"/>
        <v>328397.9838087009</v>
      </c>
      <c r="G61" s="155">
        <f t="shared" si="13"/>
        <v>491474.1119474473</v>
      </c>
      <c r="H61" s="155">
        <f t="shared" si="13"/>
        <v>514289.0080400164</v>
      </c>
      <c r="I61" s="155">
        <f t="shared" si="13"/>
        <v>536907.4816713528</v>
      </c>
      <c r="J61" s="155">
        <f t="shared" si="13"/>
        <v>559764.8740817929</v>
      </c>
      <c r="K61" s="155">
        <f t="shared" si="13"/>
        <v>581663.0434431427</v>
      </c>
      <c r="L61" s="155">
        <f t="shared" si="13"/>
        <v>604881.8279924901</v>
      </c>
      <c r="M61" s="155">
        <f t="shared" si="13"/>
        <v>632307.8864061567</v>
      </c>
      <c r="N61" s="155">
        <f t="shared" si="13"/>
        <v>661310.2727520893</v>
      </c>
      <c r="O61" s="156">
        <f t="shared" si="13"/>
        <v>689294.9540551759</v>
      </c>
    </row>
    <row r="62" spans="1:30" s="65" customFormat="1" ht="15.75">
      <c r="A62" s="118"/>
      <c r="B62" s="6"/>
      <c r="C62" s="118"/>
      <c r="D62" s="122"/>
      <c r="E62" s="9"/>
      <c r="F62" s="9"/>
      <c r="G62" s="9"/>
      <c r="H62" s="9"/>
      <c r="I62" s="9"/>
      <c r="J62" s="9"/>
      <c r="K62" s="9"/>
      <c r="L62" s="9"/>
      <c r="M62" s="9"/>
      <c r="N62" s="9"/>
      <c r="O62" s="9"/>
      <c r="P62" s="29"/>
      <c r="Q62" s="29"/>
      <c r="R62" s="29"/>
      <c r="S62" s="29"/>
      <c r="T62" s="29"/>
      <c r="U62" s="29"/>
      <c r="V62" s="29"/>
      <c r="W62" s="29"/>
      <c r="X62" s="29"/>
      <c r="Y62" s="29"/>
      <c r="Z62" s="29"/>
      <c r="AA62" s="29"/>
      <c r="AB62" s="29"/>
      <c r="AC62" s="29"/>
      <c r="AD62" s="29"/>
    </row>
    <row r="63" ht="17.25" customHeight="1"/>
  </sheetData>
  <sheetProtection password="C977" sheet="1" selectLockedCells="1"/>
  <mergeCells count="1">
    <mergeCell ref="A61:D61"/>
  </mergeCells>
  <hyperlinks>
    <hyperlink ref="A5" location="Assumptions!A1" display="Operating/Production Assumptions"/>
    <hyperlink ref="E5" location="'Loan Amortization'!A1" display="Loan Amortization"/>
    <hyperlink ref="E6" location="'Variable Costs'!A1" display="Variable Costs"/>
    <hyperlink ref="G5" location="'Profit &amp; Loss'!A1" display="Profit &amp; Loss"/>
    <hyperlink ref="G6" location="'Return On Investment'!A1" display="Return on Investment"/>
    <hyperlink ref="A6" location="'Capital Requirements'!A1" display="Capital Requirements"/>
    <hyperlink ref="A7" location="Revenue!A1" display="Revenue"/>
  </hyperlinks>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2:N59"/>
  <sheetViews>
    <sheetView showGridLines="0" zoomScale="75" zoomScaleNormal="75" zoomScalePageLayoutView="0" workbookViewId="0" topLeftCell="A1">
      <selection activeCell="A5" sqref="A5"/>
    </sheetView>
  </sheetViews>
  <sheetFormatPr defaultColWidth="9.140625" defaultRowHeight="12.75"/>
  <cols>
    <col min="1" max="1" width="22.00390625" style="314" bestFit="1" customWidth="1"/>
    <col min="2" max="2" width="16.28125" style="314" customWidth="1"/>
    <col min="3" max="13" width="12.7109375" style="314" customWidth="1"/>
    <col min="14" max="16384" width="9.140625" style="314" customWidth="1"/>
  </cols>
  <sheetData>
    <row r="2" ht="18.75">
      <c r="A2" s="398" t="s">
        <v>310</v>
      </c>
    </row>
    <row r="4" spans="1:7" ht="15.75">
      <c r="A4" s="1" t="s">
        <v>311</v>
      </c>
      <c r="B4" s="3"/>
      <c r="C4" s="16"/>
      <c r="D4" s="394" t="s">
        <v>305</v>
      </c>
      <c r="E4" s="16"/>
      <c r="F4" s="16"/>
      <c r="G4" s="16"/>
    </row>
    <row r="5" spans="1:7" ht="15.75">
      <c r="A5" s="399" t="s">
        <v>303</v>
      </c>
      <c r="B5" s="3"/>
      <c r="C5" s="16"/>
      <c r="D5" s="399" t="s">
        <v>297</v>
      </c>
      <c r="E5" s="16"/>
      <c r="G5" s="16"/>
    </row>
    <row r="6" spans="1:7" ht="15.75">
      <c r="A6" s="399" t="s">
        <v>294</v>
      </c>
      <c r="B6" s="3"/>
      <c r="C6" s="16"/>
      <c r="D6" s="399" t="s">
        <v>298</v>
      </c>
      <c r="E6" s="16"/>
      <c r="G6" s="16"/>
    </row>
    <row r="7" spans="1:7" ht="15.75">
      <c r="A7" s="399" t="s">
        <v>299</v>
      </c>
      <c r="B7" s="118"/>
      <c r="C7" s="118"/>
      <c r="D7" s="399" t="s">
        <v>300</v>
      </c>
      <c r="E7" s="9"/>
      <c r="F7" s="9"/>
      <c r="G7" s="9"/>
    </row>
    <row r="8" ht="15.75">
      <c r="D8" s="390"/>
    </row>
    <row r="9" spans="1:14" ht="15.75">
      <c r="A9" s="311"/>
      <c r="B9" s="312"/>
      <c r="C9" s="313"/>
      <c r="D9" s="313"/>
      <c r="E9" s="313"/>
      <c r="F9" s="313"/>
      <c r="G9" s="313"/>
      <c r="H9" s="313"/>
      <c r="I9" s="313"/>
      <c r="J9" s="313"/>
      <c r="K9" s="313"/>
      <c r="L9" s="313"/>
      <c r="M9" s="313"/>
      <c r="N9" s="313"/>
    </row>
    <row r="10" spans="1:14" ht="15.75">
      <c r="A10" s="311" t="s">
        <v>240</v>
      </c>
      <c r="B10" s="397">
        <f>'Capital Requirements'!F22</f>
        <v>0.12</v>
      </c>
      <c r="C10" s="313"/>
      <c r="D10" s="313"/>
      <c r="E10" s="313"/>
      <c r="F10" s="313"/>
      <c r="G10" s="313"/>
      <c r="H10" s="313"/>
      <c r="I10" s="313"/>
      <c r="J10" s="313"/>
      <c r="K10" s="313"/>
      <c r="L10" s="313"/>
      <c r="M10" s="315"/>
      <c r="N10" s="313"/>
    </row>
    <row r="11" spans="1:14" ht="15.75">
      <c r="A11" s="313"/>
      <c r="B11" s="313"/>
      <c r="C11" s="313"/>
      <c r="D11" s="313"/>
      <c r="E11" s="313"/>
      <c r="F11" s="313"/>
      <c r="G11" s="313"/>
      <c r="H11" s="313"/>
      <c r="I11" s="313"/>
      <c r="J11" s="313"/>
      <c r="K11" s="313"/>
      <c r="L11" s="313"/>
      <c r="M11" s="313"/>
      <c r="N11" s="313"/>
    </row>
    <row r="12" spans="1:14" ht="15.75">
      <c r="A12" s="316" t="s">
        <v>70</v>
      </c>
      <c r="B12" s="313"/>
      <c r="C12" s="316">
        <v>0</v>
      </c>
      <c r="D12" s="316">
        <v>1</v>
      </c>
      <c r="E12" s="316">
        <v>2</v>
      </c>
      <c r="F12" s="316">
        <v>3</v>
      </c>
      <c r="G12" s="316">
        <v>4</v>
      </c>
      <c r="H12" s="316">
        <v>5</v>
      </c>
      <c r="I12" s="316">
        <v>6</v>
      </c>
      <c r="J12" s="316">
        <v>7</v>
      </c>
      <c r="K12" s="316">
        <v>8</v>
      </c>
      <c r="L12" s="316">
        <v>9</v>
      </c>
      <c r="M12" s="316">
        <v>10</v>
      </c>
      <c r="N12" s="313"/>
    </row>
    <row r="13" spans="1:14" ht="15.75">
      <c r="A13" s="311" t="s">
        <v>241</v>
      </c>
      <c r="B13" s="313"/>
      <c r="C13" s="317"/>
      <c r="D13" s="317">
        <f>'Profit &amp; Loss'!F33</f>
        <v>1203687.1056824997</v>
      </c>
      <c r="E13" s="317">
        <f>'Profit &amp; Loss'!G33</f>
        <v>1475961.6260871962</v>
      </c>
      <c r="F13" s="317">
        <f>'Profit &amp; Loss'!H33</f>
        <v>1495446.242348075</v>
      </c>
      <c r="G13" s="317">
        <f>'Profit &amp; Loss'!I33</f>
        <v>1515125.7047715262</v>
      </c>
      <c r="H13" s="317">
        <f>'Profit &amp; Loss'!J33</f>
        <v>1535001.9618192613</v>
      </c>
      <c r="I13" s="317">
        <f>'Profit &amp; Loss'!K33</f>
        <v>1555076.9814374447</v>
      </c>
      <c r="J13" s="317">
        <f>'Profit &amp; Loss'!L33</f>
        <v>1575352.7512518317</v>
      </c>
      <c r="K13" s="317">
        <f>'Profit &amp; Loss'!M33</f>
        <v>1595831.2787643448</v>
      </c>
      <c r="L13" s="317">
        <f>'Profit &amp; Loss'!N33</f>
        <v>1616514.5915519893</v>
      </c>
      <c r="M13" s="317">
        <f>'Profit &amp; Loss'!O33</f>
        <v>1637404.737467505</v>
      </c>
      <c r="N13" s="313"/>
    </row>
    <row r="14" spans="1:14" ht="15.75">
      <c r="A14" s="311" t="s">
        <v>242</v>
      </c>
      <c r="B14" s="313"/>
      <c r="C14" s="313">
        <v>1</v>
      </c>
      <c r="D14" s="313">
        <f aca="true" t="shared" si="0" ref="D14:M14">1/((1+$B$10)^D12)</f>
        <v>0.8928571428571428</v>
      </c>
      <c r="E14" s="313">
        <f t="shared" si="0"/>
        <v>0.7971938775510203</v>
      </c>
      <c r="F14" s="313">
        <f t="shared" si="0"/>
        <v>0.7117802478134109</v>
      </c>
      <c r="G14" s="313">
        <f t="shared" si="0"/>
        <v>0.6355180784048312</v>
      </c>
      <c r="H14" s="313">
        <f t="shared" si="0"/>
        <v>0.5674268557185992</v>
      </c>
      <c r="I14" s="313">
        <f t="shared" si="0"/>
        <v>0.5066311211773207</v>
      </c>
      <c r="J14" s="313">
        <f t="shared" si="0"/>
        <v>0.45234921533689343</v>
      </c>
      <c r="K14" s="313">
        <f t="shared" si="0"/>
        <v>0.4038832279793691</v>
      </c>
      <c r="L14" s="313">
        <f t="shared" si="0"/>
        <v>0.36061002498157957</v>
      </c>
      <c r="M14" s="313">
        <f t="shared" si="0"/>
        <v>0.321973236590696</v>
      </c>
      <c r="N14" s="313"/>
    </row>
    <row r="15" spans="1:14" ht="15.75">
      <c r="A15" s="311" t="s">
        <v>243</v>
      </c>
      <c r="B15" s="317"/>
      <c r="C15" s="317">
        <f aca="true" t="shared" si="1" ref="C15:M15">C13*C14</f>
        <v>0</v>
      </c>
      <c r="D15" s="317">
        <f t="shared" si="1"/>
        <v>1074720.6300736603</v>
      </c>
      <c r="E15" s="317">
        <f t="shared" si="1"/>
        <v>1176627.571816961</v>
      </c>
      <c r="F15" s="317">
        <f t="shared" si="1"/>
        <v>1064429.0969701468</v>
      </c>
      <c r="G15" s="317">
        <f t="shared" si="1"/>
        <v>962889.7764381659</v>
      </c>
      <c r="H15" s="317">
        <f t="shared" si="1"/>
        <v>871001.3367169846</v>
      </c>
      <c r="I15" s="317">
        <f t="shared" si="1"/>
        <v>787850.3946226961</v>
      </c>
      <c r="J15" s="317">
        <f t="shared" si="1"/>
        <v>712609.5809075823</v>
      </c>
      <c r="K15" s="317">
        <f t="shared" si="1"/>
        <v>644529.488177788</v>
      </c>
      <c r="L15" s="317">
        <f t="shared" si="1"/>
        <v>582931.3672426507</v>
      </c>
      <c r="M15" s="317">
        <f t="shared" si="1"/>
        <v>527200.5029313514</v>
      </c>
      <c r="N15" s="313"/>
    </row>
    <row r="16" spans="1:14" ht="15.75">
      <c r="A16" s="313"/>
      <c r="B16" s="313"/>
      <c r="C16" s="313"/>
      <c r="D16" s="313"/>
      <c r="E16" s="313"/>
      <c r="F16" s="313"/>
      <c r="G16" s="313"/>
      <c r="H16" s="313"/>
      <c r="I16" s="313"/>
      <c r="J16" s="313"/>
      <c r="K16" s="313"/>
      <c r="L16" s="313"/>
      <c r="M16" s="313"/>
      <c r="N16" s="313"/>
    </row>
    <row r="17" spans="1:14" ht="15.75">
      <c r="A17" s="311" t="s">
        <v>244</v>
      </c>
      <c r="B17" s="313"/>
      <c r="C17" s="317">
        <f>'Profit &amp; Loss'!E40</f>
        <v>123298.25</v>
      </c>
      <c r="D17" s="317">
        <f>'Profit &amp; Loss'!F40</f>
        <v>521943</v>
      </c>
      <c r="E17" s="317">
        <f>'Profit &amp; Loss'!G40</f>
        <v>527162.4299999999</v>
      </c>
      <c r="F17" s="317">
        <f>'Profit &amp; Loss'!H40</f>
        <v>532434.0543</v>
      </c>
      <c r="G17" s="317">
        <f>'Profit &amp; Loss'!I40</f>
        <v>537758.394843</v>
      </c>
      <c r="H17" s="317">
        <f>'Profit &amp; Loss'!J40</f>
        <v>543135.97879143</v>
      </c>
      <c r="I17" s="317">
        <f>'Profit &amp; Loss'!K40</f>
        <v>548567.3385793444</v>
      </c>
      <c r="J17" s="317">
        <f>'Profit &amp; Loss'!L40</f>
        <v>554053.0119651378</v>
      </c>
      <c r="K17" s="317">
        <f>'Profit &amp; Loss'!M40</f>
        <v>559593.5420847891</v>
      </c>
      <c r="L17" s="317">
        <f>'Profit &amp; Loss'!N40</f>
        <v>565189.4775056371</v>
      </c>
      <c r="M17" s="317">
        <f>'Profit &amp; Loss'!O40</f>
        <v>570841.3722806934</v>
      </c>
      <c r="N17" s="313"/>
    </row>
    <row r="18" spans="1:14" ht="15.75">
      <c r="A18" s="311" t="s">
        <v>245</v>
      </c>
      <c r="B18" s="313"/>
      <c r="C18" s="329"/>
      <c r="D18" s="329">
        <f>'Profit &amp; Loss'!F44+'Profit &amp; Loss'!F45</f>
        <v>383438.58328125</v>
      </c>
      <c r="E18" s="329">
        <f>'Profit &amp; Loss'!G44+'Profit &amp; Loss'!G45</f>
        <v>440471.0370962947</v>
      </c>
      <c r="F18" s="329">
        <f>'Profit &amp; Loss'!H44+'Profit &amp; Loss'!H45</f>
        <v>391182.22402376856</v>
      </c>
      <c r="G18" s="329">
        <f>'Profit &amp; Loss'!I44+'Profit &amp; Loss'!I45</f>
        <v>353600.72370935243</v>
      </c>
      <c r="H18" s="329">
        <f>'Profit &amp; Loss'!J44+'Profit &amp; Loss'!J45</f>
        <v>324226.2308650668</v>
      </c>
      <c r="I18" s="329">
        <f>'Profit &amp; Loss'!K44+'Profit &amp; Loss'!K45</f>
        <v>315973.59120057407</v>
      </c>
      <c r="J18" s="329">
        <f>'Profit &amp; Loss'!L44+'Profit &amp; Loss'!L45</f>
        <v>307065.7932679545</v>
      </c>
      <c r="K18" s="329">
        <f>'Profit &amp; Loss'!M44+'Profit &amp; Loss'!M45</f>
        <v>269753.91203173605</v>
      </c>
      <c r="L18" s="329">
        <f>'Profit &amp; Loss'!N44+'Profit &amp; Loss'!N45</f>
        <v>231570.49957807688</v>
      </c>
      <c r="M18" s="329">
        <f>'Profit &amp; Loss'!O44+'Profit &amp; Loss'!O45</f>
        <v>219794.4179413201</v>
      </c>
      <c r="N18" s="313"/>
    </row>
    <row r="19" spans="1:14" ht="15.75">
      <c r="A19" s="313"/>
      <c r="B19" s="313"/>
      <c r="C19" s="313"/>
      <c r="D19" s="313"/>
      <c r="E19" s="313"/>
      <c r="F19" s="313"/>
      <c r="G19" s="313"/>
      <c r="H19" s="313"/>
      <c r="I19" s="313"/>
      <c r="J19" s="313"/>
      <c r="K19" s="313"/>
      <c r="L19" s="313"/>
      <c r="M19" s="313"/>
      <c r="N19" s="313"/>
    </row>
    <row r="20" spans="1:14" ht="15.75">
      <c r="A20" s="311" t="s">
        <v>246</v>
      </c>
      <c r="B20" s="313"/>
      <c r="C20" s="317">
        <f>+C17-C18+'Capital Requirements'!B14</f>
        <v>3786548.25</v>
      </c>
      <c r="D20" s="317">
        <f aca="true" t="shared" si="2" ref="D20:M20">+D17-D18</f>
        <v>138504.41671875003</v>
      </c>
      <c r="E20" s="317">
        <f t="shared" si="2"/>
        <v>86691.39290370524</v>
      </c>
      <c r="F20" s="317">
        <f t="shared" si="2"/>
        <v>141251.8302762314</v>
      </c>
      <c r="G20" s="317">
        <f t="shared" si="2"/>
        <v>184157.67113364756</v>
      </c>
      <c r="H20" s="317">
        <f t="shared" si="2"/>
        <v>218909.7479263632</v>
      </c>
      <c r="I20" s="317">
        <f t="shared" si="2"/>
        <v>232593.74737877038</v>
      </c>
      <c r="J20" s="317">
        <f t="shared" si="2"/>
        <v>246987.2186971833</v>
      </c>
      <c r="K20" s="317">
        <f t="shared" si="2"/>
        <v>289839.6300530531</v>
      </c>
      <c r="L20" s="317">
        <f t="shared" si="2"/>
        <v>333618.9779275602</v>
      </c>
      <c r="M20" s="317">
        <f t="shared" si="2"/>
        <v>351046.9543393733</v>
      </c>
      <c r="N20" s="313"/>
    </row>
    <row r="21" spans="1:14" ht="15.75">
      <c r="A21" s="311" t="s">
        <v>242</v>
      </c>
      <c r="B21" s="313"/>
      <c r="C21" s="313">
        <v>1</v>
      </c>
      <c r="D21" s="313">
        <f aca="true" t="shared" si="3" ref="D21:M21">D14</f>
        <v>0.8928571428571428</v>
      </c>
      <c r="E21" s="313">
        <f t="shared" si="3"/>
        <v>0.7971938775510203</v>
      </c>
      <c r="F21" s="313">
        <f t="shared" si="3"/>
        <v>0.7117802478134109</v>
      </c>
      <c r="G21" s="313">
        <f t="shared" si="3"/>
        <v>0.6355180784048312</v>
      </c>
      <c r="H21" s="313">
        <f t="shared" si="3"/>
        <v>0.5674268557185992</v>
      </c>
      <c r="I21" s="313">
        <f t="shared" si="3"/>
        <v>0.5066311211773207</v>
      </c>
      <c r="J21" s="313">
        <f t="shared" si="3"/>
        <v>0.45234921533689343</v>
      </c>
      <c r="K21" s="313">
        <f t="shared" si="3"/>
        <v>0.4038832279793691</v>
      </c>
      <c r="L21" s="313">
        <f t="shared" si="3"/>
        <v>0.36061002498157957</v>
      </c>
      <c r="M21" s="313">
        <f t="shared" si="3"/>
        <v>0.321973236590696</v>
      </c>
      <c r="N21" s="313"/>
    </row>
    <row r="22" spans="1:14" ht="15.75">
      <c r="A22" s="311" t="s">
        <v>247</v>
      </c>
      <c r="B22" s="317"/>
      <c r="C22" s="317">
        <f aca="true" t="shared" si="4" ref="C22:M22">C20*C21</f>
        <v>3786548.25</v>
      </c>
      <c r="D22" s="317">
        <f t="shared" si="4"/>
        <v>123664.65778459822</v>
      </c>
      <c r="E22" s="317">
        <f t="shared" si="4"/>
        <v>69109.84765920379</v>
      </c>
      <c r="F22" s="317">
        <f t="shared" si="4"/>
        <v>100540.26275811384</v>
      </c>
      <c r="G22" s="317">
        <f t="shared" si="4"/>
        <v>117035.52928236454</v>
      </c>
      <c r="H22" s="317">
        <f t="shared" si="4"/>
        <v>124215.26995200741</v>
      </c>
      <c r="I22" s="317">
        <f t="shared" si="4"/>
        <v>117839.23101334093</v>
      </c>
      <c r="J22" s="317">
        <f t="shared" si="4"/>
        <v>111724.47457591257</v>
      </c>
      <c r="K22" s="317">
        <f t="shared" si="4"/>
        <v>117061.36538217324</v>
      </c>
      <c r="L22" s="317">
        <f t="shared" si="4"/>
        <v>120306.34796478653</v>
      </c>
      <c r="M22" s="317">
        <f t="shared" si="4"/>
        <v>113027.72408395428</v>
      </c>
      <c r="N22" s="313"/>
    </row>
    <row r="23" spans="1:14" ht="15.75">
      <c r="A23" s="313"/>
      <c r="B23" s="313"/>
      <c r="C23" s="313"/>
      <c r="D23" s="313"/>
      <c r="E23" s="313"/>
      <c r="F23" s="313"/>
      <c r="G23" s="313"/>
      <c r="H23" s="313"/>
      <c r="I23" s="313"/>
      <c r="J23" s="313"/>
      <c r="K23" s="313"/>
      <c r="L23" s="313"/>
      <c r="M23" s="313"/>
      <c r="N23" s="313"/>
    </row>
    <row r="24" spans="1:14" ht="15.75">
      <c r="A24" s="311" t="s">
        <v>248</v>
      </c>
      <c r="B24" s="313"/>
      <c r="C24" s="317">
        <f aca="true" t="shared" si="5" ref="C24:M24">C13-C20</f>
        <v>-3786548.25</v>
      </c>
      <c r="D24" s="317">
        <f t="shared" si="5"/>
        <v>1065182.6889637497</v>
      </c>
      <c r="E24" s="317">
        <f t="shared" si="5"/>
        <v>1389270.233183491</v>
      </c>
      <c r="F24" s="317">
        <f t="shared" si="5"/>
        <v>1354194.4120718436</v>
      </c>
      <c r="G24" s="317">
        <f t="shared" si="5"/>
        <v>1330968.0336378785</v>
      </c>
      <c r="H24" s="317">
        <f t="shared" si="5"/>
        <v>1316092.213892898</v>
      </c>
      <c r="I24" s="317">
        <f t="shared" si="5"/>
        <v>1322483.2340586744</v>
      </c>
      <c r="J24" s="317">
        <f t="shared" si="5"/>
        <v>1328365.5325546484</v>
      </c>
      <c r="K24" s="317">
        <f t="shared" si="5"/>
        <v>1305991.6487112916</v>
      </c>
      <c r="L24" s="317">
        <f t="shared" si="5"/>
        <v>1282895.613624429</v>
      </c>
      <c r="M24" s="317">
        <f t="shared" si="5"/>
        <v>1286357.7831281316</v>
      </c>
      <c r="N24" s="313"/>
    </row>
    <row r="25" spans="1:14" ht="15.75">
      <c r="A25" s="311" t="s">
        <v>249</v>
      </c>
      <c r="B25" s="313"/>
      <c r="C25" s="317">
        <f aca="true" t="shared" si="6" ref="C25:M25">+C15-C22</f>
        <v>-3786548.25</v>
      </c>
      <c r="D25" s="317">
        <f t="shared" si="6"/>
        <v>951055.9722890621</v>
      </c>
      <c r="E25" s="317">
        <f t="shared" si="6"/>
        <v>1107517.7241577574</v>
      </c>
      <c r="F25" s="317">
        <f t="shared" si="6"/>
        <v>963888.834212033</v>
      </c>
      <c r="G25" s="317">
        <f t="shared" si="6"/>
        <v>845854.2471558014</v>
      </c>
      <c r="H25" s="317">
        <f t="shared" si="6"/>
        <v>746786.0667649772</v>
      </c>
      <c r="I25" s="317">
        <f t="shared" si="6"/>
        <v>670011.1636093552</v>
      </c>
      <c r="J25" s="317">
        <f t="shared" si="6"/>
        <v>600885.1063316697</v>
      </c>
      <c r="K25" s="317">
        <f t="shared" si="6"/>
        <v>527468.1227956148</v>
      </c>
      <c r="L25" s="317">
        <f t="shared" si="6"/>
        <v>462625.0192778642</v>
      </c>
      <c r="M25" s="317">
        <f t="shared" si="6"/>
        <v>414172.77884739713</v>
      </c>
      <c r="N25" s="313"/>
    </row>
    <row r="26" spans="1:14" ht="15.75">
      <c r="A26" s="313"/>
      <c r="B26" s="313"/>
      <c r="C26" s="313"/>
      <c r="D26" s="313"/>
      <c r="E26" s="313"/>
      <c r="F26" s="313"/>
      <c r="G26" s="313"/>
      <c r="H26" s="313"/>
      <c r="I26" s="313"/>
      <c r="J26" s="313"/>
      <c r="K26" s="313"/>
      <c r="L26" s="313"/>
      <c r="M26" s="313"/>
      <c r="N26" s="313"/>
    </row>
    <row r="27" spans="1:14" ht="15.75">
      <c r="A27" s="311" t="s">
        <v>250</v>
      </c>
      <c r="B27" s="318">
        <f>SUM(C15:M15)</f>
        <v>8404789.745897986</v>
      </c>
      <c r="C27" s="313"/>
      <c r="D27" s="313"/>
      <c r="E27" s="313"/>
      <c r="F27" s="313"/>
      <c r="G27" s="313"/>
      <c r="H27" s="313"/>
      <c r="I27" s="313"/>
      <c r="J27" s="313"/>
      <c r="K27" s="313"/>
      <c r="L27" s="313"/>
      <c r="M27" s="313"/>
      <c r="N27" s="313"/>
    </row>
    <row r="28" spans="1:14" ht="15.75">
      <c r="A28" s="311" t="s">
        <v>251</v>
      </c>
      <c r="B28" s="317">
        <f>SUM(C22:M22)</f>
        <v>4901072.960456456</v>
      </c>
      <c r="C28" s="317"/>
      <c r="D28" s="317"/>
      <c r="E28" s="317"/>
      <c r="F28" s="317"/>
      <c r="G28" s="317"/>
      <c r="H28" s="317"/>
      <c r="I28" s="317"/>
      <c r="J28" s="317"/>
      <c r="K28" s="317"/>
      <c r="L28" s="317"/>
      <c r="M28" s="317"/>
      <c r="N28" s="313"/>
    </row>
    <row r="29" spans="1:14" ht="15.75">
      <c r="A29" s="311" t="s">
        <v>252</v>
      </c>
      <c r="B29" s="319">
        <f>B27-B28</f>
        <v>3503716.78544153</v>
      </c>
      <c r="C29" s="313"/>
      <c r="D29" s="313"/>
      <c r="E29" s="313"/>
      <c r="F29" s="313"/>
      <c r="G29" s="313"/>
      <c r="H29" s="313"/>
      <c r="I29" s="313"/>
      <c r="J29" s="313"/>
      <c r="K29" s="313"/>
      <c r="L29" s="313"/>
      <c r="M29" s="313"/>
      <c r="N29" s="313"/>
    </row>
    <row r="30" spans="1:14" ht="15.75">
      <c r="A30" s="311" t="s">
        <v>75</v>
      </c>
      <c r="B30" s="320">
        <f>IRR(C24:M24)</f>
        <v>0.3141965424513898</v>
      </c>
      <c r="C30" s="313"/>
      <c r="D30" s="313"/>
      <c r="E30" s="313"/>
      <c r="F30" s="313"/>
      <c r="G30" s="313"/>
      <c r="H30" s="313"/>
      <c r="I30" s="313"/>
      <c r="J30" s="313"/>
      <c r="K30" s="313"/>
      <c r="L30" s="313"/>
      <c r="M30" s="313"/>
      <c r="N30" s="313"/>
    </row>
    <row r="31" spans="1:14" ht="15.75">
      <c r="A31" s="311" t="s">
        <v>253</v>
      </c>
      <c r="B31" s="321">
        <f>B27/B28</f>
        <v>1.7148877018788995</v>
      </c>
      <c r="C31" s="313"/>
      <c r="D31" s="313"/>
      <c r="E31" s="313"/>
      <c r="F31" s="313"/>
      <c r="G31" s="313"/>
      <c r="H31" s="313"/>
      <c r="I31" s="313"/>
      <c r="J31" s="313"/>
      <c r="K31" s="313"/>
      <c r="L31" s="313"/>
      <c r="M31" s="313"/>
      <c r="N31" s="313"/>
    </row>
    <row r="32" spans="1:14" ht="15.75">
      <c r="A32" s="311"/>
      <c r="B32" s="322"/>
      <c r="C32" s="313"/>
      <c r="D32" s="313"/>
      <c r="E32" s="313"/>
      <c r="F32" s="313"/>
      <c r="G32" s="313"/>
      <c r="H32" s="313"/>
      <c r="I32" s="313"/>
      <c r="J32" s="313"/>
      <c r="K32" s="313"/>
      <c r="L32" s="313"/>
      <c r="M32" s="313"/>
      <c r="N32" s="313"/>
    </row>
    <row r="33" spans="1:14" ht="15.75">
      <c r="A33" s="323" t="s">
        <v>254</v>
      </c>
      <c r="B33" s="313"/>
      <c r="C33" s="330">
        <f>'Profit &amp; Loss'!E51/'Capital Requirements'!$B$14</f>
        <v>-0.12711794513068997</v>
      </c>
      <c r="D33" s="330">
        <f>'Profit &amp; Loss'!F51/'Capital Requirements'!$B$14</f>
        <v>0.048859158790896015</v>
      </c>
      <c r="E33" s="330">
        <f>'Profit &amp; Loss'!G51/'Capital Requirements'!$B$14</f>
        <v>0.08325855330499991</v>
      </c>
      <c r="F33" s="330">
        <f>'Profit &amp; Loss'!H51/'Capital Requirements'!$B$14</f>
        <v>0.0936594495092019</v>
      </c>
      <c r="G33" s="330">
        <f>'Profit &amp; Loss'!I51/'Capital Requirements'!$B$14</f>
        <v>0.10216609615273438</v>
      </c>
      <c r="H33" s="330">
        <f>'Profit &amp; Loss'!J51/'Capital Requirements'!$B$14</f>
        <v>0.10935203747974032</v>
      </c>
      <c r="I33" s="330">
        <f>'Profit &amp; Loss'!K51/'Capital Requirements'!$B$14</f>
        <v>0.1131021991386107</v>
      </c>
      <c r="J33" s="330">
        <f>'Profit &amp; Loss'!L51/'Capital Requirements'!$B$14</f>
        <v>0.11698365320719133</v>
      </c>
      <c r="K33" s="330">
        <f>'Profit &amp; Loss'!M51/'Capital Requirements'!$B$14</f>
        <v>0.12554160780418802</v>
      </c>
      <c r="L33" s="330">
        <f>'Profit &amp; Loss'!N51/'Capital Requirements'!$B$14</f>
        <v>0.13426677640918996</v>
      </c>
      <c r="M33" s="330">
        <f>'Profit &amp; Loss'!O51/'Capital Requirements'!$B$14</f>
        <v>0.13869142656037534</v>
      </c>
      <c r="N33" s="325"/>
    </row>
    <row r="34" spans="1:14" ht="15.75">
      <c r="A34" s="326" t="s">
        <v>255</v>
      </c>
      <c r="B34" s="313"/>
      <c r="C34" s="313"/>
      <c r="D34" s="313"/>
      <c r="E34" s="313"/>
      <c r="F34" s="313"/>
      <c r="G34" s="313"/>
      <c r="H34" s="313"/>
      <c r="I34" s="313"/>
      <c r="J34" s="313"/>
      <c r="K34" s="313"/>
      <c r="L34" s="313"/>
      <c r="M34" s="313"/>
      <c r="N34" s="313"/>
    </row>
    <row r="35" spans="1:14" ht="15.75">
      <c r="A35" s="326" t="s">
        <v>256</v>
      </c>
      <c r="B35" s="324">
        <f>AVERAGE(C33:M33)</f>
        <v>0.08534209211149435</v>
      </c>
      <c r="C35" s="313"/>
      <c r="D35" s="313"/>
      <c r="E35" s="313"/>
      <c r="F35" s="313"/>
      <c r="G35" s="313"/>
      <c r="H35" s="313"/>
      <c r="I35" s="313"/>
      <c r="J35" s="313"/>
      <c r="K35" s="313"/>
      <c r="L35" s="313"/>
      <c r="M35" s="313"/>
      <c r="N35" s="313"/>
    </row>
    <row r="36" spans="1:14" ht="15.75">
      <c r="A36" s="326"/>
      <c r="B36" s="313"/>
      <c r="C36" s="313"/>
      <c r="D36" s="313"/>
      <c r="E36" s="313"/>
      <c r="F36" s="313"/>
      <c r="G36" s="313"/>
      <c r="H36" s="313"/>
      <c r="I36" s="313"/>
      <c r="J36" s="313"/>
      <c r="K36" s="313"/>
      <c r="L36" s="313"/>
      <c r="M36" s="313"/>
      <c r="N36" s="313"/>
    </row>
    <row r="37" spans="1:14" ht="15.75">
      <c r="A37" s="323" t="s">
        <v>257</v>
      </c>
      <c r="B37" s="313"/>
      <c r="C37" s="324">
        <f>'Profit &amp; Loss'!E51/'Capital Requirements'!$F$18</f>
        <v>-0.0946042075198366</v>
      </c>
      <c r="D37" s="324">
        <f>'Profit &amp; Loss'!F51/'Capital Requirements'!$F$18</f>
        <v>0.036362151643864346</v>
      </c>
      <c r="E37" s="324">
        <f>'Profit &amp; Loss'!G51/'Capital Requirements'!$F$18</f>
        <v>0.061963001734882096</v>
      </c>
      <c r="F37" s="324">
        <f>'Profit &amp; Loss'!H51/'Capital Requirements'!$F$18</f>
        <v>0.06970359683247423</v>
      </c>
      <c r="G37" s="324">
        <f>'Profit &amp; Loss'!I51/'Capital Requirements'!$F$18</f>
        <v>0.07603444621440289</v>
      </c>
      <c r="H37" s="324">
        <f>'Profit &amp; Loss'!J51/'Capital Requirements'!$F$18</f>
        <v>0.08138239519065887</v>
      </c>
      <c r="I37" s="324">
        <f>'Profit &amp; Loss'!K51/'Capital Requirements'!$F$18</f>
        <v>0.0841733549677695</v>
      </c>
      <c r="J37" s="324">
        <f>'Profit &amp; Loss'!L51/'Capital Requirements'!$F$18</f>
        <v>0.08706202568853354</v>
      </c>
      <c r="K37" s="324">
        <f>'Profit &amp; Loss'!M51/'Capital Requirements'!$F$18</f>
        <v>0.09343105967352476</v>
      </c>
      <c r="L37" s="324">
        <f>'Profit &amp; Loss'!N51/'Capital Requirements'!$F$18</f>
        <v>0.09992453831263065</v>
      </c>
      <c r="M37" s="324">
        <f>'Profit &amp; Loss'!O51/'Capital Requirements'!$F$18</f>
        <v>0.10321746851752865</v>
      </c>
      <c r="N37" s="313"/>
    </row>
    <row r="38" spans="1:14" ht="15.75">
      <c r="A38" s="326" t="s">
        <v>258</v>
      </c>
      <c r="B38" s="313"/>
      <c r="C38" s="313"/>
      <c r="D38" s="313"/>
      <c r="E38" s="313"/>
      <c r="F38" s="313"/>
      <c r="G38" s="313"/>
      <c r="H38" s="313"/>
      <c r="I38" s="313"/>
      <c r="J38" s="313"/>
      <c r="K38" s="313"/>
      <c r="L38" s="313"/>
      <c r="M38" s="313"/>
      <c r="N38" s="313"/>
    </row>
    <row r="39" spans="1:14" ht="15.75">
      <c r="A39" s="326" t="s">
        <v>259</v>
      </c>
      <c r="B39" s="324">
        <f>AVERAGE(C37:M37)</f>
        <v>0.0635136210233121</v>
      </c>
      <c r="C39" s="313"/>
      <c r="D39" s="313"/>
      <c r="E39" s="313"/>
      <c r="F39" s="313"/>
      <c r="G39" s="313"/>
      <c r="H39" s="313"/>
      <c r="I39" s="313"/>
      <c r="J39" s="313"/>
      <c r="K39" s="313"/>
      <c r="L39" s="313"/>
      <c r="M39" s="313"/>
      <c r="N39" s="313"/>
    </row>
    <row r="40" spans="1:14" ht="15.75">
      <c r="A40" s="313"/>
      <c r="B40" s="313"/>
      <c r="C40" s="313"/>
      <c r="D40" s="313"/>
      <c r="E40" s="313"/>
      <c r="F40" s="313"/>
      <c r="G40" s="313"/>
      <c r="H40" s="313"/>
      <c r="I40" s="313"/>
      <c r="J40" s="313"/>
      <c r="K40" s="313"/>
      <c r="L40" s="313"/>
      <c r="M40" s="313"/>
      <c r="N40" s="313"/>
    </row>
    <row r="41" spans="1:14" ht="15.75">
      <c r="A41" s="327" t="s">
        <v>260</v>
      </c>
      <c r="B41" s="313">
        <f>IF(MIN(D59:M59)&gt;0,MIN(D59:M59),"")</f>
        <v>8</v>
      </c>
      <c r="C41" s="313"/>
      <c r="D41" s="313"/>
      <c r="E41" s="313"/>
      <c r="F41" s="313"/>
      <c r="G41" s="313"/>
      <c r="H41" s="313"/>
      <c r="I41" s="313"/>
      <c r="J41" s="313"/>
      <c r="K41" s="313"/>
      <c r="L41" s="313"/>
      <c r="M41" s="313"/>
      <c r="N41" s="313"/>
    </row>
    <row r="42" spans="1:14" ht="15.75">
      <c r="A42" s="326" t="s">
        <v>261</v>
      </c>
      <c r="B42" s="313"/>
      <c r="C42" s="313"/>
      <c r="D42" s="313"/>
      <c r="E42" s="313"/>
      <c r="F42" s="313"/>
      <c r="G42" s="313"/>
      <c r="H42" s="313"/>
      <c r="I42" s="313"/>
      <c r="J42" s="313"/>
      <c r="K42" s="313"/>
      <c r="L42" s="313"/>
      <c r="M42" s="313"/>
      <c r="N42" s="313"/>
    </row>
    <row r="43" spans="1:14" ht="15.75">
      <c r="A43" s="313"/>
      <c r="B43" s="313"/>
      <c r="C43" s="313"/>
      <c r="D43" s="313"/>
      <c r="E43" s="313"/>
      <c r="F43" s="313"/>
      <c r="G43" s="313"/>
      <c r="H43" s="313"/>
      <c r="I43" s="313"/>
      <c r="J43" s="313"/>
      <c r="K43" s="313"/>
      <c r="L43" s="313"/>
      <c r="M43" s="313"/>
      <c r="N43" s="313"/>
    </row>
    <row r="44" spans="1:14" ht="15.75">
      <c r="A44" s="313"/>
      <c r="B44" s="313"/>
      <c r="C44" s="313"/>
      <c r="D44" s="313"/>
      <c r="E44" s="313"/>
      <c r="F44" s="313"/>
      <c r="G44" s="313"/>
      <c r="H44" s="313"/>
      <c r="I44" s="313"/>
      <c r="J44" s="313"/>
      <c r="K44" s="313"/>
      <c r="L44" s="313"/>
      <c r="M44" s="313"/>
      <c r="N44" s="313"/>
    </row>
    <row r="45" spans="1:14" ht="15.75">
      <c r="A45" s="313"/>
      <c r="B45" s="313"/>
      <c r="C45" s="313"/>
      <c r="D45" s="313"/>
      <c r="E45" s="313"/>
      <c r="F45" s="313"/>
      <c r="G45" s="313"/>
      <c r="H45" s="313"/>
      <c r="I45" s="313"/>
      <c r="J45" s="313"/>
      <c r="K45" s="313"/>
      <c r="L45" s="313"/>
      <c r="M45" s="313"/>
      <c r="N45" s="313"/>
    </row>
    <row r="46" spans="1:14" ht="15.75">
      <c r="A46" s="313"/>
      <c r="B46" s="313"/>
      <c r="C46" s="313"/>
      <c r="D46" s="313"/>
      <c r="E46" s="313"/>
      <c r="F46" s="313"/>
      <c r="G46" s="313"/>
      <c r="H46" s="313"/>
      <c r="I46" s="313"/>
      <c r="J46" s="313"/>
      <c r="K46" s="313"/>
      <c r="L46" s="313"/>
      <c r="M46" s="313"/>
      <c r="N46" s="313"/>
    </row>
    <row r="47" spans="1:14" ht="15.75">
      <c r="A47" s="313"/>
      <c r="B47" s="313"/>
      <c r="C47" s="313"/>
      <c r="D47" s="313"/>
      <c r="E47" s="313"/>
      <c r="F47" s="313"/>
      <c r="G47" s="313"/>
      <c r="H47" s="313"/>
      <c r="I47" s="313"/>
      <c r="J47" s="313"/>
      <c r="K47" s="313"/>
      <c r="L47" s="313"/>
      <c r="M47" s="313"/>
      <c r="N47" s="313"/>
    </row>
    <row r="48" spans="1:14" ht="15.75">
      <c r="A48" s="313"/>
      <c r="B48" s="313"/>
      <c r="C48" s="313"/>
      <c r="D48" s="313"/>
      <c r="E48" s="313"/>
      <c r="F48" s="313"/>
      <c r="G48" s="313"/>
      <c r="H48" s="313"/>
      <c r="I48" s="313"/>
      <c r="J48" s="313"/>
      <c r="K48" s="313"/>
      <c r="L48" s="313"/>
      <c r="M48" s="313"/>
      <c r="N48" s="313"/>
    </row>
    <row r="49" spans="1:14" ht="15.75">
      <c r="A49" s="313"/>
      <c r="B49" s="313"/>
      <c r="C49" s="313"/>
      <c r="D49" s="313"/>
      <c r="E49" s="313"/>
      <c r="F49" s="313"/>
      <c r="G49" s="313"/>
      <c r="H49" s="313"/>
      <c r="I49" s="313"/>
      <c r="J49" s="313"/>
      <c r="K49" s="313"/>
      <c r="L49" s="313"/>
      <c r="M49" s="313"/>
      <c r="N49" s="313"/>
    </row>
    <row r="50" spans="1:14" ht="15.75">
      <c r="A50" s="313"/>
      <c r="B50" s="313"/>
      <c r="C50" s="313"/>
      <c r="D50" s="313"/>
      <c r="E50" s="313"/>
      <c r="F50" s="313"/>
      <c r="G50" s="313"/>
      <c r="H50" s="313"/>
      <c r="I50" s="313"/>
      <c r="J50" s="313"/>
      <c r="K50" s="313"/>
      <c r="L50" s="313"/>
      <c r="M50" s="313"/>
      <c r="N50" s="313"/>
    </row>
    <row r="51" spans="1:14" ht="15.75">
      <c r="A51" s="313"/>
      <c r="B51" s="313"/>
      <c r="C51" s="313"/>
      <c r="D51" s="313"/>
      <c r="E51" s="313"/>
      <c r="F51" s="313"/>
      <c r="G51" s="313"/>
      <c r="H51" s="313"/>
      <c r="I51" s="313"/>
      <c r="J51" s="313"/>
      <c r="K51" s="313"/>
      <c r="L51" s="313"/>
      <c r="M51" s="313"/>
      <c r="N51" s="313"/>
    </row>
    <row r="52" spans="1:14" ht="15.75">
      <c r="A52" s="313"/>
      <c r="B52" s="313"/>
      <c r="C52" s="313"/>
      <c r="D52" s="313"/>
      <c r="E52" s="313"/>
      <c r="F52" s="313"/>
      <c r="G52" s="313"/>
      <c r="H52" s="313"/>
      <c r="I52" s="313"/>
      <c r="J52" s="313"/>
      <c r="K52" s="313"/>
      <c r="L52" s="313"/>
      <c r="M52" s="313"/>
      <c r="N52" s="313"/>
    </row>
    <row r="53" spans="1:14" ht="15.75">
      <c r="A53" s="313"/>
      <c r="B53" s="313"/>
      <c r="C53" s="313"/>
      <c r="D53" s="313"/>
      <c r="E53" s="313"/>
      <c r="F53" s="313"/>
      <c r="G53" s="313"/>
      <c r="H53" s="313"/>
      <c r="I53" s="313"/>
      <c r="J53" s="313"/>
      <c r="K53" s="313"/>
      <c r="L53" s="313"/>
      <c r="M53" s="313"/>
      <c r="N53" s="313"/>
    </row>
    <row r="54" spans="1:14" ht="15.75">
      <c r="A54" s="313"/>
      <c r="B54" s="313"/>
      <c r="C54" s="313"/>
      <c r="D54" s="313"/>
      <c r="E54" s="313"/>
      <c r="F54" s="313"/>
      <c r="G54" s="313"/>
      <c r="H54" s="313"/>
      <c r="I54" s="313"/>
      <c r="J54" s="313"/>
      <c r="K54" s="313"/>
      <c r="L54" s="313"/>
      <c r="M54" s="313"/>
      <c r="N54" s="313"/>
    </row>
    <row r="55" spans="1:14" ht="15.75">
      <c r="A55" s="313"/>
      <c r="B55" s="313"/>
      <c r="C55" s="313"/>
      <c r="D55" s="313"/>
      <c r="E55" s="313"/>
      <c r="F55" s="313"/>
      <c r="G55" s="313"/>
      <c r="H55" s="313"/>
      <c r="I55" s="313"/>
      <c r="J55" s="313"/>
      <c r="K55" s="313"/>
      <c r="L55" s="313"/>
      <c r="M55" s="313"/>
      <c r="N55" s="313"/>
    </row>
    <row r="59" spans="4:13" ht="15.75">
      <c r="D59" s="328">
        <f>IF(SUM('Profit &amp; Loss'!$F$61:F61)&gt;'Capital Requirements'!$B$14,1,"")</f>
      </c>
      <c r="E59" s="328">
        <f>IF(SUM('Profit &amp; Loss'!$F$61:G61)&gt;'Capital Requirements'!$B$14,2,"")</f>
      </c>
      <c r="F59" s="328">
        <f>IF(SUM('Profit &amp; Loss'!$F$61:H61)&gt;'Capital Requirements'!$B$14,3,"")</f>
      </c>
      <c r="G59" s="328">
        <f>IF(SUM('Profit &amp; Loss'!$F$61:I61)&gt;'Capital Requirements'!$B$14,4,"")</f>
      </c>
      <c r="H59" s="328">
        <f>IF(SUM('Profit &amp; Loss'!$F$61:J61)&gt;'Capital Requirements'!$B$14,5,"")</f>
      </c>
      <c r="I59" s="328">
        <f>IF(SUM('Profit &amp; Loss'!$F$61:K61)&gt;'Capital Requirements'!$B$14,6,"")</f>
      </c>
      <c r="J59" s="328">
        <f>IF(SUM('Profit &amp; Loss'!$F$61:L61)&gt;'Capital Requirements'!$B$14,7,"")</f>
      </c>
      <c r="K59" s="328">
        <f>IF(SUM('Profit &amp; Loss'!$F$61:M61)&gt;'Capital Requirements'!$B$14,8,"")</f>
        <v>8</v>
      </c>
      <c r="L59" s="328">
        <f>IF(SUM('Profit &amp; Loss'!$F$61:N61)&gt;'Capital Requirements'!$B$14,9,"")</f>
        <v>9</v>
      </c>
      <c r="M59" s="328">
        <f>IF(SUM('Profit &amp; Loss'!$F$61:O61)&gt;'Capital Requirements'!$B$14,10,"")</f>
        <v>10</v>
      </c>
    </row>
  </sheetData>
  <sheetProtection password="C977" sheet="1" selectLockedCells="1"/>
  <hyperlinks>
    <hyperlink ref="A5" location="Assumptions!A1" display="Operating/Production Assumptions"/>
    <hyperlink ref="D5" location="'Loan Amortization'!A1" display="Loan Amortization"/>
    <hyperlink ref="D6" location="'Variable Costs'!A1" display="Variable Costs"/>
    <hyperlink ref="D7" location="'Profit &amp; Loss'!A1" display="Profit &amp; Loss"/>
    <hyperlink ref="A6" location="'Capital Requirements'!A1" display="Capital Requirements"/>
    <hyperlink ref="A7" location="Revenue!A1" display="Revenue"/>
  </hyperlink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osu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fapc</dc:creator>
  <cp:keywords/>
  <dc:description/>
  <cp:lastModifiedBy>Rodney B. Holcomb</cp:lastModifiedBy>
  <dcterms:created xsi:type="dcterms:W3CDTF">2002-10-01T20:17:30Z</dcterms:created>
  <dcterms:modified xsi:type="dcterms:W3CDTF">2011-12-08T15:53:25Z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