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30" windowHeight="4605" tabRatio="904" activeTab="0"/>
  </bookViews>
  <sheets>
    <sheet name="Input Value" sheetId="1" r:id="rId1"/>
    <sheet name="Utilities" sheetId="2" r:id="rId2"/>
    <sheet name="Equipment" sheetId="3" r:id="rId3"/>
    <sheet name="Engineering Calcs" sheetId="4" r:id="rId4"/>
    <sheet name="Market Projection" sheetId="5" r:id="rId5"/>
    <sheet name="Personnel Expenses" sheetId="6" r:id="rId6"/>
    <sheet name="Depreciation" sheetId="7" r:id="rId7"/>
    <sheet name="Loan Amortization" sheetId="8" r:id="rId8"/>
    <sheet name="Expense Projection" sheetId="9" r:id="rId9"/>
    <sheet name="Operations Summary" sheetId="10" r:id="rId10"/>
    <sheet name="Farmer Information" sheetId="11" state="hidden" r:id="rId11"/>
    <sheet name="Return On Investment" sheetId="12" r:id="rId12"/>
    <sheet name="Sensitivity Tables" sheetId="13" r:id="rId13"/>
    <sheet name="Production Summary" sheetId="14" r:id="rId14"/>
    <sheet name="Construction" sheetId="15" r:id="rId15"/>
    <sheet name="36 mo. CF" sheetId="16" r:id="rId16"/>
    <sheet name="Balance Sheets" sheetId="17" r:id="rId17"/>
  </sheets>
  <definedNames>
    <definedName name="distancein">'Input Value'!$C$34</definedName>
    <definedName name="distanceout">'Input Value'!$C$27</definedName>
    <definedName name="incanola">'Input Value'!$C$37</definedName>
    <definedName name="indistance">'Input Value'!$C$26</definedName>
    <definedName name="insoybeans">'Input Value'!$C$36</definedName>
    <definedName name="outcsot">'Input Value'!$C$34</definedName>
    <definedName name="outdistance">'Input Value'!$C$33</definedName>
    <definedName name="_xlnm.Print_Area" localSheetId="15">'36 mo. CF'!$A$1:$M$40</definedName>
    <definedName name="_xlnm.Print_Area" localSheetId="16">'Balance Sheets'!$A$1:$F$31</definedName>
    <definedName name="_xlnm.Print_Area" localSheetId="14">'Construction'!$A$1:$P$15</definedName>
    <definedName name="_xlnm.Print_Area" localSheetId="6">'Depreciation'!$B$45:$L$61</definedName>
    <definedName name="_xlnm.Print_Area" localSheetId="8">'Expense Projection'!$AA$2:$AA$25</definedName>
    <definedName name="_xlnm.Print_Area" localSheetId="7">'Loan Amortization'!$B$1:$L$25</definedName>
    <definedName name="_xlnm.Print_Area" localSheetId="4">'Market Projection'!$Q$2:$AA$42</definedName>
    <definedName name="_xlnm.Print_Area" localSheetId="9">'Operations Summary'!$B$1:$M$31</definedName>
    <definedName name="_xlnm.Print_Area" localSheetId="5">'Personnel Expenses'!$S$1:$AG$17</definedName>
    <definedName name="_xlnm.Print_Area" localSheetId="11">'Return On Investment'!$B$26:$H$116</definedName>
    <definedName name="_xlnm.Print_Titles" localSheetId="15">'36 mo. CF'!$A:$A</definedName>
    <definedName name="_xlnm.Print_Titles" localSheetId="14">'Construction'!$A:$A</definedName>
    <definedName name="_xlnm.Print_Titles" localSheetId="2">'Equipment'!$1:$2</definedName>
  </definedNames>
  <calcPr fullCalcOnLoad="1"/>
</workbook>
</file>

<file path=xl/sharedStrings.xml><?xml version="1.0" encoding="utf-8"?>
<sst xmlns="http://schemas.openxmlformats.org/spreadsheetml/2006/main" count="1397" uniqueCount="881">
  <si>
    <t>EBT</t>
  </si>
  <si>
    <t>EQUIPMENT LIST for Biodiesel Production Facility</t>
  </si>
  <si>
    <t>No.</t>
  </si>
  <si>
    <t>Equipment Name</t>
  </si>
  <si>
    <t>Equipment Description</t>
  </si>
  <si>
    <t>Qty</t>
  </si>
  <si>
    <t>New ea Price Estimate</t>
  </si>
  <si>
    <t>Total New Price Est.</t>
  </si>
  <si>
    <t>Used Price Estimate</t>
  </si>
  <si>
    <t>Amp</t>
  </si>
  <si>
    <t>Volts</t>
  </si>
  <si>
    <t>HP</t>
  </si>
  <si>
    <t>kW hr</t>
  </si>
  <si>
    <t>RECEIVING AREA</t>
  </si>
  <si>
    <t>Pre cleaner</t>
  </si>
  <si>
    <t>Aspirated cleaner</t>
  </si>
  <si>
    <t>lb/hr</t>
  </si>
  <si>
    <t>Day storage for grain</t>
  </si>
  <si>
    <t>Day storage bin with aeration</t>
  </si>
  <si>
    <t>Bulk storage, methanol</t>
  </si>
  <si>
    <t>Tank</t>
  </si>
  <si>
    <t>gal</t>
  </si>
  <si>
    <t>Bulk storage, purchased oil</t>
  </si>
  <si>
    <t>Grain transfer conveyor</t>
  </si>
  <si>
    <t>Grain transfer</t>
  </si>
  <si>
    <t>Installation and freight</t>
  </si>
  <si>
    <t>TOTAL</t>
  </si>
  <si>
    <t>PREPARATION AREA</t>
  </si>
  <si>
    <t>Grain cleaner</t>
  </si>
  <si>
    <t>Additional aspirated grain cleaner</t>
  </si>
  <si>
    <t>Magnet</t>
  </si>
  <si>
    <t>Removes tramp metal</t>
  </si>
  <si>
    <t>Dryer</t>
  </si>
  <si>
    <t>Dryer discharge screw</t>
  </si>
  <si>
    <t>Screw with air lock</t>
  </si>
  <si>
    <t>Roller mill</t>
  </si>
  <si>
    <t>Bucket elevator</t>
  </si>
  <si>
    <t>OIL EXTRACTION AREA</t>
  </si>
  <si>
    <t>Oil press</t>
  </si>
  <si>
    <t>Press discharge screw</t>
  </si>
  <si>
    <t>Oil screening tank</t>
  </si>
  <si>
    <t>Surge bin</t>
  </si>
  <si>
    <t>5 x 5 x 5</t>
  </si>
  <si>
    <t>Extruder</t>
  </si>
  <si>
    <t>Discharge screw</t>
  </si>
  <si>
    <t>for extruder, 20' x 9"</t>
  </si>
  <si>
    <t>Vented screw conveyor</t>
  </si>
  <si>
    <t>Vent fan w/hood</t>
  </si>
  <si>
    <t>for extruder</t>
  </si>
  <si>
    <t>Oil press spare parts kit</t>
  </si>
  <si>
    <t>Extruder spare parts kit</t>
  </si>
  <si>
    <t>Filter</t>
  </si>
  <si>
    <t>Removes particles from oil</t>
  </si>
  <si>
    <t>Water degum tank</t>
  </si>
  <si>
    <t>Hot water degumming of oil, jacketed, insulated</t>
  </si>
  <si>
    <t>Centrifuge</t>
  </si>
  <si>
    <t>Degum separator</t>
  </si>
  <si>
    <t>Flash dryer</t>
  </si>
  <si>
    <t>Heats to remove water, under vacuum</t>
  </si>
  <si>
    <t>Storage tank</t>
  </si>
  <si>
    <t>Surge for conversion process</t>
  </si>
  <si>
    <t>Separator pump</t>
  </si>
  <si>
    <t>Transfer pump</t>
  </si>
  <si>
    <t>Oil transfer pump</t>
  </si>
  <si>
    <t>CONVERSION</t>
  </si>
  <si>
    <t>Metering pump system</t>
  </si>
  <si>
    <t>Static mixer</t>
  </si>
  <si>
    <t>Blends oil and chemicals</t>
  </si>
  <si>
    <t>Heat exchanger</t>
  </si>
  <si>
    <t>Plate and frame or shell and tube</t>
  </si>
  <si>
    <t>BTU/hr</t>
  </si>
  <si>
    <t>Tubular reactor</t>
  </si>
  <si>
    <t>Hold tube</t>
  </si>
  <si>
    <t>Back pressure valve</t>
  </si>
  <si>
    <t>Vacuum tank</t>
  </si>
  <si>
    <t>Removes methanol and water</t>
  </si>
  <si>
    <t>Settle tank A</t>
  </si>
  <si>
    <t>Acid injection, mixing, settling</t>
  </si>
  <si>
    <t>Settle tank B</t>
  </si>
  <si>
    <t>Condenser coil</t>
  </si>
  <si>
    <t>Vacuum tank accessory</t>
  </si>
  <si>
    <t>Vacuum system</t>
  </si>
  <si>
    <t>Process vacuum</t>
  </si>
  <si>
    <t>Methanol tank</t>
  </si>
  <si>
    <t>Holds recycled methanol</t>
  </si>
  <si>
    <t>Blends methanol and catalyst</t>
  </si>
  <si>
    <t>Methanol dehydration</t>
  </si>
  <si>
    <t>Distillation equipment</t>
  </si>
  <si>
    <t>Methanol recirc. Tank</t>
  </si>
  <si>
    <t>Small surge tank</t>
  </si>
  <si>
    <t>Vacuum tank pump</t>
  </si>
  <si>
    <t>Settle tank biodiesel pump</t>
  </si>
  <si>
    <t>Settle tank glycerine pump</t>
  </si>
  <si>
    <t>Acid injection pump</t>
  </si>
  <si>
    <t>Methanol pump</t>
  </si>
  <si>
    <t>MEAL PROCESSING</t>
  </si>
  <si>
    <t>Elevator</t>
  </si>
  <si>
    <t>Drum cooler</t>
  </si>
  <si>
    <t>Cooler discharge conveyor</t>
  </si>
  <si>
    <t>MEAL PACKAGING</t>
  </si>
  <si>
    <t>Bulk storage</t>
  </si>
  <si>
    <t>Bin</t>
  </si>
  <si>
    <t>nat.  gas  ft3/hr</t>
  </si>
  <si>
    <t>OIL PROCESSING</t>
  </si>
  <si>
    <t>NATURAL GAS USAGE</t>
  </si>
  <si>
    <t>Assumed temperature rise, F</t>
  </si>
  <si>
    <t>ton per day</t>
  </si>
  <si>
    <t>ft3 natural gas/hr</t>
  </si>
  <si>
    <t>STEAM USAGE</t>
  </si>
  <si>
    <t>Hot water degumming</t>
  </si>
  <si>
    <t>Oil flow + 20% water</t>
  </si>
  <si>
    <t>(5 gpm)</t>
  </si>
  <si>
    <t>Specific heat, BTU/lb F</t>
  </si>
  <si>
    <t>Temp rise</t>
  </si>
  <si>
    <t>80% eff.</t>
  </si>
  <si>
    <t>lb steam/hr</t>
  </si>
  <si>
    <t>Water to be flashed</t>
  </si>
  <si>
    <t>lb/hr (assumes 15% carryover from centrifuge)</t>
  </si>
  <si>
    <t>Steam required, lb/hr with 75% eff</t>
  </si>
  <si>
    <t>Operational Labor</t>
  </si>
  <si>
    <t>Total Operational Labor</t>
  </si>
  <si>
    <t>Total Personnel/Costs</t>
  </si>
  <si>
    <t>Expenses</t>
  </si>
  <si>
    <t>Tot. Lbs steam/hr @ 70% max</t>
  </si>
  <si>
    <t>HP/Hour @ 80% connected HP</t>
  </si>
  <si>
    <t>Gallons of Biodiesel Produced</t>
  </si>
  <si>
    <t>Processing Materials</t>
  </si>
  <si>
    <t>Methanol (gal)</t>
  </si>
  <si>
    <t>lbs/gal</t>
  </si>
  <si>
    <t>lb/lb</t>
  </si>
  <si>
    <t>gal/gal</t>
  </si>
  <si>
    <t>Meth/Biodiesel use ratio</t>
  </si>
  <si>
    <t>Glycerine/Bidiesel prdn</t>
  </si>
  <si>
    <t>(assume same for cottonseed)</t>
  </si>
  <si>
    <t>Methanol/gal</t>
  </si>
  <si>
    <t>Glycerol/lb</t>
  </si>
  <si>
    <t>Glycerol lbs</t>
  </si>
  <si>
    <t>QC person</t>
  </si>
  <si>
    <t>Crushing-Meal Handler</t>
  </si>
  <si>
    <t>Receiving/Shipping</t>
  </si>
  <si>
    <t>Asst. Mgr./Clerical</t>
  </si>
  <si>
    <t>Oper/Maint. Floaters</t>
  </si>
  <si>
    <t>COGS</t>
  </si>
  <si>
    <t>Revenue from Sales of Biodiesel</t>
  </si>
  <si>
    <t>Revenue from Sales of Glycerol</t>
  </si>
  <si>
    <t>Methanol Purchases</t>
  </si>
  <si>
    <t>Bag filler</t>
  </si>
  <si>
    <t>Stitch and sew</t>
  </si>
  <si>
    <t>Palletize</t>
  </si>
  <si>
    <t>Manual station</t>
  </si>
  <si>
    <t>Meal transfer conveyor</t>
  </si>
  <si>
    <t>Transfer conveyor</t>
  </si>
  <si>
    <t>STORE AND SHIP</t>
  </si>
  <si>
    <t>Biodiesel Tank A</t>
  </si>
  <si>
    <t>Temperature controlled</t>
  </si>
  <si>
    <t>Biodiesel Tank B</t>
  </si>
  <si>
    <t>Gylcerine tank</t>
  </si>
  <si>
    <t>lb</t>
  </si>
  <si>
    <t>Biodiesel transfer pump</t>
  </si>
  <si>
    <t>Glycerine transfer pump</t>
  </si>
  <si>
    <t>Biodiesel filter</t>
  </si>
  <si>
    <t>GLYCERINE REFINING (OPTIONAL)</t>
  </si>
  <si>
    <t>Surge tank</t>
  </si>
  <si>
    <t>Short term storage for mix tank</t>
  </si>
  <si>
    <t>Metering pump</t>
  </si>
  <si>
    <t>Meter glycerol and water</t>
  </si>
  <si>
    <t>Mixes glycerol and water</t>
  </si>
  <si>
    <t>Heats glycerol and water for purification</t>
  </si>
  <si>
    <t>Ion exchange purifier</t>
  </si>
  <si>
    <t>Removes impurities from glycerol</t>
  </si>
  <si>
    <t>Vacuum distillation</t>
  </si>
  <si>
    <t>Removes water from glycerol</t>
  </si>
  <si>
    <t>QUALITY CONTROL</t>
  </si>
  <si>
    <t>D 93 Flash Point</t>
  </si>
  <si>
    <t>D130 Corrosion</t>
  </si>
  <si>
    <t>Viscosity</t>
  </si>
  <si>
    <t>Viscometer cleaning and drying apparatus</t>
  </si>
  <si>
    <t>Viscometers</t>
  </si>
  <si>
    <t>D 664 Acid value</t>
  </si>
  <si>
    <t>D 874 Sulfated ash</t>
  </si>
  <si>
    <t>D 2500 Cloud point</t>
  </si>
  <si>
    <t>D 2709 Water and sediment</t>
  </si>
  <si>
    <t>D 6584 Total and free glycerol</t>
  </si>
  <si>
    <t>Inflation (10%) for instrument prices since last estimate</t>
  </si>
  <si>
    <t>Installation, training and freight at 20%</t>
  </si>
  <si>
    <t>OFFICE</t>
  </si>
  <si>
    <t>Chair</t>
  </si>
  <si>
    <t>Computer system</t>
  </si>
  <si>
    <t>Desk</t>
  </si>
  <si>
    <t>File cabinets</t>
  </si>
  <si>
    <t>Furniture</t>
  </si>
  <si>
    <t>Refrigerator, small</t>
  </si>
  <si>
    <t>SANITATION EQUIPMENT</t>
  </si>
  <si>
    <t>Chemical cabinet (cleaning)</t>
  </si>
  <si>
    <t>Cleaning utensils</t>
  </si>
  <si>
    <t>Foam generator</t>
  </si>
  <si>
    <t>Hose station</t>
  </si>
  <si>
    <t>Sink, hand wash</t>
  </si>
  <si>
    <t>Sink, mop</t>
  </si>
  <si>
    <t>Trash cans</t>
  </si>
  <si>
    <t>Dry vacuum system</t>
  </si>
  <si>
    <t>Waste receptacles</t>
  </si>
  <si>
    <t>Pressure wash system</t>
  </si>
  <si>
    <t>FACILITY, OTHER</t>
  </si>
  <si>
    <t>Boiler</t>
  </si>
  <si>
    <t>Steam for process heat</t>
  </si>
  <si>
    <t>Hot water heater</t>
  </si>
  <si>
    <t>Hot water for plant use</t>
  </si>
  <si>
    <t>Air compressor</t>
  </si>
  <si>
    <t>Shop air for controls and maintenance</t>
  </si>
  <si>
    <t>Piping (product, water, air, steam)</t>
  </si>
  <si>
    <t>Water softener</t>
  </si>
  <si>
    <t>Softens water for process use</t>
  </si>
  <si>
    <t>Building shell</t>
  </si>
  <si>
    <t>Facility for conversion process</t>
  </si>
  <si>
    <t>Maintenance shop equipment</t>
  </si>
  <si>
    <t>Tools for in-house repairs</t>
  </si>
  <si>
    <t>Evaporative water cooler</t>
  </si>
  <si>
    <t>Provides facility water for condensers</t>
  </si>
  <si>
    <t>Chiller</t>
  </si>
  <si>
    <t>Provides chilled water or glycol to condensers</t>
  </si>
  <si>
    <t>HVAC for offices</t>
  </si>
  <si>
    <t>Electrical switchgear</t>
  </si>
  <si>
    <t>Motor controls</t>
  </si>
  <si>
    <t>Gallons per year</t>
  </si>
  <si>
    <t>Assumes approx 1:1 conversion</t>
  </si>
  <si>
    <t>Installation and freight factor</t>
  </si>
  <si>
    <t>% water</t>
  </si>
  <si>
    <t>HEAT EXCHANGER SIZING</t>
  </si>
  <si>
    <t>Glycerine and water</t>
  </si>
  <si>
    <t>Oil for degumming</t>
  </si>
  <si>
    <t>Ti</t>
  </si>
  <si>
    <t>F</t>
  </si>
  <si>
    <t>CANOLA OIL</t>
  </si>
  <si>
    <t>Tf</t>
  </si>
  <si>
    <t>specific heat</t>
  </si>
  <si>
    <t>btu/lb F</t>
  </si>
  <si>
    <t>% canola</t>
  </si>
  <si>
    <t>approx</t>
  </si>
  <si>
    <t>% Glycerin</t>
  </si>
  <si>
    <t>specific gravity</t>
  </si>
  <si>
    <t>% methanol</t>
  </si>
  <si>
    <t>Molecular wgt</t>
  </si>
  <si>
    <t>g/mol</t>
  </si>
  <si>
    <t>Cp mix</t>
  </si>
  <si>
    <t>BTU/lb F</t>
  </si>
  <si>
    <t>lb/mol</t>
  </si>
  <si>
    <t>m</t>
  </si>
  <si>
    <t>lb/min</t>
  </si>
  <si>
    <t>Stoich. ratio methanol:oil</t>
  </si>
  <si>
    <t>%</t>
  </si>
  <si>
    <t>efficiency</t>
  </si>
  <si>
    <t>Q</t>
  </si>
  <si>
    <t>BTU/min</t>
  </si>
  <si>
    <t>minimum</t>
  </si>
  <si>
    <t>SF</t>
  </si>
  <si>
    <t>METHANOL</t>
  </si>
  <si>
    <t>Specific gravity</t>
  </si>
  <si>
    <t>Heat of vaporization</t>
  </si>
  <si>
    <t>BTU/lb</t>
  </si>
  <si>
    <t>boiling pt</t>
  </si>
  <si>
    <t>Molec wgt</t>
  </si>
  <si>
    <t>GLYCERINE</t>
  </si>
  <si>
    <t>BIODIESEL</t>
  </si>
  <si>
    <t>WATER</t>
  </si>
  <si>
    <t>Weight per gallon</t>
  </si>
  <si>
    <t>Specific heat</t>
  </si>
  <si>
    <t>METHANOL CONDENSER</t>
  </si>
  <si>
    <t>Methanol liquid flow rate, lb/min</t>
  </si>
  <si>
    <t>Latent heat of vaporization, BTU/lb</t>
  </si>
  <si>
    <t>Inlet water temperature, F</t>
  </si>
  <si>
    <t>Outlet water temperature</t>
  </si>
  <si>
    <t>Heat transfer, BTU/min</t>
  </si>
  <si>
    <t>Water flow, lb/min</t>
  </si>
  <si>
    <t>Water flow, gal/min</t>
  </si>
  <si>
    <t>Monthly WC for Feedstock</t>
  </si>
  <si>
    <t>(excluding shell bldg)</t>
  </si>
  <si>
    <t>Debt Servicing</t>
  </si>
  <si>
    <t>Senior Debt Interest</t>
  </si>
  <si>
    <t>Principal Repayment</t>
  </si>
  <si>
    <t>Total Debt Servicing</t>
  </si>
  <si>
    <t>Capital Additions</t>
  </si>
  <si>
    <t>Total Cash Outflows</t>
  </si>
  <si>
    <t>Monthly Cash Flow</t>
  </si>
  <si>
    <t>Cash Flow for the Month</t>
  </si>
  <si>
    <t>Ending Cash Availability for the Month</t>
  </si>
  <si>
    <t>Building</t>
  </si>
  <si>
    <t>ASSETS</t>
  </si>
  <si>
    <t>Current Assets</t>
  </si>
  <si>
    <t>Accounts Receivable</t>
  </si>
  <si>
    <t xml:space="preserve">     Total Current Assets</t>
  </si>
  <si>
    <t>Fixed Assets</t>
  </si>
  <si>
    <t>Less:  Accumulated depreciation</t>
  </si>
  <si>
    <t xml:space="preserve">     Total Fixed Assets</t>
  </si>
  <si>
    <t>Total Assets</t>
  </si>
  <si>
    <t>Long-Term Liabilities</t>
  </si>
  <si>
    <t>Total Liabilities</t>
  </si>
  <si>
    <t>Total Liabilities &amp; Owners Equity</t>
  </si>
  <si>
    <t>Capital improvements</t>
  </si>
  <si>
    <t>Senior debt - facilities</t>
  </si>
  <si>
    <t>LIABILITIES &amp; OWNERS EQUITY</t>
  </si>
  <si>
    <t>Year 1 Ending</t>
  </si>
  <si>
    <t>Year 2 Ending</t>
  </si>
  <si>
    <t>Year 3 Ending</t>
  </si>
  <si>
    <t>Cash</t>
  </si>
  <si>
    <t>Year 0 Ending</t>
  </si>
  <si>
    <t>Owners Equity*</t>
  </si>
  <si>
    <t>*Owners Equity was calculated as a simple "balance" number (i.e. Total Assets minus Total Liabilities).</t>
  </si>
  <si>
    <t>Pro Forma Balance Sheets</t>
  </si>
  <si>
    <t xml:space="preserve">Site Preparation </t>
  </si>
  <si>
    <t>(Sep./Oct.)</t>
  </si>
  <si>
    <t>Storage Buildings (raw &amp; processed products)</t>
  </si>
  <si>
    <t>Protection &amp; Safety</t>
  </si>
  <si>
    <t>Total Plant Property &amp; Equip (PPE)</t>
  </si>
  <si>
    <t>Percent Financed (as a % of PPE)</t>
  </si>
  <si>
    <t>Purchase of Land</t>
  </si>
  <si>
    <t>Administration Salaries</t>
  </si>
  <si>
    <t>Trucking Costs (canola in, oil &amp; meal out)</t>
  </si>
  <si>
    <t>Utility Costs (water, electricity, gas, waste, phone, etc.)</t>
  </si>
  <si>
    <t>Working Capital Interest</t>
  </si>
  <si>
    <t>Working Capital Repayment</t>
  </si>
  <si>
    <t>Buildings &amp; Land</t>
  </si>
  <si>
    <t>Short-Term Liabilities</t>
  </si>
  <si>
    <t>Monthly Cash Flow before Long-Term Debt Service</t>
  </si>
  <si>
    <t>Total Cash Outflows from Operations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</si>
  <si>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</si>
  <si>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</si>
  <si>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</si>
  <si>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</si>
  <si>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</si>
  <si>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</si>
  <si>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</si>
  <si>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</si>
  <si>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</si>
  <si>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</si>
  <si>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0</t>
  </si>
  <si>
    <t>Total Investment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</si>
  <si>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</si>
  <si>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</si>
  <si>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</si>
  <si>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</si>
  <si>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</si>
  <si>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</si>
  <si>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</si>
  <si>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</si>
  <si>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</si>
  <si>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</si>
  <si>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</si>
  <si>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</si>
  <si>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</si>
  <si>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</si>
  <si>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</si>
  <si>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</si>
  <si>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</si>
  <si>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</si>
  <si>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</si>
  <si>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</si>
  <si>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</si>
  <si>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</si>
  <si>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</si>
  <si>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</si>
  <si>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</si>
  <si>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Utilities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</si>
  <si>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</si>
  <si>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</si>
  <si>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</si>
  <si>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</si>
  <si>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</si>
  <si>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</si>
  <si>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</si>
  <si>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</si>
  <si>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</si>
  <si>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</si>
  <si>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</si>
  <si>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Miscellaneous</t>
  </si>
  <si>
    <t>Total Fixed</t>
  </si>
  <si>
    <t>Total Expenses</t>
  </si>
  <si>
    <t>Total</t>
  </si>
  <si>
    <t>Discount Rate</t>
  </si>
  <si>
    <t>Gross Margin</t>
  </si>
  <si>
    <t>Discount Factor</t>
  </si>
  <si>
    <t>PV of Income</t>
  </si>
  <si>
    <t>Total Expense</t>
  </si>
  <si>
    <t>Cash Expenses</t>
  </si>
  <si>
    <t>PV of Expenses</t>
  </si>
  <si>
    <t>Benefits Less Costs</t>
  </si>
  <si>
    <t>Net Present Value</t>
  </si>
  <si>
    <t>Internal Rate of Return</t>
  </si>
  <si>
    <t>Year</t>
  </si>
  <si>
    <t>Annual Total Depreciation</t>
  </si>
  <si>
    <t>Light Truck and Vehicles</t>
  </si>
  <si>
    <t>39 year Straight Line</t>
  </si>
  <si>
    <t>Total Depreciation</t>
  </si>
  <si>
    <t>10 year with percentage from table</t>
  </si>
  <si>
    <t>Cost</t>
  </si>
  <si>
    <t>Life</t>
  </si>
  <si>
    <t>Salvage</t>
  </si>
  <si>
    <t>Period</t>
  </si>
  <si>
    <t>Depreciation per year for 39 years</t>
  </si>
  <si>
    <t>Rate</t>
  </si>
  <si>
    <t>Description</t>
  </si>
  <si>
    <t>Value</t>
  </si>
  <si>
    <t>#1</t>
  </si>
  <si>
    <t>#2</t>
  </si>
  <si>
    <t>#3</t>
  </si>
  <si>
    <t>#4</t>
  </si>
  <si>
    <t>#5</t>
  </si>
  <si>
    <t>Total Buildings</t>
  </si>
  <si>
    <t>Total Equip and Heavy Rolling Stock</t>
  </si>
  <si>
    <t>Total Special Purpose Building</t>
  </si>
  <si>
    <t>Total Light Trucks and Vehicles</t>
  </si>
  <si>
    <t>10 year Straight Line</t>
  </si>
  <si>
    <t>7 Yr MACRS with half year convention</t>
  </si>
  <si>
    <t>5 Yr MACRS with half year convention</t>
  </si>
  <si>
    <t>Wage Inflation</t>
  </si>
  <si>
    <t>Expense Inflation Rate</t>
  </si>
  <si>
    <t>Total Plant Property and Equipment</t>
  </si>
  <si>
    <t>Income Tax Rate</t>
  </si>
  <si>
    <t>Overtime%</t>
  </si>
  <si>
    <t>Total PV of Income</t>
  </si>
  <si>
    <t>Total PV of Expenses</t>
  </si>
  <si>
    <t>PV Benefits Less PV Costs</t>
  </si>
  <si>
    <t>Land</t>
  </si>
  <si>
    <t>Total Land, Plant Property and Equipment</t>
  </si>
  <si>
    <t>Tax</t>
  </si>
  <si>
    <t>After Tax Profit</t>
  </si>
  <si>
    <t>PV Benefit/PV Cost Ratio</t>
  </si>
  <si>
    <t>INPUT CAPITAL STRUCTURE AND</t>
  </si>
  <si>
    <t>EXPENSE INFORMATION</t>
  </si>
  <si>
    <t>Gross Sales</t>
  </si>
  <si>
    <t xml:space="preserve"> </t>
  </si>
  <si>
    <t>Manager</t>
  </si>
  <si>
    <t>After Tax Profits</t>
  </si>
  <si>
    <t>Principle</t>
  </si>
  <si>
    <t xml:space="preserve">Cash Flow </t>
  </si>
  <si>
    <t>Electricity cost per Kilowatt</t>
  </si>
  <si>
    <t>Gas Cost per MCF</t>
  </si>
  <si>
    <t>Electricity</t>
  </si>
  <si>
    <t>Natural Gas</t>
  </si>
  <si>
    <t>Electricity Cost/KW</t>
  </si>
  <si>
    <t>KW/HP</t>
  </si>
  <si>
    <t>Hours of Operation</t>
  </si>
  <si>
    <t>$/unit</t>
  </si>
  <si>
    <t>Variable Costs</t>
  </si>
  <si>
    <t>Electricity Cost/ Year</t>
  </si>
  <si>
    <t>Total Utilities/ Year</t>
  </si>
  <si>
    <t>Estimate of Cash Flows</t>
  </si>
  <si>
    <t>(after tax profits/PP&amp;E investment)</t>
  </si>
  <si>
    <t>% of Employee INS Tax to Salaries</t>
  </si>
  <si>
    <t>UTILITIES</t>
  </si>
  <si>
    <t>OTHER</t>
  </si>
  <si>
    <t>TAX INFORMATION</t>
  </si>
  <si>
    <t>PAYROLL INFORMATION</t>
  </si>
  <si>
    <t>Maintenance as % of PP&amp;E</t>
  </si>
  <si>
    <t>Insurance as % of PP&amp;E</t>
  </si>
  <si>
    <t>Discount rate for NPV calc</t>
  </si>
  <si>
    <t>Property Tax as % of PP&amp;E</t>
  </si>
  <si>
    <t>WORKING CAPITAL</t>
  </si>
  <si>
    <t>Total Working Cap Requirement</t>
  </si>
  <si>
    <t>Additional WC as % of Sales</t>
  </si>
  <si>
    <t>Additional WC in Dollars</t>
  </si>
  <si>
    <t>Additional WC for Contingency</t>
  </si>
  <si>
    <t>Payback Period</t>
  </si>
  <si>
    <t>*Payback Period only displayed if less than 10 years</t>
  </si>
  <si>
    <t>A.M. Hours</t>
  </si>
  <si>
    <t>P.M. Hours</t>
  </si>
  <si>
    <t>Total Cost</t>
  </si>
  <si>
    <t>Equipment</t>
  </si>
  <si>
    <t>Maintenance Foreman</t>
  </si>
  <si>
    <t xml:space="preserve">Total </t>
  </si>
  <si>
    <t>Ginning Fees</t>
  </si>
  <si>
    <t>Administrative and Overhead</t>
  </si>
  <si>
    <t>Horse Power use per year</t>
  </si>
  <si>
    <t xml:space="preserve">Transportation </t>
  </si>
  <si>
    <t>Module Hauling</t>
  </si>
  <si>
    <t>Transportation</t>
  </si>
  <si>
    <t>Average</t>
  </si>
  <si>
    <t>Total Bales</t>
  </si>
  <si>
    <t>Total Variable Expenses</t>
  </si>
  <si>
    <t>Total Utilities</t>
  </si>
  <si>
    <t>Total Other Expenses</t>
  </si>
  <si>
    <t>Other Expenses</t>
  </si>
  <si>
    <t>Average Return on Assets</t>
  </si>
  <si>
    <t>Average Return on Equity</t>
  </si>
  <si>
    <t>Total Fixed Labor</t>
  </si>
  <si>
    <t>Return on Assets (based on after tax profit)</t>
  </si>
  <si>
    <t>Tot Salary</t>
  </si>
  <si>
    <t>Wage</t>
  </si>
  <si>
    <t>Water</t>
  </si>
  <si>
    <t>Telephone</t>
  </si>
  <si>
    <t xml:space="preserve">Investment = Total Plant, Property and Equipment - Loan Amount   </t>
  </si>
  <si>
    <t>Total PP&amp;E</t>
  </si>
  <si>
    <t xml:space="preserve">Investment  </t>
  </si>
  <si>
    <t>Investment per Acre Market Projection = (Total Bales/Yield per Acre)-ODA Statistics</t>
  </si>
  <si>
    <t>Yield per Acre</t>
  </si>
  <si>
    <t>ODA Statistics</t>
  </si>
  <si>
    <t>Acres</t>
  </si>
  <si>
    <t>Investment per Acre = Investment / Acres</t>
  </si>
  <si>
    <t>Investment/Acre</t>
  </si>
  <si>
    <t>Producer Income</t>
  </si>
  <si>
    <t>Production Expense</t>
  </si>
  <si>
    <t>Seed</t>
  </si>
  <si>
    <t>Fertilizer</t>
  </si>
  <si>
    <t>Herbicide</t>
  </si>
  <si>
    <t>Insecticide</t>
  </si>
  <si>
    <t>Defoliant/ Boll Opener</t>
  </si>
  <si>
    <t xml:space="preserve">Total Operating </t>
  </si>
  <si>
    <t>Price/lb</t>
  </si>
  <si>
    <t>Bales per acre</t>
  </si>
  <si>
    <t>Market Price/lb</t>
  </si>
  <si>
    <t>Lint Revenue</t>
  </si>
  <si>
    <t>Cotton seed tons/acre</t>
  </si>
  <si>
    <t>Cotton Seed $/ton</t>
  </si>
  <si>
    <t>Cotton Seed Revenue</t>
  </si>
  <si>
    <t>Total Revenue</t>
  </si>
  <si>
    <t>Modules/acre</t>
  </si>
  <si>
    <t>Total Ginning &amp; Mkt Fees</t>
  </si>
  <si>
    <t>Net Revenue over Direct Costs</t>
  </si>
  <si>
    <t>Cotton Gin Returns</t>
  </si>
  <si>
    <t>Return on Investment for Producer Investing in New Generation Cotton Ginning Cooperative</t>
  </si>
  <si>
    <t>Historic Cotton Yield and Price Information</t>
  </si>
  <si>
    <t>Return on Investment-Gin</t>
  </si>
  <si>
    <t>Net Revenue over Direct Costs with Gin Profits</t>
  </si>
  <si>
    <t>Seed/bale</t>
  </si>
  <si>
    <t>Cotton Seed: tons</t>
  </si>
  <si>
    <t>Cotton seed: lbs</t>
  </si>
  <si>
    <t>Cotton: tons</t>
  </si>
  <si>
    <t>Cotton Yield:bales</t>
  </si>
  <si>
    <t>Cotton Yield:lbs per Acre</t>
  </si>
  <si>
    <t>Planting-Custom</t>
  </si>
  <si>
    <t>Harvest-Custom</t>
  </si>
  <si>
    <t>Rate of return on production expense</t>
  </si>
  <si>
    <t>Total rate of return</t>
  </si>
  <si>
    <t>Return on Equity (after tax profits/equity)</t>
  </si>
  <si>
    <t>Bale wrap</t>
  </si>
  <si>
    <t>Classing</t>
  </si>
  <si>
    <t>Freight to warehouse fee</t>
  </si>
  <si>
    <t>Warehouse receiving and storage</t>
  </si>
  <si>
    <t>Cotton Inc. and Nat. Cotton Council Promotion</t>
  </si>
  <si>
    <t>Tons of Seed Cotton</t>
  </si>
  <si>
    <t>Seed Cotton per Acre</t>
  </si>
  <si>
    <t>All Shifts</t>
  </si>
  <si>
    <t>per unit</t>
  </si>
  <si>
    <t>Field Scouting</t>
  </si>
  <si>
    <t>Custom Application</t>
  </si>
  <si>
    <t>Operational Summary</t>
  </si>
  <si>
    <t>hours packaged daily</t>
  </si>
  <si>
    <t>Daily downtime hours</t>
  </si>
  <si>
    <t>max. Seasonal capacity (tons)</t>
  </si>
  <si>
    <t>Oil</t>
  </si>
  <si>
    <t>Units</t>
  </si>
  <si>
    <t>Price</t>
  </si>
  <si>
    <t>Soybeans</t>
  </si>
  <si>
    <t>Canola</t>
  </si>
  <si>
    <t>Sunflowers</t>
  </si>
  <si>
    <t>Meal</t>
  </si>
  <si>
    <t>Tons of % oil</t>
  </si>
  <si>
    <t>lbs/bushel</t>
  </si>
  <si>
    <t>Capacity per hour</t>
  </si>
  <si>
    <t>Hours per day</t>
  </si>
  <si>
    <t>Units delivered</t>
  </si>
  <si>
    <t>Tons delivered</t>
  </si>
  <si>
    <t>Oil Content</t>
  </si>
  <si>
    <t>Extraction efficiency</t>
  </si>
  <si>
    <t>Lbs of oil</t>
  </si>
  <si>
    <t xml:space="preserve">Yearly Prices </t>
  </si>
  <si>
    <t>Average Trucking Cost</t>
  </si>
  <si>
    <t>Meal Feed out</t>
  </si>
  <si>
    <t>Meal Feed in</t>
  </si>
  <si>
    <t>Trucking $/mile-grain</t>
  </si>
  <si>
    <t>Turcking $/mile-meal</t>
  </si>
  <si>
    <t>Trucking $/mile-oil</t>
  </si>
  <si>
    <t>Trucking-tons/load grain</t>
  </si>
  <si>
    <t>Average distance-oil</t>
  </si>
  <si>
    <t>Price/bu</t>
  </si>
  <si>
    <t>Oil lbs/gal</t>
  </si>
  <si>
    <t>Purchases (dollars)</t>
  </si>
  <si>
    <t>Purchases (volume)</t>
  </si>
  <si>
    <t>Final Product Price</t>
  </si>
  <si>
    <t>Raw material prices</t>
  </si>
  <si>
    <t>$/lb</t>
  </si>
  <si>
    <t>$/ton</t>
  </si>
  <si>
    <t>Hulls</t>
  </si>
  <si>
    <t>Tons of oil crushed</t>
  </si>
  <si>
    <t>Annual capicity</t>
  </si>
  <si>
    <t>Percent of crush volume</t>
  </si>
  <si>
    <t>lbs/gallon</t>
  </si>
  <si>
    <t>Gallons</t>
  </si>
  <si>
    <t>Shrinkage</t>
  </si>
  <si>
    <t>Tons of meal</t>
  </si>
  <si>
    <t>Sales (dollars)</t>
  </si>
  <si>
    <t>Grain</t>
  </si>
  <si>
    <t>Hulls Percentage</t>
  </si>
  <si>
    <t>Inflation</t>
  </si>
  <si>
    <t>Total Sales</t>
  </si>
  <si>
    <t>Total Purchases</t>
  </si>
  <si>
    <t>Communication</t>
  </si>
  <si>
    <t>Protection and Safety</t>
  </si>
  <si>
    <t>Administration</t>
  </si>
  <si>
    <t>Marketing</t>
  </si>
  <si>
    <t>Annuals hours operation</t>
  </si>
  <si>
    <t>Expense inflation</t>
  </si>
  <si>
    <t>Trucking-grain</t>
  </si>
  <si>
    <t>Trucking-oil</t>
  </si>
  <si>
    <t>wastewater for dealkaliser and softner</t>
  </si>
  <si>
    <t>drinking water</t>
  </si>
  <si>
    <t>Total net water</t>
  </si>
  <si>
    <t>Sewer</t>
  </si>
  <si>
    <t>Water treatment</t>
  </si>
  <si>
    <t>Materials</t>
  </si>
  <si>
    <t>Tons net hulls and shrink</t>
  </si>
  <si>
    <t>Current</t>
  </si>
  <si>
    <t>Benchmarks</t>
  </si>
  <si>
    <t>Sales (tons or gallons)</t>
  </si>
  <si>
    <t>Per Ton Calculations</t>
  </si>
  <si>
    <t>Electricity Cost/ ton</t>
  </si>
  <si>
    <t>Daily Capacity</t>
  </si>
  <si>
    <t>Kw/year</t>
  </si>
  <si>
    <t>KW/ton</t>
  </si>
  <si>
    <t>boiler efficiency</t>
  </si>
  <si>
    <t>Cost per hour of operation</t>
  </si>
  <si>
    <t>Annual Cost</t>
  </si>
  <si>
    <t>heat content steam 1000btu/lb</t>
  </si>
  <si>
    <t>Total Utility Costs</t>
  </si>
  <si>
    <t>water rate/1000 gallon</t>
  </si>
  <si>
    <t>Total Utility/year</t>
  </si>
  <si>
    <t>Total Utility/ton</t>
  </si>
  <si>
    <t>Boiler Costs</t>
  </si>
  <si>
    <t>Natural Gas Boiler Cost per ton</t>
  </si>
  <si>
    <t>Total Production</t>
  </si>
  <si>
    <t>BTU/ft3 natural gas</t>
  </si>
  <si>
    <t>per shift</t>
  </si>
  <si>
    <t>Tons Processed</t>
  </si>
  <si>
    <t>Maximum</t>
  </si>
  <si>
    <t>Possible</t>
  </si>
  <si>
    <t>lbs</t>
  </si>
  <si>
    <t>expand</t>
  </si>
  <si>
    <t>Additional Asset Purchased</t>
  </si>
  <si>
    <t>Cumulative Cash Flow</t>
  </si>
  <si>
    <t>Telephone/year</t>
  </si>
  <si>
    <t>Addititional Assets Purchased</t>
  </si>
  <si>
    <t>Initial Investment</t>
  </si>
  <si>
    <t>Return on Investment</t>
  </si>
  <si>
    <t>Mix</t>
  </si>
  <si>
    <t>Relative Capacity</t>
  </si>
  <si>
    <t>Methanol</t>
  </si>
  <si>
    <t>Production</t>
  </si>
  <si>
    <t>Item</t>
  </si>
  <si>
    <t>Biodiesel</t>
  </si>
  <si>
    <t>Biodiesel Inflation</t>
  </si>
  <si>
    <t>Biodiesel gallons</t>
  </si>
  <si>
    <t>Biodiesel/gal</t>
  </si>
  <si>
    <t>Biodiesel Tax Credits</t>
  </si>
  <si>
    <t>Glycerol</t>
  </si>
  <si>
    <t>Glycerol Inflation</t>
  </si>
  <si>
    <t>Less Depreciation and Term Interest Crushing</t>
  </si>
  <si>
    <t>Water/1000 gallons</t>
  </si>
  <si>
    <t>Total Administrative</t>
  </si>
  <si>
    <t>Position</t>
  </si>
  <si>
    <t>Number/shift</t>
  </si>
  <si>
    <t>Number</t>
  </si>
  <si>
    <t>Expense Summary</t>
  </si>
  <si>
    <t>Fixed Overhead</t>
  </si>
  <si>
    <t xml:space="preserve">Variable Overhead </t>
  </si>
  <si>
    <t>(after tax profits/initial equity)</t>
  </si>
  <si>
    <t>7 year MACRS</t>
  </si>
  <si>
    <t>5 year MACRS</t>
  </si>
  <si>
    <t>Depreciation Expense</t>
  </si>
  <si>
    <t>The Payback period calculations are hidden in rows p3 to y3 below</t>
  </si>
  <si>
    <t>Annual Rate of Return</t>
  </si>
  <si>
    <t>OK Tax Credit</t>
  </si>
  <si>
    <t>Effective Tax</t>
  </si>
  <si>
    <t>Tax Credit Carry forward</t>
  </si>
  <si>
    <t>Tax credit used</t>
  </si>
  <si>
    <t>Trucking-lbs/load oil</t>
  </si>
  <si>
    <t>Trucking-meal &amp; hulls</t>
  </si>
  <si>
    <t>Trucking costs/ton meal &amp; hulls-outbound</t>
  </si>
  <si>
    <t>Average distance-meal &amp; hulls</t>
  </si>
  <si>
    <t>Trucking-tons/load meal &amp; hulls</t>
  </si>
  <si>
    <t>Site Prep</t>
  </si>
  <si>
    <t>Raw Material 1-2 days</t>
  </si>
  <si>
    <t>Oil and Meal 3-5 days</t>
  </si>
  <si>
    <t>Uptime percentage</t>
  </si>
  <si>
    <t>Total Trucking</t>
  </si>
  <si>
    <t>Construction Schedule and Associated Cash Outlays</t>
  </si>
  <si>
    <t>Month 1</t>
  </si>
  <si>
    <t>Total Construction/Development outlays</t>
  </si>
  <si>
    <t>(Starting w/ First Full Year of Production)</t>
  </si>
  <si>
    <t>Beginning Cash Availability for the Month</t>
  </si>
  <si>
    <t>Cash Inflows</t>
  </si>
  <si>
    <t>Total Cash Inflow</t>
  </si>
  <si>
    <t>Cash Outflows</t>
  </si>
  <si>
    <t>Cash Availability*</t>
  </si>
  <si>
    <t>*Start with total equity (including startup/contingency funds) and debt.</t>
  </si>
  <si>
    <t>Startup &amp; Contingency (20% of PPE)</t>
  </si>
  <si>
    <t>Equipment (40%@order, 60%@delivery)</t>
  </si>
  <si>
    <t>wash/cleanup</t>
  </si>
  <si>
    <t>Boiler makeup water</t>
  </si>
  <si>
    <t xml:space="preserve">    assume 20% for blow down and losses</t>
  </si>
  <si>
    <t>facility (lawn)</t>
  </si>
  <si>
    <t>water softener*</t>
  </si>
  <si>
    <t>*Assume daily backflush at 12 gpm for 40 minutes</t>
  </si>
  <si>
    <t>evaporative cooler**</t>
  </si>
  <si>
    <t>Salt for brine</t>
  </si>
  <si>
    <t>sewer rate/1000 gallon</t>
  </si>
  <si>
    <t>Usage, gal/yr</t>
  </si>
  <si>
    <t>Water cost/year</t>
  </si>
  <si>
    <t>Water cost/ton</t>
  </si>
  <si>
    <t>Natural gas cost/1000 ft3</t>
  </si>
  <si>
    <t>**Assume 5% makeup water at 35 gpm process flow</t>
  </si>
  <si>
    <t>Natural gas</t>
  </si>
  <si>
    <t>Boiler additives</t>
  </si>
  <si>
    <t>Cost per  year</t>
  </si>
  <si>
    <t>Condensate return system</t>
  </si>
  <si>
    <t>Returns condensed steam to boiler</t>
  </si>
  <si>
    <t>Nitrogen</t>
  </si>
  <si>
    <t>Solid Waste</t>
  </si>
  <si>
    <t>Hauls per year</t>
  </si>
  <si>
    <t>Cost per haul</t>
  </si>
  <si>
    <t>Annual cost</t>
  </si>
  <si>
    <t>Solid waste cost/ton</t>
  </si>
  <si>
    <t>Solid waste</t>
  </si>
  <si>
    <t>Total Chemicals/Additives</t>
  </si>
  <si>
    <t>Chemicals and Water Additives</t>
  </si>
  <si>
    <t>Solid Waste Removal</t>
  </si>
  <si>
    <t>Sewer and Treatement</t>
  </si>
  <si>
    <t>Trucking Expenses</t>
  </si>
  <si>
    <t>OK Tax Credit/gal - 60 months</t>
  </si>
  <si>
    <t>Energy Bill Producer Credit/gal</t>
  </si>
  <si>
    <t>CCC Payment/gal - 1st year</t>
  </si>
  <si>
    <t>CCC Payment/gal - Production</t>
  </si>
  <si>
    <t>OK Tax Credit/gal - next 36 mo.*</t>
  </si>
  <si>
    <t>*ended in 2005</t>
  </si>
  <si>
    <t>Heat exchanger, two phase</t>
  </si>
  <si>
    <t>Biodiesel heater</t>
  </si>
  <si>
    <t>Water wash system</t>
  </si>
  <si>
    <t>Water spray tank</t>
  </si>
  <si>
    <t>Dehydration</t>
  </si>
  <si>
    <t>Remove residual water</t>
  </si>
  <si>
    <t>Transfer pumps</t>
  </si>
  <si>
    <t>wastewater from biodiesel wash</t>
  </si>
  <si>
    <t>Working Capital for Feedstock Purchases</t>
  </si>
  <si>
    <t>w/o crushing</t>
  </si>
  <si>
    <t>IRR</t>
  </si>
  <si>
    <t>ROA</t>
  </si>
  <si>
    <t>ROE</t>
  </si>
  <si>
    <t>ends in 2008</t>
  </si>
  <si>
    <t>Biodiesel Only</t>
  </si>
  <si>
    <t>Crush Only</t>
  </si>
  <si>
    <t>zeros out if biodiesel is disabled</t>
  </si>
  <si>
    <t>Profit</t>
  </si>
  <si>
    <t xml:space="preserve">lbs/hr </t>
  </si>
  <si>
    <t>Steam Usage</t>
  </si>
  <si>
    <t>lbs/hr</t>
  </si>
  <si>
    <t>Days of operation</t>
  </si>
  <si>
    <t>TOTAL MATERIALS</t>
  </si>
  <si>
    <t>Lbs of Oil</t>
  </si>
  <si>
    <t>Tons of Meal</t>
  </si>
  <si>
    <t>Oil Extraction (crushing)</t>
  </si>
  <si>
    <t>Conversion (Biodiesel Production)</t>
  </si>
  <si>
    <t>Excess Oil Supplied from Crushing</t>
  </si>
  <si>
    <t>OIL MIX AND % USAGE (by crop)</t>
  </si>
  <si>
    <t>Gallons of oil</t>
  </si>
  <si>
    <t>Inputs</t>
  </si>
  <si>
    <t>Methanol (gallons)</t>
  </si>
  <si>
    <t>Outputs</t>
  </si>
  <si>
    <t>Biodiesel in gal (assuming 1:1 ratio with raw oil)</t>
  </si>
  <si>
    <t>Raw Oil (gallons)</t>
  </si>
  <si>
    <t xml:space="preserve">Oil Required for Biodiesel Production </t>
  </si>
  <si>
    <t>steam required lb/hr</t>
  </si>
  <si>
    <t>Catalyst in lbs (approx. 1% of final product)</t>
  </si>
  <si>
    <t>Percent of Crush Volume</t>
  </si>
  <si>
    <t>Oil Supplied from Crushing (gal)</t>
  </si>
  <si>
    <t>*assume 1:1 ratio of oil to biodiesel</t>
  </si>
  <si>
    <t>Crushing, 1=yes</t>
  </si>
  <si>
    <t>(otherwise oil sold)</t>
  </si>
  <si>
    <t xml:space="preserve">Additional Purchased Oil Required </t>
  </si>
  <si>
    <t>*Cells must sum to 100%</t>
  </si>
  <si>
    <t>Revenue from Sales of Oil</t>
  </si>
  <si>
    <t>Revenue from Sales of Meal</t>
  </si>
  <si>
    <t>Primary Oilseed Grain Purchases</t>
  </si>
  <si>
    <t>Additional Oil Purchases</t>
  </si>
  <si>
    <t>Enter Crop names--&gt;</t>
  </si>
  <si>
    <t>Crop 1</t>
  </si>
  <si>
    <t>Crop 2</t>
  </si>
  <si>
    <t>Crop 3</t>
  </si>
  <si>
    <t>Enter Additional Purchased Oil Name--&gt;</t>
  </si>
  <si>
    <t>Biodiesel, 1=yes</t>
  </si>
  <si>
    <t>PBSY Cottonseed Oil</t>
  </si>
  <si>
    <t>bu</t>
  </si>
  <si>
    <t>CRUSHING ASSUMPTIONS</t>
  </si>
  <si>
    <t>MATERIALS SUPPLIED &amp; USAGE BY TON DELIVERED</t>
  </si>
  <si>
    <t>w/o biodiesel</t>
  </si>
  <si>
    <t xml:space="preserve">Crushing </t>
  </si>
  <si>
    <t>Tons Crushed</t>
  </si>
  <si>
    <t>Infrastructure</t>
  </si>
  <si>
    <t>Crushing</t>
  </si>
  <si>
    <t>Bodiesel Sales</t>
  </si>
  <si>
    <t>Glycerol sales/gallon of biodiesel</t>
  </si>
  <si>
    <t>Biodiesel tax credits (average 10 years)</t>
  </si>
  <si>
    <t>Labor per gallon/biodiesel</t>
  </si>
  <si>
    <t>Total Variable Costs</t>
  </si>
  <si>
    <t>Property tax</t>
  </si>
  <si>
    <t xml:space="preserve">Total Fixed </t>
  </si>
  <si>
    <t>Total Production Expenses</t>
  </si>
  <si>
    <t>Feedstock</t>
  </si>
  <si>
    <t>Trucking</t>
  </si>
  <si>
    <t>Excess Oil Sales</t>
  </si>
  <si>
    <t>Meal Sales</t>
  </si>
  <si>
    <t xml:space="preserve">Methanol </t>
  </si>
  <si>
    <t>Total Income</t>
  </si>
  <si>
    <t>BIODIESEL AND CRUSHING INCOME AND EXPENSES (PER GALLON PRODUCED OR TON CRUSHED)</t>
  </si>
  <si>
    <t xml:space="preserve">Per Gallon of </t>
  </si>
  <si>
    <t>Biodiesel Produced</t>
  </si>
  <si>
    <t xml:space="preserve">Per Ton of </t>
  </si>
  <si>
    <t>Feedstock Crushed</t>
  </si>
  <si>
    <t>Glycerin Refining (biodiesel)</t>
  </si>
  <si>
    <t>Crushing Operator</t>
  </si>
  <si>
    <t>Biodiesel Operator</t>
  </si>
  <si>
    <t>Methanol Inflation</t>
  </si>
  <si>
    <t>100% Canola-Biodiesel Price</t>
  </si>
  <si>
    <t>100% Soybeans-Biodiesel Price</t>
  </si>
  <si>
    <t>50/50 Canola&amp;Sunflower-Biodiesel Price</t>
  </si>
  <si>
    <t>100% Canola-Feedstock Price</t>
  </si>
  <si>
    <t>100% Soybeans-Feedstock Price</t>
  </si>
  <si>
    <t>100% Canola-Extraction Efficiency</t>
  </si>
  <si>
    <t>100% Soybeans-Extraction Efficiency</t>
  </si>
  <si>
    <t>Efficiency</t>
  </si>
  <si>
    <t>NPV</t>
  </si>
  <si>
    <t>50/50 Canola&amp;Sunflowers-Feedstock Price</t>
  </si>
  <si>
    <t>Crushing/Biodiesel-Interest rate</t>
  </si>
  <si>
    <t>PB Period</t>
  </si>
  <si>
    <t/>
  </si>
  <si>
    <t>50/50 Canola&amp;Sunflowers-Canola Extraction Efficiency</t>
  </si>
  <si>
    <t>50/50 Canola&amp;Sunflowers-Sunflower Extraction Efficiency</t>
  </si>
  <si>
    <t>Biodiesel Only-Biodiesel Price</t>
  </si>
  <si>
    <t>Biodiesel Only-Oil Price</t>
  </si>
  <si>
    <t>Sodium Hydroxide (ton)</t>
  </si>
  <si>
    <t>Trucking costs/lb oil-outbound</t>
  </si>
  <si>
    <t>CATALYST</t>
  </si>
  <si>
    <t>Sodium Hydroxide (lb)</t>
  </si>
  <si>
    <t>Sodium Hydroxide</t>
  </si>
  <si>
    <t>Sodium Hydroxide/ton</t>
  </si>
  <si>
    <t>Sodium Hydroxide Inflation</t>
  </si>
  <si>
    <t>Average distance-glycerin</t>
  </si>
  <si>
    <t>Trucking costs/lb glycerin</t>
  </si>
  <si>
    <t>Trucking $/mile-glycerin</t>
  </si>
  <si>
    <t>Trucking-glycerin</t>
  </si>
  <si>
    <t>Oil, methanol and catalyst mix</t>
  </si>
  <si>
    <t>STEAM USAGE CALCULATIONS</t>
  </si>
  <si>
    <t>Catalyst/Biodiesel use ratio</t>
  </si>
  <si>
    <t>Automatic Tester</t>
  </si>
  <si>
    <t>Flash Cup Tester</t>
  </si>
  <si>
    <t>Copper strip test bath</t>
  </si>
  <si>
    <t>Constant temperature bath</t>
  </si>
  <si>
    <t>Automatic potentiometric titrator</t>
  </si>
  <si>
    <t>Isotemp basic muffle furnace</t>
  </si>
  <si>
    <t>Cloud and pour point bath</t>
  </si>
  <si>
    <t>Benchtop centrifuge</t>
  </si>
  <si>
    <t>Gas chromatograph</t>
  </si>
  <si>
    <t>The steam required is cacluated on the Engineering Calcs page</t>
  </si>
  <si>
    <t>This calculation determines how much water flow is needed to remove heat and condense the methanol</t>
  </si>
  <si>
    <t>TWO STAGE HEAT EXCHANGER FOR VAPORIZING</t>
  </si>
  <si>
    <t>The condensing process does not require steam</t>
  </si>
  <si>
    <t>Total Lbs Methanol</t>
  </si>
  <si>
    <t>Lbs Methanol/hour</t>
  </si>
  <si>
    <t>lbs/hour</t>
  </si>
  <si>
    <t>Vaporization heat</t>
  </si>
  <si>
    <t>Biodiesel Requires Approximately .0004 lbs steam per hour for each gallon of annual capacity</t>
  </si>
  <si>
    <t>The hourly steam requirements for your production level is</t>
  </si>
  <si>
    <t>FOR GRAIN DRIER</t>
  </si>
  <si>
    <t>The section below contains engineering paramaters used in the steam usage calculations</t>
  </si>
  <si>
    <t>These calculations carry over to the equipment page.  You should specify equipment that can meet these steam requirements</t>
  </si>
  <si>
    <t>MATERIALS SUPPLIED TO COMPLETE PRODUCTION GOALS</t>
  </si>
  <si>
    <t>Additional Oil (gallons)</t>
  </si>
  <si>
    <t xml:space="preserve">Catalyst (lbs) </t>
  </si>
  <si>
    <t>Biodiesel (gallons)</t>
  </si>
  <si>
    <t>Glycerin (lbs)</t>
  </si>
  <si>
    <t>TOTAL MATERIALS NEEDED FOR PRODUCTION</t>
  </si>
  <si>
    <t>Oil (gallons)</t>
  </si>
  <si>
    <t>Catalyst (lbs)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</si>
</sst>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&quot;$&quot;#,##0"/>
    <numFmt numFmtId="167" formatCode="0.0%"/>
    <numFmt numFmtId="168" formatCode="_(&quot;$&quot;* #,##0_);_(&quot;$&quot;* \(#,##0\);_(&quot;$&quot;* &quot;-&quot;??_);_(@_)"/>
    <numFmt numFmtId="169" formatCode="0.0000"/>
    <numFmt numFmtId="170" formatCode="0.000"/>
    <numFmt numFmtId="171" formatCode="_(* #,##0_);_(* \(#,##0\);_(* &quot;-&quot;??_);_(@_)"/>
    <numFmt numFmtId="172" formatCode="0.0"/>
    <numFmt numFmtId="173" formatCode="_(* #,##0.000_);_(* \(#,##0.000\);_(* &quot;-&quot;??_);_(@_)"/>
    <numFmt numFmtId="174" formatCode="_(* #,##0.000000_);_(* \(#,##0.000000\);_(* &quot;-&quot;??_);_(@_)"/>
    <numFmt numFmtId="175" formatCode="_(&quot;$&quot;* #,##0.000_);_(&quot;$&quot;* \(#,##0.000\);_(&quot;$&quot;* &quot;-&quot;??_);_(@_)"/>
    <numFmt numFmtId="176" formatCode="&quot;$&quot;#,##0.00"/>
    <numFmt numFmtId="177" formatCode="_(&quot;$&quot;* #,##0.0000_);_(&quot;$&quot;* \(#,##0.0000\);_(&quot;$&quot;* &quot;-&quot;??_);_(@_)"/>
    <numFmt numFmtId="178" formatCode="_(&quot;$&quot;* #,##0.00000_);_(&quot;$&quot;* \(#,##0.00000\);_(&quot;$&quot;* &quot;-&quot;??_);_(@_)"/>
    <numFmt numFmtId="179" formatCode="&quot;$&quot;#,##0.0000_);[Red]\(&quot;$&quot;#,##0.0000\)"/>
    <numFmt numFmtId="180" formatCode="0_)"/>
    <numFmt numFmtId="181" formatCode="&quot;$&quot;#,##0.000"/>
    <numFmt numFmtId="182" formatCode="&quot;$&quot;#,##0.0000"/>
    <numFmt numFmtId="183" formatCode="_(&quot;$&quot;* #,##0.000_);_(&quot;$&quot;* \(#,##0.000\);_(&quot;$&quot;* &quot;-&quot;???_);_(@_)"/>
    <numFmt numFmtId="184" formatCode="_(* #,##0.000_);_(* \(#,##0.000\);_(* &quot;-&quot;???_);_(@_)"/>
    <numFmt numFmtId="185" formatCode="_(* #,##0.0_);_(* \(#,##0.0\);_(* &quot;-&quot;?_);_(@_)"/>
    <numFmt numFmtId="186" formatCode="&quot;$&quot;#,##0.000_);\(&quot;$&quot;#,##0.000\)"/>
    <numFmt numFmtId="187" formatCode="_(&quot;$&quot;* #,##0.0_);_(&quot;$&quot;* \(#,##0.0\);_(&quot;$&quot;* &quot;-&quot;??_);_(@_)"/>
    <numFmt numFmtId="188" formatCode="_(* #,##0.0000_);_(* \(#,##0.0000\);_(* &quot;-&quot;??_);_(@_)"/>
    <numFmt numFmtId="189" formatCode="&quot;$&quot;#,##0.0_);\(&quot;$&quot;#,##0.0\)"/>
    <numFmt numFmtId="190" formatCode="_(* #,##0.0_);_(* \(#,##0.0\);_(* &quot;-&quot;??_);_(@_)"/>
    <numFmt numFmtId="191" formatCode="&quot;$&quot;#,##0.0"/>
    <numFmt numFmtId="192" formatCode="0.00000000000000"/>
    <numFmt numFmtId="193" formatCode="0.000000"/>
    <numFmt numFmtId="194" formatCode="0.00000"/>
    <numFmt numFmtId="195" formatCode="#,##0.000000_);\(#,##0.000000\)"/>
    <numFmt numFmtId="196" formatCode="#,##0.0000_);\(#,##0.0000\)"/>
    <numFmt numFmtId="197" formatCode="#,##0.0"/>
    <numFmt numFmtId="198" formatCode="0.000%"/>
    <numFmt numFmtId="199" formatCode="[$-409]dddd\,\ mmmm\ dd\,\ yyyy"/>
    <numFmt numFmtId="200" formatCode="0.00000000"/>
  </numFmts>
  <fonts count="6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u val="single"/>
      <sz val="10"/>
      <color indexed="18"/>
      <name val="Arial"/>
      <family val="0"/>
    </font>
    <font>
      <u val="single"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b/>
      <i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4" fontId="0" fillId="0" borderId="0" xfId="0" applyNumberFormat="1" applyAlignment="1">
      <alignment/>
    </xf>
    <xf numFmtId="44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6" fontId="0" fillId="0" borderId="0" xfId="0" applyNumberForma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7" fontId="0" fillId="0" borderId="13" xfId="0" applyNumberFormat="1" applyBorder="1" applyAlignment="1" applyProtection="1">
      <alignment horizontal="left"/>
      <protection/>
    </xf>
    <xf numFmtId="168" fontId="0" fillId="0" borderId="12" xfId="44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0" fontId="0" fillId="0" borderId="16" xfId="0" applyNumberForma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4" fontId="0" fillId="0" borderId="0" xfId="44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168" fontId="0" fillId="0" borderId="0" xfId="44" applyNumberFormat="1" applyFont="1" applyFill="1" applyBorder="1" applyAlignment="1" applyProtection="1">
      <alignment/>
      <protection/>
    </xf>
    <xf numFmtId="7" fontId="0" fillId="0" borderId="0" xfId="42" applyNumberFormat="1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168" fontId="0" fillId="0" borderId="0" xfId="44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8" fontId="1" fillId="0" borderId="0" xfId="44" applyNumberFormat="1" applyFont="1" applyFill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44" fontId="1" fillId="0" borderId="12" xfId="44" applyFont="1" applyFill="1" applyBorder="1" applyAlignment="1" applyProtection="1">
      <alignment/>
      <protection/>
    </xf>
    <xf numFmtId="44" fontId="1" fillId="0" borderId="0" xfId="44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Alignment="1" applyProtection="1" quotePrefix="1">
      <alignment horizontal="center"/>
      <protection/>
    </xf>
    <xf numFmtId="6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6" fontId="1" fillId="0" borderId="0" xfId="0" applyNumberFormat="1" applyFont="1" applyAlignment="1" applyProtection="1">
      <alignment/>
      <protection/>
    </xf>
    <xf numFmtId="168" fontId="0" fillId="0" borderId="0" xfId="44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6" fontId="0" fillId="0" borderId="0" xfId="0" applyNumberFormat="1" applyFont="1" applyFill="1" applyAlignment="1" applyProtection="1">
      <alignment/>
      <protection/>
    </xf>
    <xf numFmtId="6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6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 vertical="top" wrapText="1"/>
      <protection/>
    </xf>
    <xf numFmtId="10" fontId="0" fillId="0" borderId="0" xfId="0" applyNumberFormat="1" applyFont="1" applyAlignment="1" applyProtection="1">
      <alignment horizontal="center" vertical="top" wrapText="1"/>
      <protection/>
    </xf>
    <xf numFmtId="10" fontId="3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6" fillId="0" borderId="0" xfId="53" applyFont="1" applyBorder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68" fontId="1" fillId="0" borderId="0" xfId="44" applyNumberFormat="1" applyFont="1" applyAlignment="1" applyProtection="1">
      <alignment/>
      <protection/>
    </xf>
    <xf numFmtId="174" fontId="1" fillId="0" borderId="0" xfId="42" applyNumberFormat="1" applyFont="1" applyAlignment="1" applyProtection="1">
      <alignment/>
      <protection/>
    </xf>
    <xf numFmtId="174" fontId="0" fillId="0" borderId="0" xfId="42" applyNumberFormat="1" applyFont="1" applyAlignment="1" applyProtection="1">
      <alignment/>
      <protection/>
    </xf>
    <xf numFmtId="168" fontId="1" fillId="0" borderId="0" xfId="44" applyNumberFormat="1" applyFont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 locked="0"/>
    </xf>
    <xf numFmtId="10" fontId="0" fillId="0" borderId="0" xfId="61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8" fontId="0" fillId="0" borderId="10" xfId="44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6" fontId="10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168" fontId="10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168" fontId="10" fillId="0" borderId="0" xfId="0" applyNumberFormat="1" applyFont="1" applyAlignment="1">
      <alignment/>
    </xf>
    <xf numFmtId="42" fontId="0" fillId="0" borderId="0" xfId="44" applyNumberFormat="1" applyFont="1" applyAlignment="1" applyProtection="1">
      <alignment/>
      <protection/>
    </xf>
    <xf numFmtId="10" fontId="0" fillId="33" borderId="12" xfId="0" applyNumberFormat="1" applyFill="1" applyBorder="1" applyAlignment="1" applyProtection="1">
      <alignment/>
      <protection locked="0"/>
    </xf>
    <xf numFmtId="9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0" fontId="0" fillId="33" borderId="19" xfId="0" applyNumberFormat="1" applyFill="1" applyBorder="1" applyAlignment="1" applyProtection="1">
      <alignment/>
      <protection locked="0"/>
    </xf>
    <xf numFmtId="44" fontId="0" fillId="33" borderId="12" xfId="44" applyFont="1" applyFill="1" applyBorder="1" applyAlignment="1" applyProtection="1">
      <alignment/>
      <protection locked="0"/>
    </xf>
    <xf numFmtId="43" fontId="0" fillId="33" borderId="12" xfId="42" applyFont="1" applyFill="1" applyBorder="1" applyAlignment="1" applyProtection="1">
      <alignment/>
      <protection locked="0"/>
    </xf>
    <xf numFmtId="168" fontId="0" fillId="33" borderId="12" xfId="44" applyNumberFormat="1" applyFont="1" applyFill="1" applyBorder="1" applyAlignment="1" applyProtection="1">
      <alignment/>
      <protection locked="0"/>
    </xf>
    <xf numFmtId="9" fontId="0" fillId="33" borderId="12" xfId="61" applyFont="1" applyFill="1" applyBorder="1" applyAlignment="1" applyProtection="1">
      <alignment/>
      <protection locked="0"/>
    </xf>
    <xf numFmtId="6" fontId="0" fillId="33" borderId="0" xfId="0" applyNumberFormat="1" applyFill="1" applyAlignment="1" applyProtection="1">
      <alignment/>
      <protection locked="0"/>
    </xf>
    <xf numFmtId="6" fontId="0" fillId="33" borderId="0" xfId="0" applyNumberFormat="1" applyFont="1" applyFill="1" applyAlignment="1" applyProtection="1">
      <alignment/>
      <protection locked="0"/>
    </xf>
    <xf numFmtId="10" fontId="1" fillId="33" borderId="0" xfId="0" applyNumberFormat="1" applyFont="1" applyFill="1" applyAlignment="1" applyProtection="1">
      <alignment/>
      <protection locked="0"/>
    </xf>
    <xf numFmtId="6" fontId="0" fillId="0" borderId="2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8" fontId="2" fillId="0" borderId="20" xfId="0" applyNumberFormat="1" applyFont="1" applyBorder="1" applyAlignment="1" applyProtection="1">
      <alignment horizontal="center"/>
      <protection/>
    </xf>
    <xf numFmtId="8" fontId="2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8" fontId="0" fillId="0" borderId="0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6" fontId="0" fillId="33" borderId="0" xfId="0" applyNumberFormat="1" applyFill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/>
    </xf>
    <xf numFmtId="9" fontId="0" fillId="33" borderId="0" xfId="61" applyFont="1" applyFill="1" applyBorder="1" applyAlignment="1" applyProtection="1">
      <alignment/>
      <protection locked="0"/>
    </xf>
    <xf numFmtId="6" fontId="0" fillId="0" borderId="24" xfId="0" applyNumberFormat="1" applyBorder="1" applyAlignment="1" applyProtection="1">
      <alignment/>
      <protection/>
    </xf>
    <xf numFmtId="6" fontId="0" fillId="0" borderId="24" xfId="0" applyNumberFormat="1" applyFill="1" applyBorder="1" applyAlignment="1" applyProtection="1">
      <alignment/>
      <protection/>
    </xf>
    <xf numFmtId="6" fontId="0" fillId="0" borderId="10" xfId="0" applyNumberFormat="1" applyFill="1" applyBorder="1" applyAlignment="1" applyProtection="1">
      <alignment/>
      <protection/>
    </xf>
    <xf numFmtId="6" fontId="0" fillId="0" borderId="25" xfId="0" applyNumberFormat="1" applyFill="1" applyBorder="1" applyAlignment="1" applyProtection="1">
      <alignment/>
      <protection/>
    </xf>
    <xf numFmtId="6" fontId="0" fillId="0" borderId="22" xfId="0" applyNumberFormat="1" applyFill="1" applyBorder="1" applyAlignment="1" applyProtection="1">
      <alignment/>
      <protection/>
    </xf>
    <xf numFmtId="8" fontId="2" fillId="0" borderId="2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8" fontId="0" fillId="0" borderId="10" xfId="0" applyNumberForma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>
      <alignment/>
    </xf>
    <xf numFmtId="44" fontId="0" fillId="0" borderId="0" xfId="44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71" fontId="0" fillId="0" borderId="0" xfId="42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44" fontId="0" fillId="0" borderId="0" xfId="44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9" fontId="0" fillId="0" borderId="0" xfId="61" applyFon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6" fontId="0" fillId="0" borderId="25" xfId="0" applyNumberFormat="1" applyBorder="1" applyAlignment="1" applyProtection="1">
      <alignment/>
      <protection/>
    </xf>
    <xf numFmtId="6" fontId="0" fillId="0" borderId="10" xfId="0" applyNumberFormat="1" applyBorder="1" applyAlignment="1" applyProtection="1">
      <alignment/>
      <protection/>
    </xf>
    <xf numFmtId="44" fontId="0" fillId="0" borderId="10" xfId="44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42" fontId="10" fillId="0" borderId="0" xfId="44" applyNumberFormat="1" applyFont="1" applyAlignment="1">
      <alignment/>
    </xf>
    <xf numFmtId="171" fontId="0" fillId="33" borderId="12" xfId="42" applyNumberFormat="1" applyFon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8" fontId="0" fillId="33" borderId="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8" fontId="0" fillId="33" borderId="10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/>
      <protection locked="0"/>
    </xf>
    <xf numFmtId="44" fontId="1" fillId="0" borderId="0" xfId="44" applyFont="1" applyFill="1" applyBorder="1" applyAlignment="1" applyProtection="1">
      <alignment/>
      <protection/>
    </xf>
    <xf numFmtId="10" fontId="0" fillId="0" borderId="0" xfId="61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center"/>
      <protection/>
    </xf>
    <xf numFmtId="10" fontId="0" fillId="0" borderId="0" xfId="61" applyNumberFormat="1" applyFont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0" fontId="0" fillId="0" borderId="0" xfId="61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10" fontId="1" fillId="0" borderId="0" xfId="61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0" fontId="0" fillId="0" borderId="0" xfId="61" applyNumberFormat="1" applyFont="1" applyFill="1" applyBorder="1" applyAlignment="1" applyProtection="1">
      <alignment horizontal="right"/>
      <protection/>
    </xf>
    <xf numFmtId="9" fontId="0" fillId="0" borderId="19" xfId="61" applyFont="1" applyFill="1" applyBorder="1" applyAlignment="1" applyProtection="1" quotePrefix="1">
      <alignment horizontal="right"/>
      <protection/>
    </xf>
    <xf numFmtId="8" fontId="1" fillId="0" borderId="19" xfId="44" applyNumberFormat="1" applyFont="1" applyFill="1" applyBorder="1" applyAlignment="1" applyProtection="1">
      <alignment/>
      <protection/>
    </xf>
    <xf numFmtId="1" fontId="0" fillId="0" borderId="0" xfId="44" applyNumberFormat="1" applyFont="1" applyFill="1" applyBorder="1" applyAlignment="1" applyProtection="1">
      <alignment horizontal="center"/>
      <protection locked="0"/>
    </xf>
    <xf numFmtId="42" fontId="0" fillId="0" borderId="0" xfId="0" applyNumberFormat="1" applyFill="1" applyBorder="1" applyAlignment="1" applyProtection="1">
      <alignment horizontal="center"/>
      <protection/>
    </xf>
    <xf numFmtId="42" fontId="1" fillId="0" borderId="0" xfId="44" applyNumberFormat="1" applyFont="1" applyFill="1" applyBorder="1" applyAlignment="1" applyProtection="1">
      <alignment/>
      <protection locked="0"/>
    </xf>
    <xf numFmtId="42" fontId="0" fillId="0" borderId="0" xfId="44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10" fontId="0" fillId="0" borderId="0" xfId="0" applyNumberFormat="1" applyFill="1" applyBorder="1" applyAlignment="1" applyProtection="1">
      <alignment horizontal="right"/>
      <protection/>
    </xf>
    <xf numFmtId="169" fontId="0" fillId="0" borderId="0" xfId="0" applyNumberFormat="1" applyFill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44" fontId="0" fillId="0" borderId="18" xfId="44" applyFont="1" applyBorder="1" applyAlignment="1">
      <alignment/>
    </xf>
    <xf numFmtId="44" fontId="0" fillId="34" borderId="0" xfId="44" applyFont="1" applyFill="1" applyBorder="1" applyAlignment="1">
      <alignment/>
    </xf>
    <xf numFmtId="171" fontId="0" fillId="0" borderId="0" xfId="42" applyNumberFormat="1" applyFont="1" applyAlignment="1">
      <alignment/>
    </xf>
    <xf numFmtId="171" fontId="0" fillId="0" borderId="18" xfId="42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43" fontId="0" fillId="34" borderId="0" xfId="42" applyNumberFormat="1" applyFont="1" applyFill="1" applyAlignment="1">
      <alignment/>
    </xf>
    <xf numFmtId="172" fontId="0" fillId="0" borderId="0" xfId="0" applyNumberFormat="1" applyAlignment="1">
      <alignment/>
    </xf>
    <xf numFmtId="44" fontId="0" fillId="34" borderId="0" xfId="0" applyNumberFormat="1" applyFill="1" applyAlignment="1">
      <alignment/>
    </xf>
    <xf numFmtId="44" fontId="0" fillId="34" borderId="0" xfId="44" applyFont="1" applyFill="1" applyAlignment="1">
      <alignment/>
    </xf>
    <xf numFmtId="6" fontId="0" fillId="0" borderId="0" xfId="44" applyNumberFormat="1" applyFont="1" applyAlignment="1">
      <alignment/>
    </xf>
    <xf numFmtId="167" fontId="0" fillId="33" borderId="12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/>
    </xf>
    <xf numFmtId="9" fontId="0" fillId="33" borderId="0" xfId="61" applyNumberFormat="1" applyFont="1" applyFill="1" applyBorder="1" applyAlignment="1" applyProtection="1">
      <alignment/>
      <protection locked="0"/>
    </xf>
    <xf numFmtId="164" fontId="0" fillId="0" borderId="0" xfId="44" applyNumberFormat="1" applyFont="1" applyAlignment="1">
      <alignment/>
    </xf>
    <xf numFmtId="167" fontId="0" fillId="0" borderId="0" xfId="0" applyNumberFormat="1" applyAlignment="1">
      <alignment/>
    </xf>
    <xf numFmtId="9" fontId="0" fillId="0" borderId="0" xfId="61" applyFont="1" applyFill="1" applyBorder="1" applyAlignment="1" applyProtection="1">
      <alignment horizontal="center"/>
      <protection locked="0"/>
    </xf>
    <xf numFmtId="8" fontId="1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71" fontId="0" fillId="0" borderId="0" xfId="0" applyNumberFormat="1" applyFont="1" applyAlignment="1">
      <alignment horizontal="center"/>
    </xf>
    <xf numFmtId="38" fontId="0" fillId="0" borderId="0" xfId="44" applyNumberFormat="1" applyFont="1" applyAlignment="1">
      <alignment/>
    </xf>
    <xf numFmtId="0" fontId="1" fillId="0" borderId="29" xfId="0" applyFont="1" applyBorder="1" applyAlignment="1" applyProtection="1">
      <alignment horizontal="center"/>
      <protection/>
    </xf>
    <xf numFmtId="171" fontId="0" fillId="0" borderId="0" xfId="42" applyNumberFormat="1" applyFont="1" applyAlignment="1" applyProtection="1">
      <alignment/>
      <protection/>
    </xf>
    <xf numFmtId="170" fontId="0" fillId="0" borderId="0" xfId="0" applyNumberForma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8" fontId="1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 applyProtection="1">
      <alignment/>
      <protection/>
    </xf>
    <xf numFmtId="43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0" fillId="33" borderId="0" xfId="44" applyNumberFormat="1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10" fontId="0" fillId="0" borderId="0" xfId="61" applyNumberFormat="1" applyFont="1" applyFill="1" applyBorder="1" applyAlignment="1" applyProtection="1">
      <alignment horizontal="left"/>
      <protection/>
    </xf>
    <xf numFmtId="42" fontId="0" fillId="0" borderId="0" xfId="44" applyNumberFormat="1" applyFont="1" applyFill="1" applyBorder="1" applyAlignment="1" applyProtection="1">
      <alignment/>
      <protection locked="0"/>
    </xf>
    <xf numFmtId="10" fontId="0" fillId="0" borderId="0" xfId="61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10" fontId="0" fillId="0" borderId="0" xfId="61" applyNumberFormat="1" applyFont="1" applyFill="1" applyBorder="1" applyAlignment="1" applyProtection="1">
      <alignment/>
      <protection/>
    </xf>
    <xf numFmtId="10" fontId="0" fillId="0" borderId="0" xfId="61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8" fontId="16" fillId="0" borderId="0" xfId="44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8" fontId="13" fillId="0" borderId="0" xfId="44" applyNumberFormat="1" applyFont="1" applyAlignment="1" applyProtection="1">
      <alignment/>
      <protection/>
    </xf>
    <xf numFmtId="9" fontId="13" fillId="0" borderId="0" xfId="6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8" fontId="10" fillId="0" borderId="0" xfId="44" applyNumberFormat="1" applyFont="1" applyAlignment="1" applyProtection="1">
      <alignment/>
      <protection/>
    </xf>
    <xf numFmtId="38" fontId="16" fillId="0" borderId="0" xfId="0" applyNumberFormat="1" applyFont="1" applyAlignment="1">
      <alignment/>
    </xf>
    <xf numFmtId="44" fontId="16" fillId="0" borderId="0" xfId="44" applyFont="1" applyAlignment="1">
      <alignment/>
    </xf>
    <xf numFmtId="171" fontId="16" fillId="0" borderId="0" xfId="42" applyNumberFormat="1" applyFont="1" applyFill="1" applyAlignment="1">
      <alignment/>
    </xf>
    <xf numFmtId="171" fontId="16" fillId="0" borderId="0" xfId="0" applyNumberFormat="1" applyFont="1" applyAlignment="1">
      <alignment/>
    </xf>
    <xf numFmtId="43" fontId="0" fillId="0" borderId="0" xfId="0" applyNumberFormat="1" applyFill="1" applyBorder="1" applyAlignment="1" applyProtection="1">
      <alignment horizontal="center"/>
      <protection/>
    </xf>
    <xf numFmtId="44" fontId="0" fillId="33" borderId="12" xfId="44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6" fontId="18" fillId="0" borderId="0" xfId="0" applyNumberFormat="1" applyFont="1" applyAlignment="1" applyProtection="1">
      <alignment/>
      <protection/>
    </xf>
    <xf numFmtId="1" fontId="0" fillId="0" borderId="0" xfId="44" applyNumberFormat="1" applyFont="1" applyAlignment="1" quotePrefix="1">
      <alignment/>
    </xf>
    <xf numFmtId="0" fontId="18" fillId="0" borderId="0" xfId="0" applyFont="1" applyFill="1" applyBorder="1" applyAlignment="1" applyProtection="1">
      <alignment/>
      <protection/>
    </xf>
    <xf numFmtId="38" fontId="15" fillId="0" borderId="0" xfId="0" applyNumberFormat="1" applyFont="1" applyAlignment="1">
      <alignment/>
    </xf>
    <xf numFmtId="42" fontId="13" fillId="0" borderId="0" xfId="44" applyNumberFormat="1" applyFont="1" applyAlignment="1" applyProtection="1">
      <alignment/>
      <protection/>
    </xf>
    <xf numFmtId="6" fontId="13" fillId="0" borderId="0" xfId="0" applyNumberFormat="1" applyFont="1" applyAlignment="1" applyProtection="1">
      <alignment/>
      <protection/>
    </xf>
    <xf numFmtId="42" fontId="13" fillId="0" borderId="32" xfId="44" applyNumberFormat="1" applyFont="1" applyBorder="1" applyAlignment="1" applyProtection="1">
      <alignment/>
      <protection/>
    </xf>
    <xf numFmtId="6" fontId="14" fillId="0" borderId="0" xfId="0" applyNumberFormat="1" applyFont="1" applyAlignment="1" applyProtection="1">
      <alignment/>
      <protection/>
    </xf>
    <xf numFmtId="10" fontId="14" fillId="0" borderId="0" xfId="0" applyNumberFormat="1" applyFont="1" applyAlignment="1" applyProtection="1">
      <alignment/>
      <protection/>
    </xf>
    <xf numFmtId="10" fontId="14" fillId="0" borderId="33" xfId="0" applyNumberFormat="1" applyFont="1" applyBorder="1" applyAlignment="1" applyProtection="1">
      <alignment/>
      <protection/>
    </xf>
    <xf numFmtId="169" fontId="13" fillId="0" borderId="33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8" fontId="13" fillId="0" borderId="0" xfId="44" applyNumberFormat="1" applyFont="1" applyBorder="1" applyAlignment="1" applyProtection="1">
      <alignment/>
      <protection/>
    </xf>
    <xf numFmtId="10" fontId="14" fillId="0" borderId="0" xfId="61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168" fontId="13" fillId="0" borderId="10" xfId="44" applyNumberFormat="1" applyFont="1" applyBorder="1" applyAlignment="1" applyProtection="1">
      <alignment/>
      <protection/>
    </xf>
    <xf numFmtId="6" fontId="13" fillId="0" borderId="0" xfId="0" applyNumberFormat="1" applyFont="1" applyAlignment="1" applyProtection="1" quotePrefix="1">
      <alignment/>
      <protection/>
    </xf>
    <xf numFmtId="0" fontId="14" fillId="0" borderId="0" xfId="0" applyFont="1" applyFill="1" applyBorder="1" applyAlignment="1" applyProtection="1">
      <alignment/>
      <protection/>
    </xf>
    <xf numFmtId="10" fontId="13" fillId="0" borderId="0" xfId="61" applyNumberFormat="1" applyFont="1" applyAlignment="1" applyProtection="1">
      <alignment/>
      <protection/>
    </xf>
    <xf numFmtId="0" fontId="13" fillId="0" borderId="0" xfId="0" applyFont="1" applyFill="1" applyBorder="1" applyAlignment="1" applyProtection="1" quotePrefix="1">
      <alignment/>
      <protection/>
    </xf>
    <xf numFmtId="0" fontId="14" fillId="0" borderId="0" xfId="0" applyFont="1" applyFill="1" applyAlignment="1" quotePrefix="1">
      <alignment/>
    </xf>
    <xf numFmtId="6" fontId="20" fillId="0" borderId="0" xfId="0" applyNumberFormat="1" applyFont="1" applyAlignment="1" applyProtection="1">
      <alignment/>
      <protection/>
    </xf>
    <xf numFmtId="168" fontId="0" fillId="0" borderId="0" xfId="0" applyNumberFormat="1" applyFill="1" applyBorder="1" applyAlignment="1" applyProtection="1">
      <alignment horizontal="center"/>
      <protection/>
    </xf>
    <xf numFmtId="43" fontId="10" fillId="0" borderId="0" xfId="0" applyNumberFormat="1" applyFont="1" applyAlignment="1" quotePrefix="1">
      <alignment/>
    </xf>
    <xf numFmtId="42" fontId="10" fillId="0" borderId="0" xfId="0" applyNumberFormat="1" applyFont="1" applyAlignment="1">
      <alignment/>
    </xf>
    <xf numFmtId="42" fontId="0" fillId="0" borderId="0" xfId="0" applyNumberFormat="1" applyAlignment="1">
      <alignment/>
    </xf>
    <xf numFmtId="44" fontId="0" fillId="0" borderId="12" xfId="44" applyFont="1" applyFill="1" applyBorder="1" applyAlignment="1" applyProtection="1">
      <alignment/>
      <protection/>
    </xf>
    <xf numFmtId="171" fontId="13" fillId="0" borderId="0" xfId="42" applyNumberFormat="1" applyFont="1" applyAlignment="1" applyProtection="1">
      <alignment/>
      <protection/>
    </xf>
    <xf numFmtId="0" fontId="1" fillId="0" borderId="0" xfId="57" applyFont="1">
      <alignment/>
      <protection/>
    </xf>
    <xf numFmtId="0" fontId="0" fillId="0" borderId="0" xfId="57">
      <alignment/>
      <protection/>
    </xf>
    <xf numFmtId="168" fontId="0" fillId="0" borderId="0" xfId="44" applyNumberFormat="1" applyAlignment="1">
      <alignment/>
    </xf>
    <xf numFmtId="168" fontId="0" fillId="0" borderId="0" xfId="44" applyNumberFormat="1" applyFont="1" applyAlignment="1">
      <alignment/>
    </xf>
    <xf numFmtId="0" fontId="0" fillId="0" borderId="0" xfId="57" applyFont="1">
      <alignment/>
      <protection/>
    </xf>
    <xf numFmtId="168" fontId="0" fillId="0" borderId="0" xfId="57" applyNumberFormat="1">
      <alignment/>
      <protection/>
    </xf>
    <xf numFmtId="0" fontId="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8" fontId="0" fillId="0" borderId="10" xfId="44" applyNumberFormat="1" applyFont="1" applyBorder="1" applyAlignment="1">
      <alignment/>
    </xf>
    <xf numFmtId="168" fontId="0" fillId="0" borderId="10" xfId="44" applyNumberFormat="1" applyBorder="1" applyAlignment="1">
      <alignment/>
    </xf>
    <xf numFmtId="168" fontId="1" fillId="0" borderId="34" xfId="44" applyNumberFormat="1" applyFont="1" applyBorder="1" applyAlignment="1">
      <alignment/>
    </xf>
    <xf numFmtId="168" fontId="1" fillId="0" borderId="0" xfId="44" applyNumberFormat="1" applyFont="1" applyBorder="1" applyAlignment="1">
      <alignment/>
    </xf>
    <xf numFmtId="0" fontId="0" fillId="0" borderId="0" xfId="57" applyFont="1">
      <alignment/>
      <protection/>
    </xf>
    <xf numFmtId="10" fontId="0" fillId="0" borderId="0" xfId="61" applyNumberFormat="1" applyFont="1" applyFill="1" applyBorder="1" applyAlignment="1" applyProtection="1">
      <alignment horizontal="right"/>
      <protection locked="0"/>
    </xf>
    <xf numFmtId="3" fontId="0" fillId="0" borderId="0" xfId="57" applyNumberFormat="1">
      <alignment/>
      <protection/>
    </xf>
    <xf numFmtId="3" fontId="0" fillId="0" borderId="0" xfId="44" applyNumberFormat="1" applyAlignment="1">
      <alignment/>
    </xf>
    <xf numFmtId="166" fontId="0" fillId="0" borderId="0" xfId="57" applyNumberFormat="1">
      <alignment/>
      <protection/>
    </xf>
    <xf numFmtId="166" fontId="0" fillId="0" borderId="0" xfId="44" applyNumberFormat="1" applyAlignment="1">
      <alignment/>
    </xf>
    <xf numFmtId="166" fontId="0" fillId="0" borderId="0" xfId="57" applyNumberFormat="1" applyFont="1">
      <alignment/>
      <protection/>
    </xf>
    <xf numFmtId="0" fontId="21" fillId="0" borderId="0" xfId="57" applyFont="1">
      <alignment/>
      <protection/>
    </xf>
    <xf numFmtId="0" fontId="22" fillId="35" borderId="0" xfId="57" applyFont="1" applyFill="1">
      <alignment/>
      <protection/>
    </xf>
    <xf numFmtId="0" fontId="23" fillId="0" borderId="0" xfId="57" applyFont="1">
      <alignment/>
      <protection/>
    </xf>
    <xf numFmtId="0" fontId="21" fillId="33" borderId="0" xfId="57" applyFont="1" applyFill="1">
      <alignment/>
      <protection/>
    </xf>
    <xf numFmtId="166" fontId="21" fillId="0" borderId="0" xfId="44" applyNumberFormat="1" applyFont="1" applyAlignment="1">
      <alignment/>
    </xf>
    <xf numFmtId="166" fontId="23" fillId="35" borderId="0" xfId="57" applyNumberFormat="1" applyFont="1" applyFill="1">
      <alignment/>
      <protection/>
    </xf>
    <xf numFmtId="166" fontId="23" fillId="0" borderId="0" xfId="44" applyNumberFormat="1" applyFont="1" applyAlignment="1">
      <alignment/>
    </xf>
    <xf numFmtId="166" fontId="23" fillId="35" borderId="0" xfId="44" applyNumberFormat="1" applyFont="1" applyFill="1" applyAlignment="1">
      <alignment/>
    </xf>
    <xf numFmtId="166" fontId="21" fillId="33" borderId="0" xfId="44" applyNumberFormat="1" applyFont="1" applyFill="1" applyAlignment="1">
      <alignment/>
    </xf>
    <xf numFmtId="10" fontId="0" fillId="0" borderId="0" xfId="61" applyNumberFormat="1" applyFont="1" applyFill="1" applyBorder="1" applyAlignment="1" applyProtection="1">
      <alignment horizontal="right"/>
      <protection locked="0"/>
    </xf>
    <xf numFmtId="181" fontId="0" fillId="0" borderId="0" xfId="0" applyNumberFormat="1" applyFill="1" applyBorder="1" applyAlignment="1" applyProtection="1">
      <alignment/>
      <protection/>
    </xf>
    <xf numFmtId="9" fontId="0" fillId="0" borderId="0" xfId="61" applyFont="1" applyFill="1" applyBorder="1" applyAlignment="1" applyProtection="1">
      <alignment horizontal="center"/>
      <protection locked="0"/>
    </xf>
    <xf numFmtId="0" fontId="0" fillId="0" borderId="0" xfId="58">
      <alignment/>
      <protection/>
    </xf>
    <xf numFmtId="168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44" fontId="1" fillId="0" borderId="18" xfId="0" applyNumberFormat="1" applyFont="1" applyBorder="1" applyAlignment="1" applyProtection="1">
      <alignment horizontal="center"/>
      <protection/>
    </xf>
    <xf numFmtId="176" fontId="0" fillId="33" borderId="19" xfId="44" applyNumberFormat="1" applyFont="1" applyFill="1" applyBorder="1" applyAlignment="1" applyProtection="1">
      <alignment/>
      <protection locked="0"/>
    </xf>
    <xf numFmtId="176" fontId="0" fillId="33" borderId="12" xfId="44" applyNumberFormat="1" applyFont="1" applyFill="1" applyBorder="1" applyAlignment="1" applyProtection="1">
      <alignment/>
      <protection locked="0"/>
    </xf>
    <xf numFmtId="181" fontId="0" fillId="33" borderId="19" xfId="44" applyNumberFormat="1" applyFont="1" applyFill="1" applyBorder="1" applyAlignment="1" applyProtection="1">
      <alignment/>
      <protection locked="0"/>
    </xf>
    <xf numFmtId="181" fontId="0" fillId="33" borderId="12" xfId="44" applyNumberFormat="1" applyFont="1" applyFill="1" applyBorder="1" applyAlignment="1" applyProtection="1">
      <alignment/>
      <protection locked="0"/>
    </xf>
    <xf numFmtId="181" fontId="0" fillId="33" borderId="0" xfId="44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0" fillId="33" borderId="0" xfId="0" applyNumberFormat="1" applyFill="1" applyAlignment="1" applyProtection="1">
      <alignment/>
      <protection/>
    </xf>
    <xf numFmtId="176" fontId="0" fillId="33" borderId="0" xfId="44" applyNumberFormat="1" applyFont="1" applyFill="1" applyAlignment="1" applyProtection="1">
      <alignment/>
      <protection locked="0"/>
    </xf>
    <xf numFmtId="176" fontId="0" fillId="0" borderId="0" xfId="44" applyNumberFormat="1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7" fontId="0" fillId="33" borderId="0" xfId="44" applyNumberFormat="1" applyFont="1" applyFill="1" applyAlignment="1" applyProtection="1">
      <alignment/>
      <protection locked="0"/>
    </xf>
    <xf numFmtId="7" fontId="0" fillId="0" borderId="0" xfId="44" applyNumberFormat="1" applyFont="1" applyAlignment="1" applyProtection="1">
      <alignment/>
      <protection/>
    </xf>
    <xf numFmtId="7" fontId="1" fillId="0" borderId="0" xfId="44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1" fillId="0" borderId="0" xfId="0" applyNumberFormat="1" applyFont="1" applyFill="1" applyAlignment="1">
      <alignment/>
    </xf>
    <xf numFmtId="0" fontId="1" fillId="0" borderId="36" xfId="0" applyFont="1" applyFill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4" fontId="1" fillId="0" borderId="0" xfId="44" applyFont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0" fontId="13" fillId="0" borderId="0" xfId="61" applyNumberFormat="1" applyFont="1" applyBorder="1" applyAlignment="1" applyProtection="1">
      <alignment/>
      <protection/>
    </xf>
    <xf numFmtId="186" fontId="0" fillId="0" borderId="0" xfId="44" applyNumberFormat="1" applyFont="1" applyFill="1" applyBorder="1" applyAlignment="1" applyProtection="1">
      <alignment/>
      <protection/>
    </xf>
    <xf numFmtId="186" fontId="1" fillId="0" borderId="0" xfId="44" applyNumberFormat="1" applyFont="1" applyFill="1" applyBorder="1" applyAlignment="1" applyProtection="1">
      <alignment/>
      <protection/>
    </xf>
    <xf numFmtId="168" fontId="1" fillId="0" borderId="0" xfId="44" applyNumberFormat="1" applyFont="1" applyBorder="1" applyAlignment="1" applyProtection="1">
      <alignment/>
      <protection/>
    </xf>
    <xf numFmtId="10" fontId="1" fillId="0" borderId="0" xfId="61" applyNumberFormat="1" applyFont="1" applyBorder="1" applyAlignment="1" applyProtection="1">
      <alignment/>
      <protection/>
    </xf>
    <xf numFmtId="188" fontId="1" fillId="0" borderId="0" xfId="42" applyNumberFormat="1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9" fontId="0" fillId="0" borderId="0" xfId="61" applyFont="1" applyFill="1" applyBorder="1" applyAlignment="1" applyProtection="1">
      <alignment/>
      <protection/>
    </xf>
    <xf numFmtId="181" fontId="0" fillId="0" borderId="0" xfId="61" applyNumberFormat="1" applyFont="1" applyFill="1" applyBorder="1" applyAlignment="1" applyProtection="1">
      <alignment/>
      <protection/>
    </xf>
    <xf numFmtId="181" fontId="1" fillId="0" borderId="0" xfId="61" applyNumberFormat="1" applyFont="1" applyFill="1" applyBorder="1" applyAlignment="1" applyProtection="1">
      <alignment/>
      <protection/>
    </xf>
    <xf numFmtId="181" fontId="0" fillId="0" borderId="0" xfId="61" applyNumberFormat="1" applyFont="1" applyFill="1" applyBorder="1" applyAlignment="1" applyProtection="1">
      <alignment/>
      <protection/>
    </xf>
    <xf numFmtId="8" fontId="0" fillId="0" borderId="0" xfId="44" applyNumberFormat="1" applyFont="1" applyBorder="1" applyAlignment="1" applyProtection="1">
      <alignment/>
      <protection/>
    </xf>
    <xf numFmtId="5" fontId="0" fillId="0" borderId="0" xfId="44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5" fontId="1" fillId="0" borderId="0" xfId="44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5" fontId="0" fillId="0" borderId="0" xfId="44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44" applyNumberFormat="1" applyFont="1" applyBorder="1" applyAlignment="1" applyProtection="1">
      <alignment/>
      <protection/>
    </xf>
    <xf numFmtId="167" fontId="0" fillId="0" borderId="0" xfId="61" applyNumberFormat="1" applyFont="1" applyFill="1" applyBorder="1" applyAlignment="1" applyProtection="1">
      <alignment/>
      <protection/>
    </xf>
    <xf numFmtId="167" fontId="1" fillId="0" borderId="0" xfId="61" applyNumberFormat="1" applyFont="1" applyFill="1" applyBorder="1" applyAlignment="1" applyProtection="1">
      <alignment horizontal="right"/>
      <protection/>
    </xf>
    <xf numFmtId="165" fontId="0" fillId="0" borderId="0" xfId="44" applyNumberFormat="1" applyFont="1" applyBorder="1" applyAlignment="1" applyProtection="1">
      <alignment/>
      <protection/>
    </xf>
    <xf numFmtId="183" fontId="0" fillId="0" borderId="0" xfId="44" applyNumberFormat="1" applyFont="1" applyFill="1" applyBorder="1" applyAlignment="1" applyProtection="1">
      <alignment/>
      <protection/>
    </xf>
    <xf numFmtId="8" fontId="0" fillId="0" borderId="0" xfId="44" applyNumberFormat="1" applyFont="1" applyFill="1" applyBorder="1" applyAlignment="1" applyProtection="1">
      <alignment/>
      <protection/>
    </xf>
    <xf numFmtId="8" fontId="1" fillId="0" borderId="0" xfId="44" applyNumberFormat="1" applyFont="1" applyFill="1" applyBorder="1" applyAlignment="1" applyProtection="1">
      <alignment/>
      <protection/>
    </xf>
    <xf numFmtId="8" fontId="0" fillId="0" borderId="0" xfId="44" applyNumberFormat="1" applyFont="1" applyFill="1" applyBorder="1" applyAlignment="1" applyProtection="1">
      <alignment/>
      <protection/>
    </xf>
    <xf numFmtId="181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 applyProtection="1">
      <alignment/>
      <protection/>
    </xf>
    <xf numFmtId="6" fontId="0" fillId="0" borderId="0" xfId="44" applyNumberFormat="1" applyFont="1" applyFill="1" applyBorder="1" applyAlignment="1" applyProtection="1">
      <alignment/>
      <protection locked="0"/>
    </xf>
    <xf numFmtId="9" fontId="0" fillId="0" borderId="0" xfId="61" applyFont="1" applyBorder="1" applyAlignment="1" applyProtection="1">
      <alignment/>
      <protection/>
    </xf>
    <xf numFmtId="6" fontId="0" fillId="0" borderId="0" xfId="44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6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9" fontId="0" fillId="0" borderId="0" xfId="0" applyNumberFormat="1" applyFill="1" applyBorder="1" applyAlignment="1" applyProtection="1" quotePrefix="1">
      <alignment horizontal="right"/>
      <protection/>
    </xf>
    <xf numFmtId="9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4" fontId="0" fillId="0" borderId="0" xfId="44" applyFont="1" applyFill="1" applyBorder="1" applyAlignment="1" applyProtection="1" quotePrefix="1">
      <alignment horizontal="center"/>
      <protection/>
    </xf>
    <xf numFmtId="7" fontId="0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10" fontId="0" fillId="0" borderId="0" xfId="61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168" fontId="0" fillId="0" borderId="19" xfId="44" applyNumberFormat="1" applyFont="1" applyFill="1" applyBorder="1" applyAlignment="1" applyProtection="1">
      <alignment/>
      <protection/>
    </xf>
    <xf numFmtId="171" fontId="10" fillId="0" borderId="0" xfId="0" applyNumberFormat="1" applyFont="1" applyAlignment="1" quotePrefix="1">
      <alignment/>
    </xf>
    <xf numFmtId="168" fontId="13" fillId="0" borderId="0" xfId="0" applyNumberFormat="1" applyFont="1" applyAlignment="1">
      <alignment/>
    </xf>
    <xf numFmtId="167" fontId="0" fillId="33" borderId="19" xfId="0" applyNumberFormat="1" applyFill="1" applyBorder="1" applyAlignment="1" applyProtection="1">
      <alignment/>
      <protection locked="0"/>
    </xf>
    <xf numFmtId="186" fontId="0" fillId="0" borderId="0" xfId="44" applyNumberFormat="1" applyFont="1" applyBorder="1" applyAlignment="1" applyProtection="1">
      <alignment/>
      <protection/>
    </xf>
    <xf numFmtId="44" fontId="1" fillId="0" borderId="0" xfId="44" applyFont="1" applyFill="1" applyBorder="1" applyAlignment="1" applyProtection="1">
      <alignment/>
      <protection locked="0"/>
    </xf>
    <xf numFmtId="44" fontId="0" fillId="0" borderId="0" xfId="61" applyNumberFormat="1" applyFont="1" applyFill="1" applyBorder="1" applyAlignment="1" applyProtection="1">
      <alignment/>
      <protection locked="0"/>
    </xf>
    <xf numFmtId="44" fontId="0" fillId="0" borderId="0" xfId="61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6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68" fontId="0" fillId="33" borderId="0" xfId="44" applyNumberFormat="1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1" fillId="0" borderId="0" xfId="0" applyFont="1" applyAlignment="1">
      <alignment horizontal="left"/>
    </xf>
    <xf numFmtId="0" fontId="28" fillId="0" borderId="0" xfId="0" applyFont="1" applyAlignment="1">
      <alignment/>
    </xf>
    <xf numFmtId="198" fontId="0" fillId="0" borderId="0" xfId="0" applyNumberFormat="1" applyFont="1" applyAlignment="1">
      <alignment/>
    </xf>
    <xf numFmtId="1" fontId="0" fillId="33" borderId="40" xfId="0" applyNumberFormat="1" applyFill="1" applyBorder="1" applyAlignment="1" applyProtection="1">
      <alignment horizontal="right"/>
      <protection locked="0"/>
    </xf>
    <xf numFmtId="37" fontId="0" fillId="33" borderId="40" xfId="42" applyNumberFormat="1" applyFont="1" applyFill="1" applyBorder="1" applyAlignment="1" applyProtection="1">
      <alignment horizontal="right"/>
      <protection locked="0"/>
    </xf>
    <xf numFmtId="0" fontId="0" fillId="0" borderId="4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81" fontId="0" fillId="0" borderId="16" xfId="0" applyNumberFormat="1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 locked="0"/>
    </xf>
    <xf numFmtId="171" fontId="0" fillId="33" borderId="40" xfId="42" applyNumberFormat="1" applyFont="1" applyFill="1" applyBorder="1" applyAlignment="1" applyProtection="1">
      <alignment horizontal="center"/>
      <protection locked="0"/>
    </xf>
    <xf numFmtId="9" fontId="0" fillId="33" borderId="16" xfId="61" applyFont="1" applyFill="1" applyBorder="1" applyAlignment="1" applyProtection="1">
      <alignment/>
      <protection locked="0"/>
    </xf>
    <xf numFmtId="9" fontId="0" fillId="33" borderId="19" xfId="61" applyFon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171" fontId="0" fillId="0" borderId="35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9" fontId="0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2" fillId="0" borderId="0" xfId="53" applyFont="1" applyFill="1" applyBorder="1" applyAlignment="1" applyProtection="1">
      <alignment horizontal="left"/>
      <protection/>
    </xf>
    <xf numFmtId="0" fontId="0" fillId="36" borderId="42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71" fontId="0" fillId="0" borderId="0" xfId="42" applyNumberFormat="1" applyFont="1" applyAlignment="1" quotePrefix="1">
      <alignment/>
    </xf>
    <xf numFmtId="171" fontId="0" fillId="0" borderId="0" xfId="42" applyNumberFormat="1" applyFont="1" applyFill="1" applyAlignment="1">
      <alignment/>
    </xf>
    <xf numFmtId="38" fontId="0" fillId="0" borderId="0" xfId="0" applyNumberFormat="1" applyFont="1" applyAlignment="1">
      <alignment/>
    </xf>
    <xf numFmtId="9" fontId="0" fillId="0" borderId="0" xfId="61" applyFont="1" applyAlignment="1">
      <alignment/>
    </xf>
    <xf numFmtId="171" fontId="0" fillId="0" borderId="0" xfId="42" applyNumberFormat="1" applyFont="1" applyAlignment="1">
      <alignment/>
    </xf>
    <xf numFmtId="3" fontId="0" fillId="0" borderId="0" xfId="61" applyNumberFormat="1" applyFont="1" applyAlignment="1">
      <alignment/>
    </xf>
    <xf numFmtId="44" fontId="0" fillId="0" borderId="0" xfId="44" applyFont="1" applyAlignment="1">
      <alignment/>
    </xf>
    <xf numFmtId="171" fontId="0" fillId="0" borderId="0" xfId="0" applyNumberFormat="1" applyFont="1" applyAlignment="1">
      <alignment/>
    </xf>
    <xf numFmtId="8" fontId="0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8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6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44" applyNumberFormat="1" applyFont="1" applyBorder="1" applyAlignment="1">
      <alignment/>
    </xf>
    <xf numFmtId="37" fontId="0" fillId="0" borderId="0" xfId="0" applyNumberFormat="1" applyFont="1" applyAlignment="1">
      <alignment/>
    </xf>
    <xf numFmtId="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181" fontId="0" fillId="0" borderId="42" xfId="0" applyNumberFormat="1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Font="1" applyAlignment="1">
      <alignment/>
    </xf>
    <xf numFmtId="0" fontId="28" fillId="0" borderId="0" xfId="0" applyFont="1" applyAlignment="1">
      <alignment/>
    </xf>
    <xf numFmtId="166" fontId="0" fillId="0" borderId="0" xfId="44" applyNumberFormat="1" applyFont="1" applyAlignment="1" applyProtection="1">
      <alignment/>
      <protection/>
    </xf>
    <xf numFmtId="8" fontId="0" fillId="0" borderId="0" xfId="0" applyNumberFormat="1" applyFont="1" applyAlignment="1">
      <alignment/>
    </xf>
    <xf numFmtId="176" fontId="0" fillId="0" borderId="0" xfId="44" applyNumberFormat="1" applyFont="1" applyAlignment="1">
      <alignment/>
    </xf>
    <xf numFmtId="9" fontId="1" fillId="0" borderId="45" xfId="61" applyFont="1" applyBorder="1" applyAlignment="1" applyProtection="1">
      <alignment horizontal="center"/>
      <protection/>
    </xf>
    <xf numFmtId="176" fontId="0" fillId="0" borderId="0" xfId="0" applyNumberFormat="1" applyFont="1" applyFill="1" applyAlignment="1">
      <alignment/>
    </xf>
    <xf numFmtId="7" fontId="0" fillId="0" borderId="0" xfId="44" applyNumberFormat="1" applyFont="1" applyAlignment="1">
      <alignment/>
    </xf>
    <xf numFmtId="42" fontId="0" fillId="0" borderId="0" xfId="0" applyNumberFormat="1" applyFill="1" applyAlignment="1">
      <alignment/>
    </xf>
    <xf numFmtId="42" fontId="0" fillId="0" borderId="0" xfId="0" applyNumberFormat="1" applyFont="1" applyFill="1" applyAlignment="1">
      <alignment/>
    </xf>
    <xf numFmtId="42" fontId="0" fillId="0" borderId="0" xfId="61" applyNumberFormat="1" applyFont="1" applyAlignment="1">
      <alignment/>
    </xf>
    <xf numFmtId="167" fontId="0" fillId="0" borderId="0" xfId="61" applyNumberFormat="1" applyFont="1" applyAlignment="1">
      <alignment/>
    </xf>
    <xf numFmtId="42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6" fontId="1" fillId="0" borderId="0" xfId="44" applyNumberFormat="1" applyFont="1" applyAlignment="1">
      <alignment/>
    </xf>
    <xf numFmtId="167" fontId="1" fillId="0" borderId="0" xfId="61" applyNumberFormat="1" applyFont="1" applyAlignment="1">
      <alignment/>
    </xf>
    <xf numFmtId="9" fontId="1" fillId="0" borderId="0" xfId="61" applyFont="1" applyAlignment="1">
      <alignment/>
    </xf>
    <xf numFmtId="42" fontId="1" fillId="0" borderId="0" xfId="61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0" xfId="44" applyNumberFormat="1" applyFont="1" applyAlignment="1">
      <alignment/>
    </xf>
    <xf numFmtId="4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0" fillId="0" borderId="12" xfId="44" applyNumberFormat="1" applyFont="1" applyFill="1" applyBorder="1" applyAlignment="1" applyProtection="1">
      <alignment/>
      <protection/>
    </xf>
    <xf numFmtId="177" fontId="0" fillId="0" borderId="19" xfId="44" applyNumberFormat="1" applyFont="1" applyFill="1" applyBorder="1" applyAlignment="1" applyProtection="1">
      <alignment/>
      <protection/>
    </xf>
    <xf numFmtId="10" fontId="0" fillId="0" borderId="0" xfId="42" applyNumberFormat="1" applyFont="1" applyAlignment="1">
      <alignment/>
    </xf>
    <xf numFmtId="44" fontId="0" fillId="0" borderId="0" xfId="44" applyNumberFormat="1" applyFont="1" applyAlignment="1">
      <alignment/>
    </xf>
    <xf numFmtId="1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9" fontId="0" fillId="0" borderId="0" xfId="61" applyFont="1" applyAlignment="1">
      <alignment/>
    </xf>
    <xf numFmtId="200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7" fontId="0" fillId="33" borderId="30" xfId="44" applyNumberFormat="1" applyFont="1" applyFill="1" applyBorder="1" applyAlignment="1" applyProtection="1">
      <alignment/>
      <protection locked="0"/>
    </xf>
    <xf numFmtId="186" fontId="0" fillId="33" borderId="46" xfId="44" applyNumberFormat="1" applyFont="1" applyFill="1" applyBorder="1" applyAlignment="1" applyProtection="1">
      <alignment/>
      <protection locked="0"/>
    </xf>
    <xf numFmtId="181" fontId="0" fillId="33" borderId="30" xfId="44" applyNumberFormat="1" applyFont="1" applyFill="1" applyBorder="1" applyAlignment="1" applyProtection="1">
      <alignment/>
      <protection locked="0"/>
    </xf>
    <xf numFmtId="181" fontId="0" fillId="33" borderId="47" xfId="44" applyNumberFormat="1" applyFont="1" applyFill="1" applyBorder="1" applyAlignment="1" applyProtection="1">
      <alignment/>
      <protection locked="0"/>
    </xf>
    <xf numFmtId="176" fontId="0" fillId="33" borderId="12" xfId="0" applyNumberFormat="1" applyFill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9" fontId="0" fillId="33" borderId="12" xfId="61" applyFont="1" applyFill="1" applyBorder="1" applyAlignment="1" applyProtection="1">
      <alignment/>
      <protection locked="0"/>
    </xf>
    <xf numFmtId="9" fontId="0" fillId="33" borderId="35" xfId="61" applyFont="1" applyFill="1" applyBorder="1" applyAlignment="1" applyProtection="1">
      <alignment/>
      <protection locked="0"/>
    </xf>
    <xf numFmtId="9" fontId="0" fillId="33" borderId="35" xfId="61" applyFont="1" applyFill="1" applyBorder="1" applyAlignment="1" applyProtection="1">
      <alignment/>
      <protection locked="0"/>
    </xf>
    <xf numFmtId="9" fontId="0" fillId="33" borderId="48" xfId="61" applyFont="1" applyFill="1" applyBorder="1" applyAlignment="1" applyProtection="1">
      <alignment/>
      <protection locked="0"/>
    </xf>
    <xf numFmtId="9" fontId="0" fillId="33" borderId="48" xfId="61" applyFont="1" applyFill="1" applyBorder="1" applyAlignment="1" applyProtection="1">
      <alignment/>
      <protection locked="0"/>
    </xf>
    <xf numFmtId="9" fontId="0" fillId="33" borderId="36" xfId="61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9" fontId="0" fillId="33" borderId="49" xfId="6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2" xfId="44" applyNumberFormat="1" applyFont="1" applyFill="1" applyBorder="1" applyAlignment="1" applyProtection="1">
      <alignment/>
      <protection locked="0"/>
    </xf>
    <xf numFmtId="44" fontId="0" fillId="33" borderId="50" xfId="44" applyFont="1" applyFill="1" applyBorder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44" fontId="0" fillId="33" borderId="51" xfId="44" applyFont="1" applyFill="1" applyBorder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67" fontId="0" fillId="33" borderId="16" xfId="0" applyNumberFormat="1" applyFill="1" applyBorder="1" applyAlignment="1" applyProtection="1">
      <alignment/>
      <protection locked="0"/>
    </xf>
    <xf numFmtId="167" fontId="0" fillId="33" borderId="19" xfId="61" applyNumberFormat="1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/>
    </xf>
    <xf numFmtId="38" fontId="0" fillId="0" borderId="0" xfId="0" applyNumberFormat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38" fontId="1" fillId="0" borderId="41" xfId="0" applyNumberFormat="1" applyFont="1" applyBorder="1" applyAlignment="1" applyProtection="1">
      <alignment/>
      <protection/>
    </xf>
    <xf numFmtId="38" fontId="1" fillId="0" borderId="36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71" fontId="0" fillId="0" borderId="12" xfId="42" applyNumberFormat="1" applyFont="1" applyBorder="1" applyAlignment="1" applyProtection="1">
      <alignment/>
      <protection/>
    </xf>
    <xf numFmtId="171" fontId="0" fillId="0" borderId="19" xfId="42" applyNumberFormat="1" applyFont="1" applyBorder="1" applyAlignment="1" applyProtection="1">
      <alignment/>
      <protection/>
    </xf>
    <xf numFmtId="181" fontId="0" fillId="0" borderId="12" xfId="44" applyNumberFormat="1" applyFont="1" applyFill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9" fontId="0" fillId="0" borderId="23" xfId="61" applyFont="1" applyFill="1" applyBorder="1" applyAlignment="1" applyProtection="1">
      <alignment/>
      <protection/>
    </xf>
    <xf numFmtId="9" fontId="0" fillId="0" borderId="23" xfId="61" applyFont="1" applyBorder="1" applyAlignment="1" applyProtection="1">
      <alignment/>
      <protection/>
    </xf>
    <xf numFmtId="43" fontId="0" fillId="0" borderId="23" xfId="42" applyNumberFormat="1" applyFont="1" applyBorder="1" applyAlignment="1" applyProtection="1">
      <alignment/>
      <protection/>
    </xf>
    <xf numFmtId="171" fontId="0" fillId="0" borderId="23" xfId="42" applyNumberFormat="1" applyFon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43" fontId="0" fillId="0" borderId="53" xfId="0" applyNumberFormat="1" applyBorder="1" applyAlignment="1" applyProtection="1">
      <alignment/>
      <protection/>
    </xf>
    <xf numFmtId="9" fontId="0" fillId="0" borderId="17" xfId="0" applyNumberFormat="1" applyFill="1" applyBorder="1" applyAlignment="1" applyProtection="1">
      <alignment/>
      <protection/>
    </xf>
    <xf numFmtId="9" fontId="0" fillId="0" borderId="18" xfId="61" applyFont="1" applyFill="1" applyBorder="1" applyAlignment="1" applyProtection="1">
      <alignment/>
      <protection/>
    </xf>
    <xf numFmtId="9" fontId="0" fillId="0" borderId="17" xfId="61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" fontId="0" fillId="0" borderId="23" xfId="42" applyNumberFormat="1" applyFont="1" applyBorder="1" applyAlignment="1" applyProtection="1">
      <alignment/>
      <protection/>
    </xf>
    <xf numFmtId="43" fontId="0" fillId="0" borderId="54" xfId="0" applyNumberFormat="1" applyBorder="1" applyAlignment="1" applyProtection="1">
      <alignment/>
      <protection/>
    </xf>
    <xf numFmtId="181" fontId="0" fillId="0" borderId="14" xfId="44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29" fillId="0" borderId="35" xfId="0" applyNumberFormat="1" applyFon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3" fontId="0" fillId="0" borderId="45" xfId="0" applyNumberFormat="1" applyBorder="1" applyAlignment="1" applyProtection="1">
      <alignment/>
      <protection/>
    </xf>
    <xf numFmtId="9" fontId="0" fillId="0" borderId="12" xfId="61" applyFont="1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9" fontId="0" fillId="0" borderId="50" xfId="61" applyFont="1" applyBorder="1" applyAlignment="1" applyProtection="1">
      <alignment/>
      <protection/>
    </xf>
    <xf numFmtId="9" fontId="0" fillId="0" borderId="50" xfId="61" applyFont="1" applyFill="1" applyBorder="1" applyAlignment="1" applyProtection="1">
      <alignment/>
      <protection/>
    </xf>
    <xf numFmtId="43" fontId="0" fillId="0" borderId="50" xfId="42" applyNumberFormat="1" applyFont="1" applyBorder="1" applyAlignment="1" applyProtection="1">
      <alignment/>
      <protection/>
    </xf>
    <xf numFmtId="171" fontId="0" fillId="0" borderId="50" xfId="42" applyNumberFormat="1" applyFont="1" applyBorder="1" applyAlignment="1" applyProtection="1">
      <alignment/>
      <protection/>
    </xf>
    <xf numFmtId="2" fontId="0" fillId="0" borderId="50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44" fontId="0" fillId="0" borderId="0" xfId="0" applyNumberFormat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8" fontId="0" fillId="0" borderId="0" xfId="44" applyNumberFormat="1" applyFont="1" applyAlignment="1" applyProtection="1">
      <alignment/>
      <protection locked="0"/>
    </xf>
    <xf numFmtId="1" fontId="0" fillId="33" borderId="20" xfId="61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3" fontId="12" fillId="0" borderId="0" xfId="42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20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1" fillId="0" borderId="10" xfId="44" applyFont="1" applyBorder="1" applyAlignment="1" applyProtection="1">
      <alignment/>
      <protection/>
    </xf>
    <xf numFmtId="7" fontId="0" fillId="0" borderId="0" xfId="0" applyNumberFormat="1" applyFont="1" applyAlignment="1" applyProtection="1">
      <alignment/>
      <protection/>
    </xf>
    <xf numFmtId="172" fontId="0" fillId="0" borderId="20" xfId="0" applyNumberFormat="1" applyFill="1" applyBorder="1" applyAlignment="1" applyProtection="1">
      <alignment/>
      <protection/>
    </xf>
    <xf numFmtId="9" fontId="0" fillId="0" borderId="0" xfId="61" applyFont="1" applyFill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4" fontId="0" fillId="0" borderId="0" xfId="44" applyFont="1" applyAlignment="1" applyProtection="1" quotePrefix="1">
      <alignment/>
      <protection/>
    </xf>
    <xf numFmtId="44" fontId="0" fillId="0" borderId="0" xfId="44" applyFont="1" applyFill="1" applyAlignment="1" applyProtection="1">
      <alignment/>
      <protection/>
    </xf>
    <xf numFmtId="0" fontId="0" fillId="0" borderId="0" xfId="58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0" fillId="0" borderId="0" xfId="58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66" fontId="0" fillId="0" borderId="0" xfId="0" applyNumberFormat="1" applyFill="1" applyAlignment="1" applyProtection="1">
      <alignment/>
      <protection/>
    </xf>
    <xf numFmtId="1" fontId="25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58" applyNumberForma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0" fontId="0" fillId="0" borderId="0" xfId="58" applyAlignment="1" applyProtection="1">
      <alignment wrapText="1"/>
      <protection/>
    </xf>
    <xf numFmtId="2" fontId="0" fillId="0" borderId="0" xfId="58" applyNumberFormat="1" applyProtection="1">
      <alignment/>
      <protection/>
    </xf>
    <xf numFmtId="0" fontId="13" fillId="0" borderId="0" xfId="0" applyFont="1" applyAlignment="1" applyProtection="1">
      <alignment/>
      <protection locked="0"/>
    </xf>
    <xf numFmtId="168" fontId="13" fillId="0" borderId="0" xfId="44" applyNumberFormat="1" applyFont="1" applyAlignment="1" applyProtection="1">
      <alignment/>
      <protection locked="0"/>
    </xf>
    <xf numFmtId="9" fontId="13" fillId="0" borderId="0" xfId="6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4" fontId="13" fillId="0" borderId="0" xfId="44" applyFont="1" applyAlignment="1" applyProtection="1">
      <alignment/>
      <protection locked="0"/>
    </xf>
    <xf numFmtId="9" fontId="0" fillId="33" borderId="10" xfId="61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9" fontId="0" fillId="0" borderId="20" xfId="61" applyFont="1" applyFill="1" applyBorder="1" applyAlignment="1" applyProtection="1">
      <alignment/>
      <protection/>
    </xf>
    <xf numFmtId="9" fontId="0" fillId="0" borderId="10" xfId="6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B October 2005" xfId="57"/>
    <cellStyle name="Normal_Biodiesel Equipli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3506"/>
  <sheetViews>
    <sheetView tabSelected="1" zoomScalePageLayoutView="0" workbookViewId="0" topLeftCell="D1">
      <selection activeCell="D1" sqref="D1"/>
    </sheetView>
  </sheetViews>
  <sheetFormatPr defaultColWidth="9.140625" defaultRowHeight="12.75"/>
  <cols>
    <col min="1" max="1" width="1.8515625" style="529" customWidth="1"/>
    <col min="2" max="2" width="46.140625" style="19" customWidth="1"/>
    <col min="3" max="3" width="14.7109375" style="529" bestFit="1" customWidth="1"/>
    <col min="4" max="4" width="3.28125" style="34" customWidth="1"/>
    <col min="5" max="5" width="28.7109375" style="34" customWidth="1"/>
    <col min="6" max="6" width="15.8515625" style="530" bestFit="1" customWidth="1"/>
    <col min="7" max="7" width="2.8515625" style="19" customWidth="1"/>
    <col min="8" max="8" width="27.28125" style="19" customWidth="1"/>
    <col min="9" max="9" width="14.140625" style="532" bestFit="1" customWidth="1"/>
    <col min="10" max="10" width="19.421875" style="529" bestFit="1" customWidth="1"/>
    <col min="11" max="11" width="15.7109375" style="529" customWidth="1"/>
    <col min="12" max="12" width="21.28125" style="529" bestFit="1" customWidth="1"/>
    <col min="13" max="13" width="12.7109375" style="532" customWidth="1"/>
    <col min="14" max="14" width="23.28125" style="19" bestFit="1" customWidth="1"/>
    <col min="15" max="15" width="11.7109375" style="529" bestFit="1" customWidth="1"/>
    <col min="16" max="16" width="9.140625" style="529" customWidth="1"/>
    <col min="17" max="17" width="9.140625" style="532" customWidth="1"/>
    <col min="18" max="18" width="19.57421875" style="529" bestFit="1" customWidth="1"/>
    <col min="19" max="16384" width="9.140625" style="529" customWidth="1"/>
  </cols>
  <sheetData>
    <row r="1" spans="3:17" ht="15.75" customHeight="1" thickBot="1">
      <c r="C1" s="19"/>
      <c r="F1" s="34"/>
      <c r="I1" s="23"/>
      <c r="J1" s="19"/>
      <c r="K1" s="19"/>
      <c r="L1" s="19"/>
      <c r="M1" s="23"/>
      <c r="Q1" s="531"/>
    </row>
    <row r="2" spans="2:17" ht="14.25" thickBot="1" thickTop="1">
      <c r="B2" s="36" t="s">
        <v>427</v>
      </c>
      <c r="C2" s="37"/>
      <c r="D2" s="38"/>
      <c r="E2" s="48" t="s">
        <v>449</v>
      </c>
      <c r="F2" s="53"/>
      <c r="G2" s="23"/>
      <c r="H2" s="36" t="s">
        <v>579</v>
      </c>
      <c r="I2" s="37"/>
      <c r="J2" s="36" t="s">
        <v>578</v>
      </c>
      <c r="K2" s="39"/>
      <c r="L2" s="365" t="s">
        <v>126</v>
      </c>
      <c r="M2" s="366"/>
      <c r="Q2" s="531"/>
    </row>
    <row r="3" spans="2:17" ht="12.75">
      <c r="B3" s="40" t="s">
        <v>428</v>
      </c>
      <c r="C3" s="30"/>
      <c r="D3" s="38"/>
      <c r="E3" s="41" t="s">
        <v>435</v>
      </c>
      <c r="F3" s="124">
        <v>0.11</v>
      </c>
      <c r="G3" s="23"/>
      <c r="H3" s="184"/>
      <c r="I3" s="185" t="s">
        <v>442</v>
      </c>
      <c r="J3" s="184" t="s">
        <v>549</v>
      </c>
      <c r="K3" s="244" t="s">
        <v>580</v>
      </c>
      <c r="L3" s="245" t="s">
        <v>647</v>
      </c>
      <c r="M3" s="246" t="s">
        <v>442</v>
      </c>
      <c r="Q3" s="531"/>
    </row>
    <row r="4" spans="2:17" ht="12.75">
      <c r="B4" s="41" t="s">
        <v>314</v>
      </c>
      <c r="C4" s="120">
        <v>0.5</v>
      </c>
      <c r="D4" s="42"/>
      <c r="E4" s="41" t="s">
        <v>639</v>
      </c>
      <c r="F4" s="125">
        <v>2000</v>
      </c>
      <c r="H4" s="50" t="str">
        <f>I28</f>
        <v>Soybeans</v>
      </c>
      <c r="I4" s="126"/>
      <c r="J4" s="50" t="str">
        <f>I28</f>
        <v>Soybeans</v>
      </c>
      <c r="K4" s="344">
        <v>0.43</v>
      </c>
      <c r="L4" s="35" t="s">
        <v>127</v>
      </c>
      <c r="M4" s="533">
        <v>2.75</v>
      </c>
      <c r="P4" s="531"/>
      <c r="Q4" s="529"/>
    </row>
    <row r="5" spans="2:17" ht="12.75">
      <c r="B5" s="41" t="s">
        <v>339</v>
      </c>
      <c r="C5" s="221">
        <v>0.075</v>
      </c>
      <c r="D5" s="43"/>
      <c r="E5" s="41" t="s">
        <v>436</v>
      </c>
      <c r="F5" s="124">
        <v>15</v>
      </c>
      <c r="H5" s="50" t="s">
        <v>550</v>
      </c>
      <c r="I5" s="126" t="s">
        <v>789</v>
      </c>
      <c r="J5" s="50" t="str">
        <f>J28</f>
        <v>Canola</v>
      </c>
      <c r="K5" s="344">
        <v>0.56</v>
      </c>
      <c r="L5" s="247" t="s">
        <v>837</v>
      </c>
      <c r="M5" s="533">
        <v>350</v>
      </c>
      <c r="P5" s="531"/>
      <c r="Q5" s="529"/>
    </row>
    <row r="6" spans="2:17" ht="13.5" thickBot="1">
      <c r="B6" s="41" t="s">
        <v>338</v>
      </c>
      <c r="C6" s="122">
        <v>10</v>
      </c>
      <c r="D6" s="38"/>
      <c r="E6" s="41" t="s">
        <v>656</v>
      </c>
      <c r="F6" s="125">
        <v>2</v>
      </c>
      <c r="H6" s="50" t="s">
        <v>557</v>
      </c>
      <c r="I6" s="183">
        <v>60</v>
      </c>
      <c r="J6" s="50" t="str">
        <f>K28</f>
        <v>Sunflowers</v>
      </c>
      <c r="K6" s="344">
        <v>0.78</v>
      </c>
      <c r="L6" s="248"/>
      <c r="M6" s="534"/>
      <c r="P6" s="531"/>
      <c r="Q6" s="529"/>
    </row>
    <row r="7" spans="2:17" ht="14.25" thickBot="1" thickTop="1">
      <c r="B7" s="41" t="s">
        <v>694</v>
      </c>
      <c r="C7" s="302">
        <f>C8*0.2</f>
        <v>1046118.4145714287</v>
      </c>
      <c r="D7" s="27"/>
      <c r="E7" s="74" t="s">
        <v>445</v>
      </c>
      <c r="F7" s="75">
        <f>'Expense Projection'!E35</f>
        <v>1006259.8421256742</v>
      </c>
      <c r="H7" s="52" t="s">
        <v>574</v>
      </c>
      <c r="I7" s="340">
        <v>9.24</v>
      </c>
      <c r="J7" s="50" t="s">
        <v>648</v>
      </c>
      <c r="K7" s="535">
        <v>3.43</v>
      </c>
      <c r="L7" s="23"/>
      <c r="M7" s="19"/>
      <c r="P7" s="531"/>
      <c r="Q7" s="529"/>
    </row>
    <row r="8" spans="2:17" ht="13.5" thickBot="1">
      <c r="B8" s="41" t="s">
        <v>313</v>
      </c>
      <c r="C8" s="33">
        <f>Depreciation!D43</f>
        <v>5230592.072857143</v>
      </c>
      <c r="D8" s="27"/>
      <c r="E8" s="77"/>
      <c r="F8" s="201"/>
      <c r="H8" s="50" t="str">
        <f>J28</f>
        <v>Canola</v>
      </c>
      <c r="I8" s="271"/>
      <c r="J8" s="41" t="s">
        <v>653</v>
      </c>
      <c r="K8" s="344">
        <f>0.15/0.8</f>
        <v>0.18749999999999997</v>
      </c>
      <c r="L8" s="589"/>
      <c r="M8" s="19"/>
      <c r="P8" s="531"/>
      <c r="Q8" s="529"/>
    </row>
    <row r="9" spans="2:17" ht="13.5" thickBot="1">
      <c r="B9" s="41" t="s">
        <v>337</v>
      </c>
      <c r="C9" s="33">
        <f>C8*C4</f>
        <v>2615296.0364285717</v>
      </c>
      <c r="D9" s="27"/>
      <c r="F9" s="34"/>
      <c r="H9" s="50" t="s">
        <v>550</v>
      </c>
      <c r="I9" s="243" t="s">
        <v>635</v>
      </c>
      <c r="J9" s="484" t="str">
        <f>J30</f>
        <v>PBSY Cottonseed Oil</v>
      </c>
      <c r="K9" s="536">
        <v>0.53</v>
      </c>
      <c r="L9" s="23"/>
      <c r="M9" s="19"/>
      <c r="Q9" s="529"/>
    </row>
    <row r="10" spans="2:18" ht="13.5" thickTop="1">
      <c r="B10" s="41" t="s">
        <v>341</v>
      </c>
      <c r="C10" s="33">
        <f>F21</f>
        <v>500000</v>
      </c>
      <c r="D10" s="43"/>
      <c r="E10" s="48" t="s">
        <v>450</v>
      </c>
      <c r="F10" s="53"/>
      <c r="H10" s="50" t="s">
        <v>557</v>
      </c>
      <c r="I10" s="126"/>
      <c r="J10" s="485" t="s">
        <v>555</v>
      </c>
      <c r="K10" s="574" t="s">
        <v>581</v>
      </c>
      <c r="L10" s="23"/>
      <c r="M10" s="19"/>
      <c r="Q10" s="531"/>
      <c r="R10" s="531"/>
    </row>
    <row r="11" spans="2:18" ht="13.5" thickBot="1">
      <c r="B11" s="47" t="s">
        <v>348</v>
      </c>
      <c r="C11" s="424">
        <v>0.075</v>
      </c>
      <c r="D11" s="23"/>
      <c r="E11" s="41" t="s">
        <v>415</v>
      </c>
      <c r="F11" s="120">
        <v>0</v>
      </c>
      <c r="H11" s="52" t="s">
        <v>551</v>
      </c>
      <c r="I11" s="342">
        <v>0.1882</v>
      </c>
      <c r="J11" s="50" t="str">
        <f>I28</f>
        <v>Soybeans</v>
      </c>
      <c r="K11" s="341">
        <v>276.43</v>
      </c>
      <c r="L11" s="23"/>
      <c r="M11" s="19"/>
      <c r="Q11" s="531"/>
      <c r="R11" s="531"/>
    </row>
    <row r="12" spans="3:17" ht="13.5" thickBot="1">
      <c r="C12" s="19"/>
      <c r="D12" s="23"/>
      <c r="E12" s="50" t="s">
        <v>453</v>
      </c>
      <c r="F12" s="127">
        <v>0.05</v>
      </c>
      <c r="H12" s="50" t="str">
        <f>K28</f>
        <v>Sunflowers</v>
      </c>
      <c r="I12" s="126"/>
      <c r="J12" s="50" t="str">
        <f>J28</f>
        <v>Canola</v>
      </c>
      <c r="K12" s="537">
        <v>213</v>
      </c>
      <c r="L12" s="19"/>
      <c r="M12" s="31"/>
      <c r="O12" s="531"/>
      <c r="P12" s="531"/>
      <c r="Q12" s="529"/>
    </row>
    <row r="13" spans="2:17" ht="13.5" thickBot="1">
      <c r="B13" s="48" t="s">
        <v>451</v>
      </c>
      <c r="C13" s="49"/>
      <c r="D13" s="157"/>
      <c r="E13" s="50" t="s">
        <v>454</v>
      </c>
      <c r="F13" s="121">
        <v>0.01</v>
      </c>
      <c r="H13" s="50" t="s">
        <v>550</v>
      </c>
      <c r="I13" s="126" t="s">
        <v>635</v>
      </c>
      <c r="J13" s="52" t="str">
        <f>K28</f>
        <v>Sunflowers</v>
      </c>
      <c r="K13" s="537">
        <v>139</v>
      </c>
      <c r="L13" s="19"/>
      <c r="M13" s="19"/>
      <c r="O13" s="531"/>
      <c r="P13" s="531"/>
      <c r="Q13" s="529"/>
    </row>
    <row r="14" spans="2:17" ht="13.5" thickBot="1">
      <c r="B14" s="41" t="s">
        <v>456</v>
      </c>
      <c r="C14" s="120">
        <v>0.005</v>
      </c>
      <c r="D14" s="23"/>
      <c r="E14" s="63" t="s">
        <v>455</v>
      </c>
      <c r="F14" s="200">
        <f>+'Return On Investment'!C8</f>
        <v>0.1</v>
      </c>
      <c r="H14" s="50" t="s">
        <v>557</v>
      </c>
      <c r="I14" s="183"/>
      <c r="J14" s="74" t="s">
        <v>582</v>
      </c>
      <c r="K14" s="443" t="s">
        <v>581</v>
      </c>
      <c r="L14" s="19"/>
      <c r="M14" s="19"/>
      <c r="N14" s="23"/>
      <c r="O14" s="531"/>
      <c r="Q14" s="529"/>
    </row>
    <row r="15" spans="2:17" ht="16.5" thickBot="1">
      <c r="B15" s="47" t="s">
        <v>417</v>
      </c>
      <c r="C15" s="123">
        <v>0</v>
      </c>
      <c r="D15" s="157"/>
      <c r="F15" s="34"/>
      <c r="G15" s="51"/>
      <c r="H15" s="50" t="s">
        <v>551</v>
      </c>
      <c r="I15" s="343">
        <v>0.1988</v>
      </c>
      <c r="J15" s="229" t="s">
        <v>552</v>
      </c>
      <c r="K15" s="341">
        <v>120</v>
      </c>
      <c r="L15" s="19"/>
      <c r="M15" s="19"/>
      <c r="O15" s="531"/>
      <c r="Q15" s="529"/>
    </row>
    <row r="16" spans="2:17" ht="13.5" thickBot="1">
      <c r="B16" s="38"/>
      <c r="C16" s="42"/>
      <c r="D16" s="38"/>
      <c r="E16" s="48" t="s">
        <v>457</v>
      </c>
      <c r="F16" s="37"/>
      <c r="H16" s="487"/>
      <c r="I16" s="486"/>
      <c r="J16" s="337" t="s">
        <v>593</v>
      </c>
      <c r="K16" s="448">
        <v>0.01</v>
      </c>
      <c r="L16" s="19"/>
      <c r="M16" s="23"/>
      <c r="Q16" s="531"/>
    </row>
    <row r="17" spans="2:17" ht="13.5" thickBot="1">
      <c r="B17" s="48" t="s">
        <v>452</v>
      </c>
      <c r="C17" s="53"/>
      <c r="D17" s="42"/>
      <c r="E17" s="41" t="s">
        <v>275</v>
      </c>
      <c r="F17" s="126">
        <v>500000</v>
      </c>
      <c r="H17" s="338"/>
      <c r="I17" s="339" t="s">
        <v>555</v>
      </c>
      <c r="J17" s="233" t="s">
        <v>549</v>
      </c>
      <c r="K17" s="497" t="s">
        <v>591</v>
      </c>
      <c r="L17" s="23"/>
      <c r="M17" s="19"/>
      <c r="P17" s="531"/>
      <c r="Q17" s="529"/>
    </row>
    <row r="18" spans="2:17" ht="13.5" thickBot="1">
      <c r="B18" s="44" t="s">
        <v>358</v>
      </c>
      <c r="C18" s="120">
        <v>0.05</v>
      </c>
      <c r="D18" s="42"/>
      <c r="E18" s="41" t="s">
        <v>459</v>
      </c>
      <c r="F18" s="127">
        <v>0.02</v>
      </c>
      <c r="H18" s="567" t="str">
        <f>CONCATENATE(I28," Inflation")</f>
        <v>Soybeans Inflation</v>
      </c>
      <c r="I18" s="539">
        <v>0.01</v>
      </c>
      <c r="J18" s="539">
        <v>0.01</v>
      </c>
      <c r="K18" s="540">
        <v>0.01</v>
      </c>
      <c r="L18" s="23"/>
      <c r="M18" s="19"/>
      <c r="P18" s="531"/>
      <c r="Q18" s="529"/>
    </row>
    <row r="19" spans="2:17" ht="13.5" thickBot="1">
      <c r="B19" s="44" t="s">
        <v>359</v>
      </c>
      <c r="C19" s="120">
        <v>0.15</v>
      </c>
      <c r="D19" s="54"/>
      <c r="E19" s="41" t="s">
        <v>460</v>
      </c>
      <c r="F19" s="126">
        <f>IF('Operations Summary'!D8&gt;0,'Operations Summary'!D8*F18,0)</f>
        <v>0</v>
      </c>
      <c r="H19" s="567" t="str">
        <f>CONCATENATE(J28," Inflation")</f>
        <v>Canola Inflation</v>
      </c>
      <c r="I19" s="539">
        <v>0.01</v>
      </c>
      <c r="J19" s="539">
        <v>0.01</v>
      </c>
      <c r="K19" s="540">
        <v>0.01</v>
      </c>
      <c r="L19" s="23"/>
      <c r="M19" s="19"/>
      <c r="P19" s="531"/>
      <c r="Q19" s="529"/>
    </row>
    <row r="20" spans="2:17" ht="12.75">
      <c r="B20" s="41" t="s">
        <v>448</v>
      </c>
      <c r="C20" s="120">
        <v>0.1</v>
      </c>
      <c r="D20" s="42"/>
      <c r="E20" s="29" t="s">
        <v>461</v>
      </c>
      <c r="F20" s="126">
        <v>0</v>
      </c>
      <c r="H20" s="567" t="str">
        <f>CONCATENATE(K28," Inflation")</f>
        <v>Sunflowers Inflation</v>
      </c>
      <c r="I20" s="541">
        <v>0.01</v>
      </c>
      <c r="J20" s="542">
        <v>0.01</v>
      </c>
      <c r="K20" s="543">
        <v>0.01</v>
      </c>
      <c r="L20" s="23"/>
      <c r="M20" s="19"/>
      <c r="P20" s="531"/>
      <c r="Q20" s="529"/>
    </row>
    <row r="21" spans="2:17" ht="13.5" thickBot="1">
      <c r="B21" s="44" t="s">
        <v>357</v>
      </c>
      <c r="C21" s="56">
        <f>SUM(C18:C20)</f>
        <v>0.30000000000000004</v>
      </c>
      <c r="D21" s="42"/>
      <c r="E21" s="32" t="s">
        <v>458</v>
      </c>
      <c r="F21" s="421">
        <f>+F17+F19</f>
        <v>500000</v>
      </c>
      <c r="H21" s="361" t="s">
        <v>649</v>
      </c>
      <c r="I21" s="544">
        <v>0.01</v>
      </c>
      <c r="J21" s="38"/>
      <c r="K21" s="38"/>
      <c r="L21" s="23"/>
      <c r="M21" s="19"/>
      <c r="P21" s="531"/>
      <c r="Q21" s="529"/>
    </row>
    <row r="22" spans="2:17" ht="13.5" thickBot="1">
      <c r="B22" s="44" t="s">
        <v>414</v>
      </c>
      <c r="C22" s="120">
        <v>0.01</v>
      </c>
      <c r="D22" s="38"/>
      <c r="E22" s="19"/>
      <c r="F22" s="19"/>
      <c r="G22" s="138"/>
      <c r="H22" s="361" t="s">
        <v>654</v>
      </c>
      <c r="I22" s="544">
        <v>0.01</v>
      </c>
      <c r="J22" s="38"/>
      <c r="K22" s="38"/>
      <c r="L22" s="23"/>
      <c r="M22" s="19"/>
      <c r="P22" s="531"/>
      <c r="Q22" s="529"/>
    </row>
    <row r="23" spans="2:17" ht="13.5" thickBot="1">
      <c r="B23" s="58" t="s">
        <v>441</v>
      </c>
      <c r="C23" s="545">
        <f>'Input Value'!F44</f>
        <v>24</v>
      </c>
      <c r="D23" s="38"/>
      <c r="E23" s="420" t="s">
        <v>125</v>
      </c>
      <c r="F23" s="446">
        <v>5000000</v>
      </c>
      <c r="G23" s="565"/>
      <c r="H23" s="568" t="str">
        <f>CONCATENATE(J30," Inflation")</f>
        <v>PBSY Cottonseed Oil Inflation</v>
      </c>
      <c r="I23" s="546">
        <v>0.01</v>
      </c>
      <c r="J23" s="19"/>
      <c r="K23" s="19"/>
      <c r="L23" s="23"/>
      <c r="M23" s="19"/>
      <c r="P23" s="531"/>
      <c r="Q23" s="529"/>
    </row>
    <row r="24" spans="3:17" ht="13.5" thickBot="1">
      <c r="C24" s="19"/>
      <c r="D24" s="59"/>
      <c r="E24" s="444" t="s">
        <v>774</v>
      </c>
      <c r="F24" s="438">
        <v>1</v>
      </c>
      <c r="G24" s="566"/>
      <c r="H24" s="362" t="s">
        <v>819</v>
      </c>
      <c r="I24" s="544">
        <v>0.01</v>
      </c>
      <c r="J24" s="19"/>
      <c r="K24" s="19"/>
      <c r="L24" s="23"/>
      <c r="M24" s="19"/>
      <c r="P24" s="531"/>
      <c r="Q24" s="529"/>
    </row>
    <row r="25" spans="2:17" ht="13.5" thickBot="1">
      <c r="B25" s="419" t="s">
        <v>473</v>
      </c>
      <c r="C25" s="37"/>
      <c r="D25" s="60"/>
      <c r="E25" s="444" t="s">
        <v>787</v>
      </c>
      <c r="F25" s="445">
        <v>1</v>
      </c>
      <c r="H25" s="362" t="s">
        <v>843</v>
      </c>
      <c r="I25" s="544">
        <v>0.01</v>
      </c>
      <c r="J25" s="19"/>
      <c r="K25" s="19"/>
      <c r="L25" s="19"/>
      <c r="M25" s="23"/>
      <c r="P25" s="531"/>
      <c r="Q25" s="529"/>
    </row>
    <row r="26" spans="2:17" ht="12.75">
      <c r="B26" s="44" t="s">
        <v>569</v>
      </c>
      <c r="C26" s="124">
        <v>4.5</v>
      </c>
      <c r="D26" s="61"/>
      <c r="E26" s="38" t="s">
        <v>775</v>
      </c>
      <c r="F26" s="34"/>
      <c r="H26" s="67"/>
      <c r="I26" s="23"/>
      <c r="J26" s="23"/>
      <c r="K26" s="19"/>
      <c r="L26" s="19"/>
      <c r="M26" s="23"/>
      <c r="P26" s="531"/>
      <c r="Q26" s="529"/>
    </row>
    <row r="27" spans="2:17" ht="13.5" thickBot="1">
      <c r="B27" s="44" t="s">
        <v>570</v>
      </c>
      <c r="C27" s="124">
        <v>4.5</v>
      </c>
      <c r="D27" s="60"/>
      <c r="F27" s="34"/>
      <c r="I27" s="23" t="s">
        <v>783</v>
      </c>
      <c r="J27" s="19" t="s">
        <v>784</v>
      </c>
      <c r="K27" s="19" t="s">
        <v>785</v>
      </c>
      <c r="L27" s="19"/>
      <c r="M27" s="23"/>
      <c r="P27" s="531"/>
      <c r="Q27" s="529"/>
    </row>
    <row r="28" spans="2:17" ht="13.5" thickBot="1">
      <c r="B28" s="44" t="s">
        <v>571</v>
      </c>
      <c r="C28" s="124">
        <v>5</v>
      </c>
      <c r="D28" s="62"/>
      <c r="E28" s="420" t="str">
        <f>CONCATENATE(I28," for biodiesel, 1=yes")</f>
        <v>Soybeans for biodiesel, 1=yes</v>
      </c>
      <c r="F28" s="445">
        <v>1</v>
      </c>
      <c r="H28" s="19" t="s">
        <v>782</v>
      </c>
      <c r="I28" s="548" t="s">
        <v>552</v>
      </c>
      <c r="J28" s="445" t="s">
        <v>553</v>
      </c>
      <c r="K28" s="549" t="s">
        <v>554</v>
      </c>
      <c r="L28" s="19"/>
      <c r="M28" s="23"/>
      <c r="P28" s="531"/>
      <c r="Q28" s="529"/>
    </row>
    <row r="29" spans="2:17" ht="13.5" thickBot="1">
      <c r="B29" s="44" t="s">
        <v>846</v>
      </c>
      <c r="C29" s="124">
        <v>5</v>
      </c>
      <c r="D29" s="62"/>
      <c r="E29" s="420" t="str">
        <f>CONCATENATE(J28," for biodiesel, 1=yes")</f>
        <v>Canola for biodiesel, 1=yes</v>
      </c>
      <c r="F29" s="437">
        <v>1</v>
      </c>
      <c r="I29" s="23"/>
      <c r="J29" s="19"/>
      <c r="K29" s="19"/>
      <c r="L29" s="19"/>
      <c r="M29" s="23"/>
      <c r="P29" s="531"/>
      <c r="Q29" s="529"/>
    </row>
    <row r="30" spans="2:17" ht="13.5" thickBot="1">
      <c r="B30" s="44" t="s">
        <v>572</v>
      </c>
      <c r="C30" s="122">
        <v>24</v>
      </c>
      <c r="D30" s="62"/>
      <c r="E30" s="420" t="str">
        <f>CONCATENATE(K28," for biodiesel, 1=yes")</f>
        <v>Sunflowers for biodiesel, 1=yes</v>
      </c>
      <c r="F30" s="445">
        <v>1</v>
      </c>
      <c r="H30" s="19" t="s">
        <v>786</v>
      </c>
      <c r="I30" s="23"/>
      <c r="J30" s="445" t="s">
        <v>788</v>
      </c>
      <c r="K30" s="19"/>
      <c r="L30" s="19"/>
      <c r="M30" s="23"/>
      <c r="P30" s="531"/>
      <c r="Q30" s="529"/>
    </row>
    <row r="31" spans="2:17" ht="13.5" thickBot="1">
      <c r="B31" s="44" t="s">
        <v>678</v>
      </c>
      <c r="C31" s="122">
        <v>24</v>
      </c>
      <c r="D31" s="62"/>
      <c r="F31" s="19"/>
      <c r="I31" s="23"/>
      <c r="J31" s="19"/>
      <c r="K31" s="19"/>
      <c r="L31" s="19"/>
      <c r="M31" s="23"/>
      <c r="P31" s="531"/>
      <c r="Q31" s="529"/>
    </row>
    <row r="32" spans="2:17" ht="12.75">
      <c r="B32" s="44" t="s">
        <v>674</v>
      </c>
      <c r="C32" s="122">
        <f>48000</f>
        <v>48000</v>
      </c>
      <c r="D32" s="62"/>
      <c r="E32" s="36" t="s">
        <v>652</v>
      </c>
      <c r="F32" s="37"/>
      <c r="H32" s="48" t="s">
        <v>761</v>
      </c>
      <c r="I32" s="39"/>
      <c r="J32" s="39"/>
      <c r="K32" s="39"/>
      <c r="L32" s="37"/>
      <c r="M32" s="439"/>
      <c r="P32" s="531"/>
      <c r="Q32" s="529"/>
    </row>
    <row r="33" spans="2:17" ht="12.75">
      <c r="B33" s="44" t="s">
        <v>567</v>
      </c>
      <c r="C33" s="550">
        <v>80</v>
      </c>
      <c r="D33" s="62"/>
      <c r="E33" s="41" t="s">
        <v>727</v>
      </c>
      <c r="F33" s="551">
        <v>0.2</v>
      </c>
      <c r="H33" s="41"/>
      <c r="I33" s="23"/>
      <c r="J33" s="23" t="str">
        <f>I28</f>
        <v>Soybeans</v>
      </c>
      <c r="K33" s="23" t="str">
        <f>J28</f>
        <v>Canola</v>
      </c>
      <c r="L33" s="30" t="str">
        <f>K28</f>
        <v>Sunflowers</v>
      </c>
      <c r="M33" s="590" t="s">
        <v>377</v>
      </c>
      <c r="P33" s="531"/>
      <c r="Q33" s="529"/>
    </row>
    <row r="34" spans="2:17" ht="12.75">
      <c r="B34" s="44" t="s">
        <v>568</v>
      </c>
      <c r="C34" s="124">
        <v>0.27</v>
      </c>
      <c r="D34" s="62"/>
      <c r="E34" s="41" t="s">
        <v>731</v>
      </c>
      <c r="F34" s="551">
        <v>0</v>
      </c>
      <c r="H34" s="74" t="s">
        <v>771</v>
      </c>
      <c r="I34" s="23"/>
      <c r="J34" s="552"/>
      <c r="K34" s="552">
        <v>1</v>
      </c>
      <c r="L34" s="121"/>
      <c r="M34" s="591" t="str">
        <f>IF(OR(SUM(J34:L34)&gt;1,SUM(J34:L34)&lt;0.99),"ERROR!"," ")</f>
        <v> </v>
      </c>
      <c r="P34" s="531"/>
      <c r="Q34" s="529"/>
    </row>
    <row r="35" spans="2:17" ht="12" customHeight="1">
      <c r="B35" s="44" t="s">
        <v>566</v>
      </c>
      <c r="C35" s="550"/>
      <c r="D35" s="62"/>
      <c r="E35" s="41" t="s">
        <v>729</v>
      </c>
      <c r="F35" s="551">
        <v>0</v>
      </c>
      <c r="H35" s="41" t="s">
        <v>777</v>
      </c>
      <c r="I35" s="23"/>
      <c r="J35" s="23"/>
      <c r="K35" s="23"/>
      <c r="L35" s="30"/>
      <c r="M35" s="440"/>
      <c r="P35" s="531"/>
      <c r="Q35" s="529"/>
    </row>
    <row r="36" spans="2:17" ht="12.75">
      <c r="B36" s="44" t="str">
        <f>CONCATENATE("Average Distance ",I28)</f>
        <v>Average Distance Soybeans</v>
      </c>
      <c r="C36" s="550">
        <v>60</v>
      </c>
      <c r="D36" s="62"/>
      <c r="E36" s="41" t="s">
        <v>730</v>
      </c>
      <c r="F36" s="551">
        <v>0</v>
      </c>
      <c r="H36" s="41"/>
      <c r="I36" s="23"/>
      <c r="J36" s="23"/>
      <c r="K36" s="23"/>
      <c r="L36" s="30"/>
      <c r="M36" s="440"/>
      <c r="P36" s="531"/>
      <c r="Q36" s="553"/>
    </row>
    <row r="37" spans="2:17" ht="13.5" thickBot="1">
      <c r="B37" s="44" t="str">
        <f>CONCATENATE("Average Distance ",J28)</f>
        <v>Average Distance Canola</v>
      </c>
      <c r="C37" s="550">
        <v>30</v>
      </c>
      <c r="D37" s="64"/>
      <c r="E37" s="47" t="s">
        <v>728</v>
      </c>
      <c r="F37" s="554">
        <v>0.1</v>
      </c>
      <c r="G37" s="34"/>
      <c r="H37" s="230" t="s">
        <v>794</v>
      </c>
      <c r="I37" s="23"/>
      <c r="J37" s="441">
        <f>IF($F$24=1,J34*$F$48,0)</f>
        <v>0</v>
      </c>
      <c r="K37" s="441">
        <f>IF($F$24=1,K34*$F$48,0)</f>
        <v>44460</v>
      </c>
      <c r="L37" s="441">
        <f>IF($F$24=1,L34*$F$48,0)</f>
        <v>0</v>
      </c>
      <c r="M37" s="450">
        <f>SUM(J37:L37)</f>
        <v>44460</v>
      </c>
      <c r="P37" s="531"/>
      <c r="Q37" s="529"/>
    </row>
    <row r="38" spans="2:17" ht="12.75">
      <c r="B38" s="44" t="str">
        <f>CONCATENATE("Average Distance ",K28)</f>
        <v>Average Distance Sunflowers</v>
      </c>
      <c r="C38" s="550">
        <v>60</v>
      </c>
      <c r="D38" s="65"/>
      <c r="E38" s="564" t="s">
        <v>732</v>
      </c>
      <c r="F38" s="345" t="s">
        <v>746</v>
      </c>
      <c r="G38" s="34"/>
      <c r="H38" s="41"/>
      <c r="I38" s="23"/>
      <c r="J38" s="23"/>
      <c r="K38" s="23"/>
      <c r="L38" s="30"/>
      <c r="M38" s="440"/>
      <c r="Q38" s="531"/>
    </row>
    <row r="39" spans="2:18" ht="13.5" thickBot="1">
      <c r="B39" s="44" t="s">
        <v>573</v>
      </c>
      <c r="C39" s="550">
        <v>100</v>
      </c>
      <c r="D39" s="66"/>
      <c r="F39" s="34"/>
      <c r="H39" s="230" t="s">
        <v>772</v>
      </c>
      <c r="I39" s="23"/>
      <c r="J39" s="441">
        <f>IF(F24=1,IF(F28=1,$F$48*J34*'Input Value'!I77,0),0)</f>
        <v>0</v>
      </c>
      <c r="K39" s="441">
        <f>IF(F24=1,IF(F29=1,$F$48*K34*'Input Value'!J77,0),0)</f>
        <v>3252506.4</v>
      </c>
      <c r="L39" s="451">
        <f>IF(F24=1,IF(F30=1,$F$48*L34*'Input Value'!K77,0),0)</f>
        <v>0</v>
      </c>
      <c r="M39" s="592">
        <f>SUM(J39:L39)</f>
        <v>3252506.4</v>
      </c>
      <c r="O39" s="555"/>
      <c r="Q39" s="531"/>
      <c r="R39" s="556"/>
    </row>
    <row r="40" spans="2:18" ht="12.75">
      <c r="B40" s="44" t="s">
        <v>844</v>
      </c>
      <c r="C40" s="550">
        <v>100</v>
      </c>
      <c r="D40" s="64"/>
      <c r="E40" s="36" t="s">
        <v>545</v>
      </c>
      <c r="F40" s="37"/>
      <c r="H40" s="41"/>
      <c r="I40" s="23"/>
      <c r="J40" s="441"/>
      <c r="K40" s="441"/>
      <c r="L40" s="451"/>
      <c r="M40" s="440"/>
      <c r="O40" s="557"/>
      <c r="Q40" s="531"/>
      <c r="R40" s="547"/>
    </row>
    <row r="41" spans="2:18" ht="12.75">
      <c r="B41" s="44" t="s">
        <v>677</v>
      </c>
      <c r="C41" s="550">
        <v>30</v>
      </c>
      <c r="D41" s="64"/>
      <c r="E41" s="41"/>
      <c r="F41" s="30"/>
      <c r="H41" s="569" t="s">
        <v>768</v>
      </c>
      <c r="I41" s="23"/>
      <c r="J41" s="441"/>
      <c r="K41" s="441"/>
      <c r="L41" s="451"/>
      <c r="M41" s="450">
        <f>IF(F25=1,F23,0)</f>
        <v>5000000</v>
      </c>
      <c r="O41" s="557"/>
      <c r="Q41" s="531"/>
      <c r="R41" s="558"/>
    </row>
    <row r="42" spans="2:18" ht="12.75">
      <c r="B42" s="44" t="str">
        <f>CONCATENATE("Trucking Costs/ton for ",I28," Delivery")</f>
        <v>Trucking Costs/ton for Soybeans Delivery</v>
      </c>
      <c r="C42" s="302">
        <f>(indistance*insoybeans)/C30</f>
        <v>11.25</v>
      </c>
      <c r="D42" s="72"/>
      <c r="E42" s="41" t="s">
        <v>754</v>
      </c>
      <c r="F42" s="122">
        <f>325</f>
        <v>325</v>
      </c>
      <c r="G42" s="73"/>
      <c r="H42" s="41" t="s">
        <v>773</v>
      </c>
      <c r="I42" s="23"/>
      <c r="J42" s="441"/>
      <c r="K42" s="441"/>
      <c r="L42" s="451"/>
      <c r="M42" s="440"/>
      <c r="O42" s="557"/>
      <c r="Q42" s="531"/>
      <c r="R42" s="547"/>
    </row>
    <row r="43" spans="2:18" ht="12.75">
      <c r="B43" s="44" t="str">
        <f>CONCATENATE("Trucking Costs/ton for ",J28," Delivery")</f>
        <v>Trucking Costs/ton for Canola Delivery</v>
      </c>
      <c r="C43" s="302">
        <f>(indistance*incanola)/C30</f>
        <v>5.625</v>
      </c>
      <c r="D43" s="76"/>
      <c r="E43" s="41" t="s">
        <v>558</v>
      </c>
      <c r="F43" s="122">
        <v>6</v>
      </c>
      <c r="G43" s="73"/>
      <c r="H43" s="41"/>
      <c r="I43" s="23"/>
      <c r="J43" s="441"/>
      <c r="K43" s="441"/>
      <c r="L43" s="451"/>
      <c r="M43" s="440"/>
      <c r="O43" s="555"/>
      <c r="Q43" s="531"/>
      <c r="R43" s="558"/>
    </row>
    <row r="44" spans="2:18" ht="12.75">
      <c r="B44" s="44" t="str">
        <f>CONCATENATE("Trucking Costs/ton for ",K28," Delivery")</f>
        <v>Trucking Costs/ton for Sunflowers Delivery</v>
      </c>
      <c r="C44" s="302">
        <f>(indistance*C38)/C30</f>
        <v>11.25</v>
      </c>
      <c r="E44" s="41" t="s">
        <v>559</v>
      </c>
      <c r="F44" s="122">
        <v>24</v>
      </c>
      <c r="H44" s="230" t="s">
        <v>760</v>
      </c>
      <c r="I44" s="23"/>
      <c r="J44" s="441">
        <f>IF(F28=1,(M44*(J39/M39)),0)</f>
        <v>0</v>
      </c>
      <c r="K44" s="441">
        <f>IF(F29=1,(M44*(K39/M39)),0)</f>
        <v>0</v>
      </c>
      <c r="L44" s="451">
        <f>IF(F29=1,(M44*(L39/M39)),0)</f>
        <v>0</v>
      </c>
      <c r="M44" s="592">
        <f>IF((M39-M41)&gt;0,(M39-M41),0)</f>
        <v>0</v>
      </c>
      <c r="N44" s="19" t="s">
        <v>21</v>
      </c>
      <c r="O44" s="559"/>
      <c r="Q44" s="531"/>
      <c r="R44" s="547"/>
    </row>
    <row r="45" spans="2:18" ht="12.75">
      <c r="B45" s="44" t="s">
        <v>676</v>
      </c>
      <c r="C45" s="302">
        <f>(distanceout*C41)/C31</f>
        <v>5.625</v>
      </c>
      <c r="D45" s="38"/>
      <c r="E45" s="44" t="s">
        <v>616</v>
      </c>
      <c r="F45" s="30">
        <f>+F43*F44</f>
        <v>144</v>
      </c>
      <c r="H45" s="41"/>
      <c r="I45" s="23"/>
      <c r="J45" s="441">
        <f>IF(F28=1,M45*J34,0)</f>
        <v>0</v>
      </c>
      <c r="K45" s="441">
        <f>IF(F29=1,M45*K34,0)</f>
        <v>0</v>
      </c>
      <c r="L45" s="451">
        <f>IF(F30=1,M45*L34,0)</f>
        <v>0</v>
      </c>
      <c r="M45" s="592">
        <f>IF((M39-M41)&gt;0,(M39-M41),0)*'Input Value'!I63</f>
        <v>0</v>
      </c>
      <c r="N45" s="19" t="s">
        <v>635</v>
      </c>
      <c r="O45" s="560"/>
      <c r="Q45" s="531"/>
      <c r="R45" s="558"/>
    </row>
    <row r="46" spans="2:18" ht="12.75">
      <c r="B46" s="44" t="s">
        <v>838</v>
      </c>
      <c r="C46" s="520">
        <f>(C28*C39)/C32</f>
        <v>0.010416666666666666</v>
      </c>
      <c r="E46" s="41" t="s">
        <v>600</v>
      </c>
      <c r="F46" s="30">
        <f>+F42*F44</f>
        <v>7800</v>
      </c>
      <c r="H46" s="41"/>
      <c r="I46" s="23"/>
      <c r="J46" s="23"/>
      <c r="K46" s="23"/>
      <c r="L46" s="30"/>
      <c r="M46" s="440"/>
      <c r="O46" s="555"/>
      <c r="Q46" s="531"/>
      <c r="R46" s="547"/>
    </row>
    <row r="47" spans="2:18" ht="13.5" thickBot="1">
      <c r="B47" s="47" t="s">
        <v>845</v>
      </c>
      <c r="C47" s="521">
        <f>IF(K8=0,0,(C29*C40)/C32)</f>
        <v>0.010416666666666666</v>
      </c>
      <c r="E47" s="44" t="s">
        <v>682</v>
      </c>
      <c r="F47" s="127">
        <v>0.95</v>
      </c>
      <c r="H47" s="230" t="s">
        <v>776</v>
      </c>
      <c r="I47" s="346"/>
      <c r="J47" s="442"/>
      <c r="K47" s="441"/>
      <c r="L47" s="451"/>
      <c r="M47" s="592">
        <f>IF((M41-M39)&gt;0,M41-M39,0)</f>
        <v>1747493.6</v>
      </c>
      <c r="N47" s="19" t="s">
        <v>21</v>
      </c>
      <c r="O47" s="557"/>
      <c r="Q47" s="531"/>
      <c r="R47" s="558"/>
    </row>
    <row r="48" spans="3:18" ht="13.5" thickBot="1">
      <c r="C48" s="19"/>
      <c r="E48" s="41" t="s">
        <v>584</v>
      </c>
      <c r="F48" s="572">
        <f>F43*F46*F47</f>
        <v>44460</v>
      </c>
      <c r="G48" s="34"/>
      <c r="H48" s="58"/>
      <c r="I48" s="57"/>
      <c r="J48" s="57"/>
      <c r="K48" s="57"/>
      <c r="L48" s="452"/>
      <c r="M48" s="593">
        <f>IF((M41-M39)&gt;0,M41-M39,0)*'Input Value'!I63</f>
        <v>13280951.36</v>
      </c>
      <c r="N48" s="93" t="s">
        <v>635</v>
      </c>
      <c r="Q48" s="531"/>
      <c r="R48" s="558"/>
    </row>
    <row r="49" spans="2:18" ht="12.75">
      <c r="B49" s="402"/>
      <c r="C49" s="23"/>
      <c r="E49" s="41" t="s">
        <v>583</v>
      </c>
      <c r="F49" s="30"/>
      <c r="I49" s="23"/>
      <c r="J49" s="19"/>
      <c r="K49" s="19"/>
      <c r="L49" s="19"/>
      <c r="M49" s="23"/>
      <c r="N49" s="67"/>
      <c r="Q49" s="531"/>
      <c r="R49" s="558"/>
    </row>
    <row r="50" spans="2:18" ht="13.5" thickBot="1">
      <c r="B50" s="402"/>
      <c r="C50" s="23"/>
      <c r="E50" s="41" t="s">
        <v>556</v>
      </c>
      <c r="F50" s="30"/>
      <c r="I50" s="23"/>
      <c r="J50" s="19"/>
      <c r="K50" s="19"/>
      <c r="L50" s="19"/>
      <c r="M50" s="23"/>
      <c r="Q50" s="531"/>
      <c r="R50" s="559"/>
    </row>
    <row r="51" spans="2:18" ht="12.75">
      <c r="B51" s="402"/>
      <c r="C51" s="23"/>
      <c r="D51" s="79"/>
      <c r="E51" s="41" t="s">
        <v>546</v>
      </c>
      <c r="F51" s="30"/>
      <c r="H51" s="48" t="s">
        <v>790</v>
      </c>
      <c r="I51" s="39"/>
      <c r="J51" s="39"/>
      <c r="K51" s="37"/>
      <c r="L51" s="19"/>
      <c r="M51" s="23"/>
      <c r="Q51" s="531"/>
      <c r="R51" s="561"/>
    </row>
    <row r="52" spans="2:18" ht="12.75">
      <c r="B52" s="402"/>
      <c r="C52" s="23"/>
      <c r="D52" s="38"/>
      <c r="E52" s="41" t="s">
        <v>547</v>
      </c>
      <c r="F52" s="30"/>
      <c r="G52" s="23"/>
      <c r="H52" s="41"/>
      <c r="I52" s="23"/>
      <c r="J52" s="23" t="s">
        <v>612</v>
      </c>
      <c r="K52" s="30"/>
      <c r="L52" s="19"/>
      <c r="M52" s="23"/>
      <c r="Q52" s="531"/>
      <c r="R52" s="559"/>
    </row>
    <row r="53" spans="2:18" ht="13.5" thickBot="1">
      <c r="B53" s="163"/>
      <c r="C53" s="43"/>
      <c r="D53" s="38"/>
      <c r="E53" s="47" t="s">
        <v>548</v>
      </c>
      <c r="F53" s="573">
        <f>F43*F46</f>
        <v>46800</v>
      </c>
      <c r="G53" s="23"/>
      <c r="H53" s="41"/>
      <c r="I53" s="23"/>
      <c r="J53" s="23" t="s">
        <v>611</v>
      </c>
      <c r="K53" s="30"/>
      <c r="L53" s="19"/>
      <c r="M53" s="23"/>
      <c r="Q53" s="531"/>
      <c r="R53" s="558"/>
    </row>
    <row r="54" spans="2:18" ht="12.75">
      <c r="B54" s="163"/>
      <c r="C54" s="27"/>
      <c r="D54" s="38"/>
      <c r="F54" s="34"/>
      <c r="G54" s="23"/>
      <c r="H54" s="570" t="str">
        <f>CONCATENATE('Input Value'!I28," oil content")</f>
        <v>Soybeans oil content</v>
      </c>
      <c r="I54" s="562">
        <v>0.187</v>
      </c>
      <c r="J54" s="582">
        <v>0.19</v>
      </c>
      <c r="K54" s="440"/>
      <c r="L54" s="19"/>
      <c r="M54" s="23"/>
      <c r="Q54" s="531"/>
      <c r="R54" s="559"/>
    </row>
    <row r="55" spans="2:18" ht="12.75">
      <c r="B55" s="163"/>
      <c r="C55" s="43"/>
      <c r="D55" s="38"/>
      <c r="F55" s="34"/>
      <c r="G55" s="23"/>
      <c r="H55" s="41" t="str">
        <f>CONCATENATE('Input Value'!J28," oil content")</f>
        <v>Canola oil content</v>
      </c>
      <c r="I55" s="221">
        <v>0.351</v>
      </c>
      <c r="J55" s="43">
        <v>0.38</v>
      </c>
      <c r="K55" s="440"/>
      <c r="L55" s="19"/>
      <c r="M55" s="23"/>
      <c r="Q55" s="531"/>
      <c r="R55" s="558"/>
    </row>
    <row r="56" spans="2:18" ht="13.5" thickBot="1">
      <c r="B56" s="38"/>
      <c r="C56" s="38"/>
      <c r="D56" s="38"/>
      <c r="F56" s="34"/>
      <c r="G56" s="23"/>
      <c r="H56" s="47" t="str">
        <f>CONCATENATE('Input Value'!K28," oil content")</f>
        <v>Sunflowers oil content</v>
      </c>
      <c r="I56" s="563">
        <v>0.431</v>
      </c>
      <c r="J56" s="583">
        <v>0.43</v>
      </c>
      <c r="K56" s="440"/>
      <c r="L56" s="19"/>
      <c r="M56" s="23"/>
      <c r="Q56" s="531"/>
      <c r="R56" s="559"/>
    </row>
    <row r="57" spans="2:18" ht="12.75">
      <c r="B57" s="356"/>
      <c r="C57" s="38"/>
      <c r="D57" s="38"/>
      <c r="F57" s="34"/>
      <c r="G57" s="23"/>
      <c r="H57" s="570" t="str">
        <f>CONCATENATE('Input Value'!I28," hulls %")</f>
        <v>Soybeans hulls %</v>
      </c>
      <c r="I57" s="447">
        <v>0.06</v>
      </c>
      <c r="J57" s="584">
        <v>0.06</v>
      </c>
      <c r="K57" s="440"/>
      <c r="L57" s="19"/>
      <c r="M57" s="23"/>
      <c r="Q57" s="531"/>
      <c r="R57" s="558"/>
    </row>
    <row r="58" spans="2:18" ht="12.75">
      <c r="B58" s="163"/>
      <c r="C58" s="38"/>
      <c r="D58" s="38"/>
      <c r="F58" s="34"/>
      <c r="G58" s="23"/>
      <c r="H58" s="41" t="str">
        <f>CONCATENATE('Input Value'!J28," hulls %")</f>
        <v>Canola hulls %</v>
      </c>
      <c r="I58" s="127">
        <v>0</v>
      </c>
      <c r="J58" s="376">
        <v>0</v>
      </c>
      <c r="K58" s="440"/>
      <c r="L58" s="19"/>
      <c r="M58" s="23"/>
      <c r="Q58" s="531"/>
      <c r="R58" s="559"/>
    </row>
    <row r="59" spans="2:18" ht="13.5" thickBot="1">
      <c r="B59" s="163"/>
      <c r="C59" s="403"/>
      <c r="F59" s="34"/>
      <c r="G59" s="73"/>
      <c r="H59" s="47" t="str">
        <f>CONCATENATE('Input Value'!K28," hulls %")</f>
        <v>Sunflowers hulls %</v>
      </c>
      <c r="I59" s="448">
        <v>0.06</v>
      </c>
      <c r="J59" s="583">
        <v>0.06</v>
      </c>
      <c r="K59" s="440"/>
      <c r="L59" s="19"/>
      <c r="M59" s="23"/>
      <c r="Q59" s="531"/>
      <c r="R59" s="558"/>
    </row>
    <row r="60" spans="2:18" ht="12.75">
      <c r="B60" s="402"/>
      <c r="C60" s="404"/>
      <c r="D60" s="79"/>
      <c r="F60" s="34"/>
      <c r="G60" s="73"/>
      <c r="H60" s="570" t="str">
        <f>CONCATENATE("Extraction efficiency-",'Input Value'!I28)</f>
        <v>Extraction efficiency-Soybeans</v>
      </c>
      <c r="I60" s="447">
        <v>0.8</v>
      </c>
      <c r="J60" s="584">
        <v>0.8</v>
      </c>
      <c r="K60" s="440"/>
      <c r="L60" s="19"/>
      <c r="M60" s="23"/>
      <c r="Q60" s="531"/>
      <c r="R60" s="559"/>
    </row>
    <row r="61" spans="2:18" ht="12.75">
      <c r="B61" s="402"/>
      <c r="C61" s="43"/>
      <c r="D61" s="79"/>
      <c r="E61" s="38"/>
      <c r="F61" s="38"/>
      <c r="H61" s="41" t="str">
        <f>CONCATENATE("Extraction efficiency-",'Input Value'!J28)</f>
        <v>Extraction efficiency-Canola</v>
      </c>
      <c r="I61" s="127">
        <v>0.8</v>
      </c>
      <c r="J61" s="376">
        <v>0.8</v>
      </c>
      <c r="K61" s="440"/>
      <c r="L61" s="19"/>
      <c r="M61" s="23"/>
      <c r="Q61" s="531"/>
      <c r="R61" s="558"/>
    </row>
    <row r="62" spans="2:17" ht="13.5" thickBot="1">
      <c r="B62" s="402"/>
      <c r="C62" s="43"/>
      <c r="E62" s="38"/>
      <c r="F62" s="38"/>
      <c r="H62" s="47" t="str">
        <f>CONCATENATE("Extraction efficiency-",'Input Value'!K28)</f>
        <v>Extraction efficiency-Sunflowers</v>
      </c>
      <c r="I62" s="448">
        <v>0.8</v>
      </c>
      <c r="J62" s="583">
        <v>0.8</v>
      </c>
      <c r="K62" s="440"/>
      <c r="L62" s="19"/>
      <c r="M62" s="23"/>
      <c r="Q62" s="531"/>
    </row>
    <row r="63" spans="2:17" ht="13.5" thickBot="1">
      <c r="B63" s="38"/>
      <c r="C63" s="38"/>
      <c r="E63" s="38"/>
      <c r="F63" s="38"/>
      <c r="H63" s="571" t="s">
        <v>575</v>
      </c>
      <c r="I63" s="549">
        <v>7.6</v>
      </c>
      <c r="J63" s="585">
        <v>7.6</v>
      </c>
      <c r="K63" s="440"/>
      <c r="L63" s="19"/>
      <c r="M63" s="23"/>
      <c r="Q63" s="531"/>
    </row>
    <row r="64" spans="2:17" ht="12.75">
      <c r="B64" s="38"/>
      <c r="C64" s="405"/>
      <c r="E64" s="38"/>
      <c r="F64" s="38"/>
      <c r="H64" s="41"/>
      <c r="I64" s="39"/>
      <c r="J64" s="23"/>
      <c r="K64" s="30"/>
      <c r="L64" s="19"/>
      <c r="M64" s="23"/>
      <c r="Q64" s="531"/>
    </row>
    <row r="65" spans="2:17" ht="13.5" thickBot="1">
      <c r="B65" s="406"/>
      <c r="C65" s="407"/>
      <c r="D65" s="79"/>
      <c r="F65" s="34"/>
      <c r="H65" s="41" t="s">
        <v>614</v>
      </c>
      <c r="I65" s="23"/>
      <c r="J65" s="23"/>
      <c r="K65" s="30"/>
      <c r="L65" s="19"/>
      <c r="M65" s="23"/>
      <c r="Q65" s="531"/>
    </row>
    <row r="66" spans="2:17" ht="12.75">
      <c r="B66" s="81"/>
      <c r="C66" s="19"/>
      <c r="D66" s="79"/>
      <c r="E66" s="79"/>
      <c r="F66" s="79"/>
      <c r="H66" s="570"/>
      <c r="I66" s="575" t="str">
        <f>'Input Value'!I28</f>
        <v>Soybeans</v>
      </c>
      <c r="J66" s="575" t="str">
        <f>'Input Value'!J28</f>
        <v>Canola</v>
      </c>
      <c r="K66" s="37" t="str">
        <f>'Input Value'!K28</f>
        <v>Sunflowers</v>
      </c>
      <c r="L66" s="19"/>
      <c r="M66" s="23"/>
      <c r="Q66" s="531"/>
    </row>
    <row r="67" spans="3:17" ht="12.75">
      <c r="C67" s="19"/>
      <c r="E67" s="79"/>
      <c r="F67" s="79"/>
      <c r="H67" s="41" t="s">
        <v>585</v>
      </c>
      <c r="I67" s="576">
        <f>J34</f>
        <v>0</v>
      </c>
      <c r="J67" s="576">
        <f>K34</f>
        <v>1</v>
      </c>
      <c r="K67" s="594">
        <f>L34</f>
        <v>0</v>
      </c>
      <c r="L67" s="19"/>
      <c r="M67" s="23"/>
      <c r="Q67" s="531"/>
    </row>
    <row r="68" spans="3:17" ht="12.75">
      <c r="C68" s="19"/>
      <c r="F68" s="34"/>
      <c r="H68" s="41" t="s">
        <v>560</v>
      </c>
      <c r="I68" s="136"/>
      <c r="J68" s="136"/>
      <c r="K68" s="595"/>
      <c r="L68" s="19"/>
      <c r="M68" s="23"/>
      <c r="Q68" s="531"/>
    </row>
    <row r="69" spans="2:17" ht="12.75">
      <c r="B69" s="82"/>
      <c r="C69" s="19"/>
      <c r="F69" s="34"/>
      <c r="H69" s="41" t="s">
        <v>561</v>
      </c>
      <c r="I69" s="136">
        <v>1</v>
      </c>
      <c r="J69" s="136">
        <v>1</v>
      </c>
      <c r="K69" s="595">
        <v>1</v>
      </c>
      <c r="L69" s="19"/>
      <c r="M69" s="23"/>
      <c r="Q69" s="531"/>
    </row>
    <row r="70" spans="3:17" ht="12.75">
      <c r="C70" s="19"/>
      <c r="F70" s="34"/>
      <c r="H70" s="44" t="s">
        <v>610</v>
      </c>
      <c r="I70" s="136">
        <f>+I69*(1-(I73+I74))</f>
        <v>0.93</v>
      </c>
      <c r="J70" s="586">
        <f>+J69*(1-(J73+J74))</f>
        <v>0.99</v>
      </c>
      <c r="K70" s="30">
        <f>+K69*(1-(K73+K74))</f>
        <v>0.93</v>
      </c>
      <c r="L70" s="19"/>
      <c r="M70" s="23"/>
      <c r="Q70" s="531"/>
    </row>
    <row r="71" spans="3:17" ht="12.75">
      <c r="C71" s="19"/>
      <c r="E71" s="79"/>
      <c r="F71" s="79"/>
      <c r="H71" s="41" t="s">
        <v>562</v>
      </c>
      <c r="I71" s="577">
        <f>+I54</f>
        <v>0.187</v>
      </c>
      <c r="J71" s="577">
        <f>I55</f>
        <v>0.351</v>
      </c>
      <c r="K71" s="596">
        <f>+I56</f>
        <v>0.431</v>
      </c>
      <c r="L71" s="19"/>
      <c r="M71" s="23"/>
      <c r="Q71" s="531"/>
    </row>
    <row r="72" spans="3:17" ht="12.75">
      <c r="C72" s="19"/>
      <c r="E72" s="79"/>
      <c r="F72" s="79"/>
      <c r="H72" s="41" t="s">
        <v>563</v>
      </c>
      <c r="I72" s="577">
        <f>I60</f>
        <v>0.8</v>
      </c>
      <c r="J72" s="577">
        <f>I61</f>
        <v>0.8</v>
      </c>
      <c r="K72" s="596">
        <f>I62</f>
        <v>0.8</v>
      </c>
      <c r="L72" s="19"/>
      <c r="M72" s="23"/>
      <c r="Q72" s="531"/>
    </row>
    <row r="73" spans="3:17" ht="12.75">
      <c r="C73" s="19"/>
      <c r="F73" s="34"/>
      <c r="H73" s="44" t="s">
        <v>592</v>
      </c>
      <c r="I73" s="577">
        <f>+I57</f>
        <v>0.06</v>
      </c>
      <c r="J73" s="577">
        <f>+I58</f>
        <v>0</v>
      </c>
      <c r="K73" s="596">
        <f>+I59</f>
        <v>0.06</v>
      </c>
      <c r="L73" s="19"/>
      <c r="M73" s="23"/>
      <c r="Q73" s="531"/>
    </row>
    <row r="74" spans="3:17" ht="12.75">
      <c r="C74" s="19"/>
      <c r="F74" s="34"/>
      <c r="H74" s="44" t="s">
        <v>588</v>
      </c>
      <c r="I74" s="576">
        <v>0.01</v>
      </c>
      <c r="J74" s="576">
        <v>0.01</v>
      </c>
      <c r="K74" s="597">
        <v>0.01</v>
      </c>
      <c r="L74" s="19"/>
      <c r="M74" s="23"/>
      <c r="Q74" s="531"/>
    </row>
    <row r="75" spans="3:17" ht="12.75">
      <c r="C75" s="19"/>
      <c r="F75" s="34"/>
      <c r="H75" s="41" t="s">
        <v>564</v>
      </c>
      <c r="I75" s="578">
        <f>+I70*2000*I71*I72</f>
        <v>278.25600000000003</v>
      </c>
      <c r="J75" s="578">
        <f>+J70*2000*J71*J72</f>
        <v>555.9839999999999</v>
      </c>
      <c r="K75" s="598">
        <f>+K70*2000*K71*K72</f>
        <v>641.328</v>
      </c>
      <c r="L75" s="19"/>
      <c r="M75" s="23"/>
      <c r="Q75" s="531"/>
    </row>
    <row r="76" spans="3:17" ht="12.75">
      <c r="C76" s="19"/>
      <c r="F76" s="34"/>
      <c r="H76" s="44" t="s">
        <v>586</v>
      </c>
      <c r="I76" s="136">
        <f>$I$63</f>
        <v>7.6</v>
      </c>
      <c r="J76" s="136">
        <f>$I$63</f>
        <v>7.6</v>
      </c>
      <c r="K76" s="595">
        <f>$I$63</f>
        <v>7.6</v>
      </c>
      <c r="L76" s="19"/>
      <c r="M76" s="23"/>
      <c r="Q76" s="531"/>
    </row>
    <row r="77" spans="3:17" ht="12.75">
      <c r="C77" s="19"/>
      <c r="F77" s="34"/>
      <c r="H77" s="44" t="s">
        <v>587</v>
      </c>
      <c r="I77" s="579">
        <f>+I75/I76</f>
        <v>36.61263157894737</v>
      </c>
      <c r="J77" s="587">
        <f>+J75/J76</f>
        <v>73.15578947368421</v>
      </c>
      <c r="K77" s="599">
        <f>+K75/K76</f>
        <v>84.38526315789474</v>
      </c>
      <c r="L77" s="19"/>
      <c r="M77" s="23"/>
      <c r="Q77" s="531"/>
    </row>
    <row r="78" spans="3:17" ht="12.75">
      <c r="C78" s="19"/>
      <c r="F78" s="34"/>
      <c r="H78" s="44"/>
      <c r="I78" s="580"/>
      <c r="J78" s="580"/>
      <c r="K78" s="600"/>
      <c r="L78" s="19"/>
      <c r="M78" s="23"/>
      <c r="Q78" s="531"/>
    </row>
    <row r="79" spans="3:17" ht="12.75">
      <c r="C79" s="19"/>
      <c r="F79" s="34"/>
      <c r="H79" s="41"/>
      <c r="I79" s="136"/>
      <c r="J79" s="136"/>
      <c r="K79" s="595"/>
      <c r="L79" s="19"/>
      <c r="M79" s="23"/>
      <c r="Q79" s="531"/>
    </row>
    <row r="80" spans="3:17" ht="13.5" thickBot="1">
      <c r="C80" s="19"/>
      <c r="F80" s="34"/>
      <c r="H80" s="47" t="s">
        <v>589</v>
      </c>
      <c r="I80" s="581">
        <f>+I70-(I75/2000)</f>
        <v>0.790872</v>
      </c>
      <c r="J80" s="588">
        <f>+J70-(J75/2000)</f>
        <v>0.712008</v>
      </c>
      <c r="K80" s="601">
        <f>+K70-(K75/2000)</f>
        <v>0.6093360000000001</v>
      </c>
      <c r="L80" s="19"/>
      <c r="M80" s="23"/>
      <c r="Q80" s="531"/>
    </row>
    <row r="81" spans="3:17" ht="12.75">
      <c r="C81" s="19"/>
      <c r="F81" s="34"/>
      <c r="I81" s="23"/>
      <c r="J81" s="19"/>
      <c r="K81" s="19"/>
      <c r="L81" s="19"/>
      <c r="M81" s="23"/>
      <c r="Q81" s="531"/>
    </row>
    <row r="82" spans="3:17" ht="12.75">
      <c r="C82" s="19"/>
      <c r="F82" s="34"/>
      <c r="I82" s="23"/>
      <c r="J82" s="19"/>
      <c r="K82" s="19"/>
      <c r="L82" s="19"/>
      <c r="M82" s="23"/>
      <c r="Q82" s="531"/>
    </row>
    <row r="83" spans="3:17" ht="12.75">
      <c r="C83" s="19"/>
      <c r="F83" s="34"/>
      <c r="I83" s="23"/>
      <c r="J83" s="19"/>
      <c r="K83" s="19"/>
      <c r="L83" s="19"/>
      <c r="M83" s="23"/>
      <c r="Q83" s="531"/>
    </row>
    <row r="84" spans="3:17" ht="12.75">
      <c r="C84" s="19"/>
      <c r="F84" s="34"/>
      <c r="I84" s="23"/>
      <c r="J84" s="19"/>
      <c r="K84" s="19"/>
      <c r="L84" s="19"/>
      <c r="M84" s="23"/>
      <c r="Q84" s="531"/>
    </row>
    <row r="85" spans="3:17" ht="12.75">
      <c r="C85" s="19"/>
      <c r="F85" s="34"/>
      <c r="I85" s="23"/>
      <c r="J85" s="19"/>
      <c r="K85" s="19"/>
      <c r="L85" s="19"/>
      <c r="M85" s="23"/>
      <c r="Q85" s="531"/>
    </row>
    <row r="86" spans="3:17" ht="12.75">
      <c r="C86" s="19"/>
      <c r="F86" s="34"/>
      <c r="I86" s="23"/>
      <c r="J86" s="19"/>
      <c r="K86" s="19"/>
      <c r="L86" s="19"/>
      <c r="M86" s="23"/>
      <c r="Q86" s="531"/>
    </row>
    <row r="87" spans="3:17" ht="12.75">
      <c r="C87" s="19"/>
      <c r="F87" s="34"/>
      <c r="I87" s="23"/>
      <c r="J87" s="19"/>
      <c r="K87" s="19"/>
      <c r="L87" s="19"/>
      <c r="M87" s="23"/>
      <c r="Q87" s="531"/>
    </row>
    <row r="88" spans="3:17" ht="12.75">
      <c r="C88" s="19"/>
      <c r="F88" s="34"/>
      <c r="I88" s="23"/>
      <c r="J88" s="19"/>
      <c r="K88" s="19"/>
      <c r="L88" s="19"/>
      <c r="M88" s="23"/>
      <c r="Q88" s="531"/>
    </row>
    <row r="89" spans="3:17" ht="12.75">
      <c r="C89" s="19"/>
      <c r="F89" s="34"/>
      <c r="I89" s="23"/>
      <c r="J89" s="19"/>
      <c r="K89" s="19"/>
      <c r="L89" s="19"/>
      <c r="M89" s="23"/>
      <c r="Q89" s="531"/>
    </row>
    <row r="90" spans="3:17" ht="12.75">
      <c r="C90" s="19"/>
      <c r="F90" s="34"/>
      <c r="I90" s="23"/>
      <c r="J90" s="19"/>
      <c r="K90" s="19"/>
      <c r="L90" s="19"/>
      <c r="M90" s="23"/>
      <c r="Q90" s="531"/>
    </row>
    <row r="91" spans="3:17" ht="12.75">
      <c r="C91" s="19"/>
      <c r="F91" s="34"/>
      <c r="I91" s="23"/>
      <c r="J91" s="19"/>
      <c r="K91" s="19"/>
      <c r="L91" s="19"/>
      <c r="M91" s="23"/>
      <c r="Q91" s="531"/>
    </row>
    <row r="92" spans="3:17" ht="12.75">
      <c r="C92" s="19"/>
      <c r="F92" s="34"/>
      <c r="I92" s="23"/>
      <c r="J92" s="19"/>
      <c r="K92" s="19"/>
      <c r="L92" s="19"/>
      <c r="M92" s="23"/>
      <c r="Q92" s="531"/>
    </row>
    <row r="93" spans="3:17" ht="12.75">
      <c r="C93" s="19"/>
      <c r="F93" s="34"/>
      <c r="I93" s="23"/>
      <c r="J93" s="19"/>
      <c r="K93" s="19"/>
      <c r="L93" s="19"/>
      <c r="M93" s="23"/>
      <c r="Q93" s="531"/>
    </row>
    <row r="94" spans="3:17" ht="12.75">
      <c r="C94" s="19"/>
      <c r="F94" s="34"/>
      <c r="I94" s="23"/>
      <c r="J94" s="19"/>
      <c r="K94" s="19"/>
      <c r="L94" s="19"/>
      <c r="M94" s="23"/>
      <c r="Q94" s="531"/>
    </row>
    <row r="95" spans="3:17" ht="12.75">
      <c r="C95" s="19"/>
      <c r="F95" s="34"/>
      <c r="I95" s="23"/>
      <c r="J95" s="19"/>
      <c r="K95" s="19"/>
      <c r="L95" s="19"/>
      <c r="M95" s="23"/>
      <c r="Q95" s="531"/>
    </row>
    <row r="96" spans="3:17" ht="12.75">
      <c r="C96" s="19"/>
      <c r="I96" s="23"/>
      <c r="J96" s="19"/>
      <c r="K96" s="19"/>
      <c r="L96" s="19"/>
      <c r="M96" s="23"/>
      <c r="Q96" s="531"/>
    </row>
    <row r="97" spans="3:17" ht="12.75">
      <c r="C97" s="19"/>
      <c r="I97" s="23"/>
      <c r="J97" s="19"/>
      <c r="K97" s="19"/>
      <c r="L97" s="19"/>
      <c r="M97" s="23"/>
      <c r="Q97" s="531"/>
    </row>
    <row r="98" spans="3:17" ht="12.75">
      <c r="C98" s="19"/>
      <c r="I98" s="23"/>
      <c r="J98" s="19"/>
      <c r="K98" s="19"/>
      <c r="L98" s="19"/>
      <c r="M98" s="23"/>
      <c r="Q98" s="531"/>
    </row>
    <row r="99" spans="3:17" ht="12.75">
      <c r="C99" s="19"/>
      <c r="I99" s="531"/>
      <c r="K99" s="19"/>
      <c r="L99" s="19"/>
      <c r="M99" s="23"/>
      <c r="Q99" s="531"/>
    </row>
    <row r="100" spans="3:17" ht="12.75">
      <c r="C100" s="19"/>
      <c r="I100" s="531"/>
      <c r="K100" s="19"/>
      <c r="L100" s="19"/>
      <c r="M100" s="23"/>
      <c r="Q100" s="531"/>
    </row>
    <row r="101" spans="3:17" ht="12.75">
      <c r="C101" s="19"/>
      <c r="I101" s="531"/>
      <c r="K101" s="19"/>
      <c r="L101" s="19"/>
      <c r="M101" s="23"/>
      <c r="Q101" s="531"/>
    </row>
    <row r="102" spans="3:17" ht="12.75">
      <c r="C102" s="19"/>
      <c r="I102" s="531"/>
      <c r="K102" s="19"/>
      <c r="L102" s="19"/>
      <c r="M102" s="23"/>
      <c r="Q102" s="531"/>
    </row>
    <row r="103" spans="3:17" ht="12.75">
      <c r="C103" s="19"/>
      <c r="I103" s="531"/>
      <c r="K103" s="19"/>
      <c r="L103" s="19"/>
      <c r="M103" s="23"/>
      <c r="Q103" s="531"/>
    </row>
    <row r="104" spans="3:17" ht="12.75">
      <c r="C104" s="19"/>
      <c r="I104" s="531"/>
      <c r="K104" s="19"/>
      <c r="L104" s="19"/>
      <c r="M104" s="23"/>
      <c r="Q104" s="531"/>
    </row>
    <row r="105" spans="3:17" ht="12.75">
      <c r="C105" s="19"/>
      <c r="I105" s="531"/>
      <c r="K105" s="19"/>
      <c r="L105" s="19"/>
      <c r="M105" s="23"/>
      <c r="Q105" s="531"/>
    </row>
    <row r="106" spans="3:17" ht="12.75">
      <c r="C106" s="19"/>
      <c r="I106" s="531"/>
      <c r="K106" s="19"/>
      <c r="L106" s="19"/>
      <c r="M106" s="23"/>
      <c r="Q106" s="531"/>
    </row>
    <row r="107" spans="3:17" ht="12.75">
      <c r="C107" s="19"/>
      <c r="I107" s="531"/>
      <c r="K107" s="19"/>
      <c r="L107" s="19"/>
      <c r="M107" s="23"/>
      <c r="Q107" s="531"/>
    </row>
    <row r="108" spans="3:17" ht="12.75">
      <c r="C108" s="19"/>
      <c r="I108" s="531"/>
      <c r="K108" s="19"/>
      <c r="L108" s="19"/>
      <c r="M108" s="23"/>
      <c r="Q108" s="531"/>
    </row>
    <row r="109" spans="3:17" ht="12.75">
      <c r="C109" s="19"/>
      <c r="I109" s="531"/>
      <c r="K109" s="19"/>
      <c r="L109" s="19"/>
      <c r="M109" s="23"/>
      <c r="Q109" s="531"/>
    </row>
    <row r="110" spans="3:17" ht="12.75">
      <c r="C110" s="19"/>
      <c r="I110" s="531"/>
      <c r="M110" s="531"/>
      <c r="Q110" s="531"/>
    </row>
    <row r="111" spans="3:17" ht="12.75">
      <c r="C111" s="19"/>
      <c r="I111" s="531"/>
      <c r="M111" s="531"/>
      <c r="Q111" s="531"/>
    </row>
    <row r="112" spans="3:17" ht="12.75">
      <c r="C112" s="19"/>
      <c r="I112" s="531"/>
      <c r="M112" s="531"/>
      <c r="Q112" s="531"/>
    </row>
    <row r="113" spans="3:17" ht="12.75">
      <c r="C113" s="19"/>
      <c r="I113" s="531"/>
      <c r="M113" s="531"/>
      <c r="Q113" s="531"/>
    </row>
    <row r="114" spans="3:17" ht="12.75">
      <c r="C114" s="19"/>
      <c r="I114" s="531"/>
      <c r="M114" s="531"/>
      <c r="Q114" s="531"/>
    </row>
    <row r="115" spans="3:17" ht="12.75">
      <c r="C115" s="19"/>
      <c r="I115" s="531"/>
      <c r="M115" s="531"/>
      <c r="Q115" s="531"/>
    </row>
    <row r="116" spans="3:17" ht="12.75">
      <c r="C116" s="19"/>
      <c r="I116" s="531"/>
      <c r="M116" s="531"/>
      <c r="Q116" s="531"/>
    </row>
    <row r="117" spans="3:17" ht="12.75">
      <c r="C117" s="19"/>
      <c r="I117" s="531"/>
      <c r="M117" s="531"/>
      <c r="Q117" s="531"/>
    </row>
    <row r="118" spans="3:17" ht="12.75">
      <c r="C118" s="19"/>
      <c r="I118" s="531"/>
      <c r="M118" s="531"/>
      <c r="Q118" s="531"/>
    </row>
    <row r="119" spans="3:17" ht="12.75">
      <c r="C119" s="19"/>
      <c r="I119" s="531"/>
      <c r="M119" s="531"/>
      <c r="Q119" s="531"/>
    </row>
    <row r="120" spans="3:17" ht="12.75">
      <c r="C120" s="19"/>
      <c r="I120" s="531"/>
      <c r="M120" s="531"/>
      <c r="Q120" s="531"/>
    </row>
    <row r="121" spans="3:17" ht="12.75">
      <c r="C121" s="19"/>
      <c r="I121" s="531"/>
      <c r="M121" s="531"/>
      <c r="Q121" s="531"/>
    </row>
    <row r="122" spans="3:17" ht="12.75">
      <c r="C122" s="19"/>
      <c r="I122" s="531"/>
      <c r="M122" s="531"/>
      <c r="Q122" s="531"/>
    </row>
    <row r="123" spans="3:17" ht="12.75">
      <c r="C123" s="19"/>
      <c r="I123" s="531"/>
      <c r="M123" s="531"/>
      <c r="Q123" s="531"/>
    </row>
    <row r="124" spans="3:17" ht="12.75">
      <c r="C124" s="19"/>
      <c r="I124" s="531"/>
      <c r="M124" s="531"/>
      <c r="Q124" s="531"/>
    </row>
    <row r="125" spans="3:17" ht="12.75">
      <c r="C125" s="19"/>
      <c r="I125" s="531"/>
      <c r="M125" s="531"/>
      <c r="Q125" s="531"/>
    </row>
    <row r="126" spans="3:17" ht="12.75">
      <c r="C126" s="19"/>
      <c r="I126" s="531"/>
      <c r="M126" s="531"/>
      <c r="Q126" s="531"/>
    </row>
    <row r="127" spans="3:17" ht="12.75">
      <c r="C127" s="19"/>
      <c r="I127" s="531"/>
      <c r="M127" s="531"/>
      <c r="Q127" s="531"/>
    </row>
    <row r="128" spans="9:17" ht="12.75">
      <c r="I128" s="531"/>
      <c r="M128" s="531"/>
      <c r="Q128" s="531"/>
    </row>
    <row r="129" spans="9:17" ht="12.75">
      <c r="I129" s="531"/>
      <c r="M129" s="531"/>
      <c r="Q129" s="531"/>
    </row>
    <row r="130" spans="9:17" ht="12.75">
      <c r="I130" s="531"/>
      <c r="M130" s="531"/>
      <c r="Q130" s="531"/>
    </row>
    <row r="131" spans="9:17" ht="12.75">
      <c r="I131" s="531"/>
      <c r="M131" s="531"/>
      <c r="Q131" s="531"/>
    </row>
    <row r="132" spans="9:17" ht="12.75">
      <c r="I132" s="531"/>
      <c r="M132" s="531"/>
      <c r="Q132" s="531"/>
    </row>
    <row r="133" spans="9:17" ht="12.75">
      <c r="I133" s="531"/>
      <c r="M133" s="531"/>
      <c r="Q133" s="531"/>
    </row>
    <row r="134" spans="9:17" ht="12.75">
      <c r="I134" s="531"/>
      <c r="M134" s="531"/>
      <c r="Q134" s="531"/>
    </row>
    <row r="135" spans="9:17" ht="12.75">
      <c r="I135" s="531"/>
      <c r="M135" s="531"/>
      <c r="Q135" s="531"/>
    </row>
    <row r="136" spans="9:17" ht="12.75">
      <c r="I136" s="531"/>
      <c r="M136" s="531"/>
      <c r="Q136" s="531"/>
    </row>
    <row r="137" spans="9:17" ht="12.75">
      <c r="I137" s="531"/>
      <c r="M137" s="531"/>
      <c r="Q137" s="531"/>
    </row>
    <row r="138" spans="9:17" ht="12.75">
      <c r="I138" s="531"/>
      <c r="M138" s="531"/>
      <c r="Q138" s="531"/>
    </row>
    <row r="139" spans="9:17" ht="12.75">
      <c r="I139" s="531"/>
      <c r="M139" s="531"/>
      <c r="Q139" s="531"/>
    </row>
    <row r="140" spans="9:17" ht="12.75">
      <c r="I140" s="531"/>
      <c r="M140" s="531"/>
      <c r="Q140" s="531"/>
    </row>
    <row r="141" spans="9:17" ht="12.75">
      <c r="I141" s="531"/>
      <c r="M141" s="531"/>
      <c r="Q141" s="531"/>
    </row>
    <row r="142" spans="13:17" ht="12.75">
      <c r="M142" s="531"/>
      <c r="Q142" s="531"/>
    </row>
    <row r="143" spans="13:17" ht="12.75">
      <c r="M143" s="531"/>
      <c r="Q143" s="531"/>
    </row>
    <row r="144" spans="13:17" ht="12.75">
      <c r="M144" s="531"/>
      <c r="Q144" s="531"/>
    </row>
    <row r="145" spans="13:17" ht="12.75">
      <c r="M145" s="531"/>
      <c r="Q145" s="531"/>
    </row>
    <row r="146" spans="13:17" ht="12.75">
      <c r="M146" s="531"/>
      <c r="Q146" s="531"/>
    </row>
    <row r="147" spans="13:17" ht="12.75">
      <c r="M147" s="531"/>
      <c r="Q147" s="531"/>
    </row>
    <row r="148" spans="13:17" ht="12.75">
      <c r="M148" s="531"/>
      <c r="Q148" s="531"/>
    </row>
    <row r="149" spans="13:17" ht="12.75">
      <c r="M149" s="531"/>
      <c r="Q149" s="531"/>
    </row>
    <row r="150" spans="13:17" ht="12.75">
      <c r="M150" s="531"/>
      <c r="Q150" s="531"/>
    </row>
    <row r="151" spans="13:17" ht="12.75">
      <c r="M151" s="531"/>
      <c r="Q151" s="531"/>
    </row>
    <row r="152" spans="13:17" ht="12.75">
      <c r="M152" s="531"/>
      <c r="Q152" s="531"/>
    </row>
    <row r="153" spans="13:17" ht="12.75">
      <c r="M153" s="531"/>
      <c r="Q153" s="531"/>
    </row>
    <row r="154" spans="13:17" ht="12.75">
      <c r="M154" s="531"/>
      <c r="Q154" s="531"/>
    </row>
    <row r="155" spans="13:17" ht="12.75">
      <c r="M155" s="531"/>
      <c r="Q155" s="531"/>
    </row>
    <row r="156" spans="13:17" ht="12.75">
      <c r="M156" s="531"/>
      <c r="Q156" s="531"/>
    </row>
    <row r="157" spans="13:17" ht="12.75">
      <c r="M157" s="531"/>
      <c r="Q157" s="531"/>
    </row>
    <row r="158" spans="13:17" ht="12.75">
      <c r="M158" s="531"/>
      <c r="Q158" s="531"/>
    </row>
    <row r="159" spans="13:17" ht="12.75">
      <c r="M159" s="531"/>
      <c r="Q159" s="531"/>
    </row>
    <row r="160" spans="13:17" ht="12.75">
      <c r="M160" s="531"/>
      <c r="Q160" s="531"/>
    </row>
    <row r="161" spans="13:17" ht="12.75">
      <c r="M161" s="531"/>
      <c r="Q161" s="531"/>
    </row>
    <row r="162" spans="13:17" ht="12.75">
      <c r="M162" s="531"/>
      <c r="Q162" s="531"/>
    </row>
    <row r="163" spans="13:17" ht="12.75">
      <c r="M163" s="531"/>
      <c r="Q163" s="531"/>
    </row>
    <row r="164" spans="13:17" ht="12.75">
      <c r="M164" s="531"/>
      <c r="Q164" s="531"/>
    </row>
    <row r="165" spans="13:17" ht="12.75">
      <c r="M165" s="531"/>
      <c r="Q165" s="531"/>
    </row>
    <row r="166" spans="13:17" ht="12.75">
      <c r="M166" s="531"/>
      <c r="Q166" s="531"/>
    </row>
    <row r="167" spans="13:17" ht="12.75">
      <c r="M167" s="531"/>
      <c r="Q167" s="531"/>
    </row>
    <row r="168" spans="13:17" ht="12.75">
      <c r="M168" s="531"/>
      <c r="Q168" s="531"/>
    </row>
    <row r="169" spans="13:17" ht="12.75">
      <c r="M169" s="531"/>
      <c r="Q169" s="531"/>
    </row>
    <row r="170" spans="13:17" ht="12.75">
      <c r="M170" s="531"/>
      <c r="Q170" s="531"/>
    </row>
    <row r="171" spans="13:17" ht="12.75">
      <c r="M171" s="531"/>
      <c r="Q171" s="531"/>
    </row>
    <row r="172" spans="13:17" ht="12.75">
      <c r="M172" s="531"/>
      <c r="Q172" s="531"/>
    </row>
    <row r="173" spans="13:17" ht="12.75">
      <c r="M173" s="531"/>
      <c r="Q173" s="531"/>
    </row>
    <row r="174" spans="13:17" ht="12.75">
      <c r="M174" s="531"/>
      <c r="Q174" s="531"/>
    </row>
    <row r="175" spans="13:17" ht="12.75">
      <c r="M175" s="531"/>
      <c r="Q175" s="531"/>
    </row>
    <row r="176" spans="13:17" ht="12.75">
      <c r="M176" s="531"/>
      <c r="Q176" s="531"/>
    </row>
    <row r="177" spans="13:17" ht="12.75">
      <c r="M177" s="531"/>
      <c r="Q177" s="531"/>
    </row>
    <row r="178" spans="13:17" ht="12.75">
      <c r="M178" s="531"/>
      <c r="Q178" s="531"/>
    </row>
    <row r="179" spans="13:17" ht="12.75">
      <c r="M179" s="531"/>
      <c r="Q179" s="531"/>
    </row>
    <row r="180" spans="13:17" ht="12.75">
      <c r="M180" s="531"/>
      <c r="Q180" s="531"/>
    </row>
    <row r="181" spans="13:17" ht="12.75">
      <c r="M181" s="531"/>
      <c r="Q181" s="531"/>
    </row>
    <row r="182" spans="13:17" ht="12.75">
      <c r="M182" s="531"/>
      <c r="Q182" s="531"/>
    </row>
    <row r="183" spans="13:17" ht="12.75">
      <c r="M183" s="531"/>
      <c r="Q183" s="531"/>
    </row>
    <row r="184" spans="13:17" ht="12.75">
      <c r="M184" s="531"/>
      <c r="Q184" s="531"/>
    </row>
    <row r="185" spans="13:17" ht="12.75">
      <c r="M185" s="531"/>
      <c r="Q185" s="531"/>
    </row>
    <row r="186" spans="13:17" ht="12.75">
      <c r="M186" s="531"/>
      <c r="Q186" s="531"/>
    </row>
    <row r="187" spans="13:17" ht="12.75">
      <c r="M187" s="531"/>
      <c r="Q187" s="531"/>
    </row>
    <row r="188" spans="13:17" ht="12.75">
      <c r="M188" s="531"/>
      <c r="Q188" s="531"/>
    </row>
    <row r="189" spans="13:17" ht="12.75">
      <c r="M189" s="531"/>
      <c r="Q189" s="531"/>
    </row>
    <row r="190" spans="13:17" ht="12.75">
      <c r="M190" s="531"/>
      <c r="Q190" s="531"/>
    </row>
    <row r="191" spans="13:17" ht="12.75">
      <c r="M191" s="531"/>
      <c r="Q191" s="531"/>
    </row>
    <row r="192" spans="13:17" ht="12.75">
      <c r="M192" s="531"/>
      <c r="Q192" s="531"/>
    </row>
    <row r="193" spans="13:17" ht="12.75">
      <c r="M193" s="531"/>
      <c r="Q193" s="531"/>
    </row>
    <row r="194" spans="13:17" ht="12.75">
      <c r="M194" s="531"/>
      <c r="Q194" s="531"/>
    </row>
    <row r="195" spans="13:17" ht="12.75">
      <c r="M195" s="531"/>
      <c r="Q195" s="531"/>
    </row>
    <row r="196" spans="13:17" ht="12.75">
      <c r="M196" s="531"/>
      <c r="Q196" s="531"/>
    </row>
    <row r="197" spans="13:17" ht="12.75">
      <c r="M197" s="531"/>
      <c r="Q197" s="531"/>
    </row>
    <row r="198" spans="13:17" ht="12.75">
      <c r="M198" s="531"/>
      <c r="Q198" s="531"/>
    </row>
    <row r="199" spans="13:17" ht="12.75">
      <c r="M199" s="531"/>
      <c r="Q199" s="531"/>
    </row>
    <row r="200" spans="13:17" ht="12.75">
      <c r="M200" s="531"/>
      <c r="Q200" s="531"/>
    </row>
    <row r="201" spans="13:17" ht="12.75">
      <c r="M201" s="531"/>
      <c r="Q201" s="531"/>
    </row>
    <row r="202" spans="13:17" ht="12.75">
      <c r="M202" s="531"/>
      <c r="Q202" s="531"/>
    </row>
    <row r="203" spans="13:17" ht="12.75">
      <c r="M203" s="531"/>
      <c r="Q203" s="531"/>
    </row>
    <row r="204" spans="13:17" ht="12.75">
      <c r="M204" s="531"/>
      <c r="Q204" s="531"/>
    </row>
    <row r="205" spans="13:17" ht="12.75">
      <c r="M205" s="531"/>
      <c r="Q205" s="531"/>
    </row>
    <row r="206" spans="13:17" ht="12.75">
      <c r="M206" s="531"/>
      <c r="Q206" s="531"/>
    </row>
    <row r="207" spans="13:17" ht="12.75">
      <c r="M207" s="531"/>
      <c r="Q207" s="531"/>
    </row>
    <row r="208" spans="13:17" ht="12.75">
      <c r="M208" s="531"/>
      <c r="Q208" s="531"/>
    </row>
    <row r="209" spans="13:17" ht="12.75">
      <c r="M209" s="531"/>
      <c r="Q209" s="531"/>
    </row>
    <row r="210" spans="13:17" ht="12.75">
      <c r="M210" s="531"/>
      <c r="Q210" s="531"/>
    </row>
    <row r="211" spans="13:17" ht="12.75">
      <c r="M211" s="531"/>
      <c r="Q211" s="531"/>
    </row>
    <row r="212" spans="13:17" ht="12.75">
      <c r="M212" s="531"/>
      <c r="Q212" s="531"/>
    </row>
    <row r="213" spans="13:17" ht="12.75">
      <c r="M213" s="531"/>
      <c r="Q213" s="531"/>
    </row>
    <row r="214" spans="13:17" ht="12.75">
      <c r="M214" s="531"/>
      <c r="Q214" s="531"/>
    </row>
    <row r="215" spans="13:17" ht="12.75">
      <c r="M215" s="531"/>
      <c r="Q215" s="531"/>
    </row>
    <row r="216" spans="13:17" ht="12.75">
      <c r="M216" s="531"/>
      <c r="Q216" s="531"/>
    </row>
    <row r="217" spans="13:17" ht="12.75">
      <c r="M217" s="531"/>
      <c r="Q217" s="531"/>
    </row>
    <row r="218" spans="13:17" ht="12.75">
      <c r="M218" s="531"/>
      <c r="Q218" s="531"/>
    </row>
    <row r="219" spans="13:17" ht="12.75">
      <c r="M219" s="531"/>
      <c r="Q219" s="531"/>
    </row>
    <row r="220" spans="13:17" ht="12.75">
      <c r="M220" s="531"/>
      <c r="Q220" s="531"/>
    </row>
    <row r="221" spans="13:17" ht="12.75">
      <c r="M221" s="531"/>
      <c r="Q221" s="531"/>
    </row>
    <row r="222" spans="13:17" ht="12.75">
      <c r="M222" s="531"/>
      <c r="Q222" s="531"/>
    </row>
    <row r="223" spans="13:17" ht="12.75">
      <c r="M223" s="531"/>
      <c r="Q223" s="531"/>
    </row>
    <row r="224" spans="13:17" ht="12.75">
      <c r="M224" s="531"/>
      <c r="Q224" s="531"/>
    </row>
    <row r="225" spans="13:17" ht="12.75">
      <c r="M225" s="531"/>
      <c r="Q225" s="531"/>
    </row>
    <row r="226" spans="13:17" ht="12.75">
      <c r="M226" s="531"/>
      <c r="Q226" s="531"/>
    </row>
    <row r="227" spans="13:17" ht="12.75">
      <c r="M227" s="531"/>
      <c r="Q227" s="531"/>
    </row>
    <row r="228" spans="13:17" ht="12.75">
      <c r="M228" s="531"/>
      <c r="Q228" s="531"/>
    </row>
    <row r="229" spans="13:17" ht="12.75">
      <c r="M229" s="531"/>
      <c r="Q229" s="531"/>
    </row>
    <row r="230" spans="13:17" ht="12.75">
      <c r="M230" s="531"/>
      <c r="Q230" s="531"/>
    </row>
    <row r="231" spans="13:17" ht="12.75">
      <c r="M231" s="531"/>
      <c r="Q231" s="531"/>
    </row>
    <row r="232" spans="13:17" ht="12.75">
      <c r="M232" s="531"/>
      <c r="Q232" s="531"/>
    </row>
    <row r="233" spans="13:17" ht="12.75">
      <c r="M233" s="531"/>
      <c r="Q233" s="531"/>
    </row>
    <row r="234" spans="13:17" ht="12.75">
      <c r="M234" s="531"/>
      <c r="Q234" s="531"/>
    </row>
    <row r="235" spans="13:17" ht="12.75">
      <c r="M235" s="531"/>
      <c r="Q235" s="531"/>
    </row>
    <row r="236" spans="13:17" ht="12.75">
      <c r="M236" s="531"/>
      <c r="Q236" s="531"/>
    </row>
    <row r="237" spans="13:17" ht="12.75">
      <c r="M237" s="531"/>
      <c r="Q237" s="531"/>
    </row>
    <row r="238" spans="13:17" ht="12.75">
      <c r="M238" s="531"/>
      <c r="Q238" s="531"/>
    </row>
    <row r="239" spans="13:17" ht="12.75">
      <c r="M239" s="531"/>
      <c r="Q239" s="531"/>
    </row>
    <row r="240" spans="13:17" ht="12.75">
      <c r="M240" s="531"/>
      <c r="Q240" s="531"/>
    </row>
    <row r="241" spans="13:17" ht="12.75">
      <c r="M241" s="531"/>
      <c r="Q241" s="531"/>
    </row>
    <row r="242" spans="13:17" ht="12.75">
      <c r="M242" s="531"/>
      <c r="Q242" s="531"/>
    </row>
    <row r="243" spans="13:17" ht="12.75">
      <c r="M243" s="531"/>
      <c r="Q243" s="531"/>
    </row>
    <row r="244" spans="13:17" ht="12.75">
      <c r="M244" s="531"/>
      <c r="Q244" s="531"/>
    </row>
    <row r="245" spans="13:17" ht="12.75">
      <c r="M245" s="531"/>
      <c r="Q245" s="531"/>
    </row>
    <row r="246" spans="13:17" ht="12.75">
      <c r="M246" s="531"/>
      <c r="Q246" s="531"/>
    </row>
    <row r="247" spans="13:17" ht="12.75">
      <c r="M247" s="531"/>
      <c r="Q247" s="531"/>
    </row>
    <row r="248" spans="13:17" ht="12.75">
      <c r="M248" s="531"/>
      <c r="Q248" s="531"/>
    </row>
    <row r="249" spans="13:17" ht="12.75">
      <c r="M249" s="531"/>
      <c r="Q249" s="531"/>
    </row>
    <row r="250" spans="13:17" ht="12.75">
      <c r="M250" s="531"/>
      <c r="Q250" s="531"/>
    </row>
    <row r="251" spans="13:17" ht="12.75">
      <c r="M251" s="531"/>
      <c r="Q251" s="531"/>
    </row>
    <row r="252" spans="13:17" ht="12.75">
      <c r="M252" s="531"/>
      <c r="Q252" s="531"/>
    </row>
    <row r="253" spans="13:17" ht="12.75">
      <c r="M253" s="531"/>
      <c r="Q253" s="531"/>
    </row>
    <row r="254" spans="13:17" ht="12.75">
      <c r="M254" s="531"/>
      <c r="Q254" s="531"/>
    </row>
    <row r="255" spans="13:17" ht="12.75">
      <c r="M255" s="531"/>
      <c r="Q255" s="531"/>
    </row>
    <row r="256" spans="13:17" ht="12.75">
      <c r="M256" s="531"/>
      <c r="Q256" s="531"/>
    </row>
    <row r="257" spans="13:17" ht="12.75">
      <c r="M257" s="531"/>
      <c r="Q257" s="531"/>
    </row>
    <row r="258" spans="13:17" ht="12.75">
      <c r="M258" s="531"/>
      <c r="Q258" s="531"/>
    </row>
    <row r="259" spans="13:17" ht="12.75">
      <c r="M259" s="531"/>
      <c r="Q259" s="531"/>
    </row>
    <row r="260" spans="13:17" ht="12.75">
      <c r="M260" s="531"/>
      <c r="Q260" s="531"/>
    </row>
    <row r="261" spans="13:17" ht="12.75">
      <c r="M261" s="531"/>
      <c r="Q261" s="531"/>
    </row>
    <row r="262" spans="13:17" ht="12.75">
      <c r="M262" s="531"/>
      <c r="Q262" s="531"/>
    </row>
    <row r="263" spans="13:17" ht="12.75">
      <c r="M263" s="531"/>
      <c r="Q263" s="531"/>
    </row>
    <row r="264" spans="13:17" ht="12.75">
      <c r="M264" s="531"/>
      <c r="Q264" s="531"/>
    </row>
    <row r="265" spans="13:17" ht="12.75">
      <c r="M265" s="531"/>
      <c r="Q265" s="531"/>
    </row>
    <row r="266" spans="13:17" ht="12.75">
      <c r="M266" s="531"/>
      <c r="Q266" s="531"/>
    </row>
    <row r="267" spans="13:17" ht="12.75">
      <c r="M267" s="531"/>
      <c r="Q267" s="531"/>
    </row>
    <row r="268" spans="13:17" ht="12.75">
      <c r="M268" s="531"/>
      <c r="Q268" s="531"/>
    </row>
    <row r="269" spans="13:17" ht="12.75">
      <c r="M269" s="531"/>
      <c r="Q269" s="531"/>
    </row>
    <row r="270" spans="13:17" ht="12.75">
      <c r="M270" s="531"/>
      <c r="Q270" s="531"/>
    </row>
    <row r="271" spans="13:17" ht="12.75">
      <c r="M271" s="531"/>
      <c r="Q271" s="531"/>
    </row>
    <row r="272" spans="13:17" ht="12.75">
      <c r="M272" s="531"/>
      <c r="Q272" s="531"/>
    </row>
    <row r="273" spans="13:17" ht="12.75">
      <c r="M273" s="531"/>
      <c r="Q273" s="531"/>
    </row>
    <row r="274" spans="13:17" ht="12.75">
      <c r="M274" s="531"/>
      <c r="Q274" s="531"/>
    </row>
    <row r="275" spans="13:17" ht="12.75">
      <c r="M275" s="531"/>
      <c r="Q275" s="531"/>
    </row>
    <row r="276" spans="13:17" ht="12.75">
      <c r="M276" s="531"/>
      <c r="Q276" s="531"/>
    </row>
    <row r="277" spans="13:17" ht="12.75">
      <c r="M277" s="531"/>
      <c r="Q277" s="531"/>
    </row>
    <row r="278" spans="13:17" ht="12.75">
      <c r="M278" s="531"/>
      <c r="Q278" s="531"/>
    </row>
    <row r="279" spans="13:17" ht="12.75">
      <c r="M279" s="531"/>
      <c r="Q279" s="531"/>
    </row>
    <row r="280" spans="13:17" ht="12.75">
      <c r="M280" s="531"/>
      <c r="Q280" s="531"/>
    </row>
    <row r="281" spans="13:17" ht="12.75">
      <c r="M281" s="531"/>
      <c r="Q281" s="531"/>
    </row>
    <row r="282" spans="13:17" ht="12.75">
      <c r="M282" s="531"/>
      <c r="Q282" s="531"/>
    </row>
    <row r="283" spans="13:17" ht="12.75">
      <c r="M283" s="531"/>
      <c r="Q283" s="531"/>
    </row>
    <row r="284" spans="13:17" ht="12.75">
      <c r="M284" s="531"/>
      <c r="Q284" s="531"/>
    </row>
    <row r="285" spans="13:17" ht="12.75">
      <c r="M285" s="531"/>
      <c r="Q285" s="531"/>
    </row>
    <row r="286" spans="13:17" ht="12.75">
      <c r="M286" s="531"/>
      <c r="Q286" s="531"/>
    </row>
    <row r="287" spans="13:17" ht="12.75">
      <c r="M287" s="531"/>
      <c r="Q287" s="531"/>
    </row>
    <row r="288" spans="13:17" ht="12.75">
      <c r="M288" s="531"/>
      <c r="Q288" s="531"/>
    </row>
    <row r="289" spans="13:17" ht="12.75">
      <c r="M289" s="531"/>
      <c r="Q289" s="531"/>
    </row>
    <row r="290" spans="13:17" ht="12.75">
      <c r="M290" s="531"/>
      <c r="Q290" s="531"/>
    </row>
    <row r="291" spans="13:17" ht="12.75">
      <c r="M291" s="531"/>
      <c r="Q291" s="531"/>
    </row>
    <row r="292" spans="13:17" ht="12.75">
      <c r="M292" s="531"/>
      <c r="Q292" s="531"/>
    </row>
    <row r="293" spans="13:17" ht="12.75">
      <c r="M293" s="531"/>
      <c r="Q293" s="531"/>
    </row>
    <row r="294" spans="13:17" ht="12.75">
      <c r="M294" s="531"/>
      <c r="Q294" s="531"/>
    </row>
    <row r="295" spans="13:17" ht="12.75">
      <c r="M295" s="531"/>
      <c r="Q295" s="531"/>
    </row>
    <row r="296" spans="13:17" ht="12.75">
      <c r="M296" s="531"/>
      <c r="Q296" s="531"/>
    </row>
    <row r="297" spans="13:17" ht="12.75">
      <c r="M297" s="531"/>
      <c r="Q297" s="531"/>
    </row>
    <row r="298" spans="13:17" ht="12.75">
      <c r="M298" s="531"/>
      <c r="Q298" s="531"/>
    </row>
    <row r="299" spans="13:17" ht="12.75">
      <c r="M299" s="531"/>
      <c r="Q299" s="531"/>
    </row>
    <row r="300" spans="13:17" ht="12.75">
      <c r="M300" s="531"/>
      <c r="Q300" s="531"/>
    </row>
    <row r="301" spans="13:17" ht="12.75">
      <c r="M301" s="531"/>
      <c r="Q301" s="531"/>
    </row>
    <row r="302" spans="13:17" ht="12.75">
      <c r="M302" s="531"/>
      <c r="Q302" s="531"/>
    </row>
    <row r="303" spans="13:17" ht="12.75">
      <c r="M303" s="531"/>
      <c r="Q303" s="531"/>
    </row>
    <row r="304" spans="13:17" ht="12.75">
      <c r="M304" s="531"/>
      <c r="Q304" s="531"/>
    </row>
    <row r="305" spans="13:17" ht="12.75">
      <c r="M305" s="531"/>
      <c r="Q305" s="531"/>
    </row>
    <row r="306" spans="13:17" ht="12.75">
      <c r="M306" s="531"/>
      <c r="Q306" s="531"/>
    </row>
    <row r="307" spans="13:17" ht="12.75">
      <c r="M307" s="531"/>
      <c r="Q307" s="531"/>
    </row>
    <row r="308" spans="13:17" ht="12.75">
      <c r="M308" s="531"/>
      <c r="Q308" s="531"/>
    </row>
    <row r="309" spans="13:17" ht="12.75">
      <c r="M309" s="531"/>
      <c r="Q309" s="531"/>
    </row>
    <row r="310" spans="13:17" ht="12.75">
      <c r="M310" s="531"/>
      <c r="Q310" s="531"/>
    </row>
    <row r="311" spans="13:17" ht="12.75">
      <c r="M311" s="531"/>
      <c r="Q311" s="531"/>
    </row>
    <row r="312" spans="13:17" ht="12.75">
      <c r="M312" s="531"/>
      <c r="Q312" s="531"/>
    </row>
    <row r="313" spans="13:17" ht="12.75">
      <c r="M313" s="531"/>
      <c r="Q313" s="531"/>
    </row>
    <row r="314" spans="13:17" ht="12.75">
      <c r="M314" s="531"/>
      <c r="Q314" s="531"/>
    </row>
    <row r="315" spans="13:17" ht="12.75">
      <c r="M315" s="531"/>
      <c r="Q315" s="531"/>
    </row>
    <row r="316" spans="13:17" ht="12.75">
      <c r="M316" s="531"/>
      <c r="Q316" s="531"/>
    </row>
    <row r="317" spans="13:17" ht="12.75">
      <c r="M317" s="531"/>
      <c r="Q317" s="531"/>
    </row>
    <row r="318" spans="13:17" ht="12.75">
      <c r="M318" s="531"/>
      <c r="Q318" s="531"/>
    </row>
    <row r="319" spans="13:17" ht="12.75">
      <c r="M319" s="531"/>
      <c r="Q319" s="531"/>
    </row>
    <row r="320" spans="13:17" ht="12.75">
      <c r="M320" s="531"/>
      <c r="Q320" s="531"/>
    </row>
    <row r="321" spans="13:17" ht="12.75">
      <c r="M321" s="531"/>
      <c r="Q321" s="531"/>
    </row>
    <row r="322" spans="13:17" ht="12.75">
      <c r="M322" s="531"/>
      <c r="Q322" s="531"/>
    </row>
    <row r="323" spans="13:17" ht="12.75">
      <c r="M323" s="531"/>
      <c r="Q323" s="531"/>
    </row>
    <row r="324" spans="13:17" ht="12.75">
      <c r="M324" s="531"/>
      <c r="Q324" s="531"/>
    </row>
    <row r="325" spans="13:17" ht="12.75">
      <c r="M325" s="531"/>
      <c r="Q325" s="531"/>
    </row>
    <row r="326" spans="13:17" ht="12.75">
      <c r="M326" s="531"/>
      <c r="Q326" s="531"/>
    </row>
    <row r="327" spans="13:17" ht="12.75">
      <c r="M327" s="531"/>
      <c r="Q327" s="531"/>
    </row>
    <row r="328" spans="13:17" ht="12.75">
      <c r="M328" s="531"/>
      <c r="Q328" s="531"/>
    </row>
    <row r="329" spans="13:17" ht="12.75">
      <c r="M329" s="531"/>
      <c r="Q329" s="531"/>
    </row>
    <row r="330" spans="13:17" ht="12.75">
      <c r="M330" s="531"/>
      <c r="Q330" s="531"/>
    </row>
    <row r="331" spans="13:17" ht="12.75">
      <c r="M331" s="531"/>
      <c r="Q331" s="531"/>
    </row>
    <row r="332" spans="13:17" ht="12.75">
      <c r="M332" s="531"/>
      <c r="Q332" s="531"/>
    </row>
    <row r="333" spans="13:17" ht="12.75">
      <c r="M333" s="531"/>
      <c r="Q333" s="531"/>
    </row>
    <row r="334" spans="13:17" ht="12.75">
      <c r="M334" s="531"/>
      <c r="Q334" s="531"/>
    </row>
    <row r="335" spans="13:17" ht="12.75">
      <c r="M335" s="531"/>
      <c r="Q335" s="531"/>
    </row>
    <row r="336" spans="13:17" ht="12.75">
      <c r="M336" s="531"/>
      <c r="Q336" s="531"/>
    </row>
    <row r="337" spans="13:17" ht="12.75">
      <c r="M337" s="531"/>
      <c r="Q337" s="531"/>
    </row>
    <row r="338" spans="13:17" ht="12.75">
      <c r="M338" s="531"/>
      <c r="Q338" s="531"/>
    </row>
    <row r="339" spans="13:17" ht="12.75">
      <c r="M339" s="531"/>
      <c r="Q339" s="531"/>
    </row>
    <row r="340" spans="13:17" ht="12.75">
      <c r="M340" s="531"/>
      <c r="Q340" s="531"/>
    </row>
    <row r="341" spans="13:17" ht="12.75">
      <c r="M341" s="531"/>
      <c r="Q341" s="531"/>
    </row>
    <row r="342" spans="13:17" ht="12.75">
      <c r="M342" s="531"/>
      <c r="Q342" s="531"/>
    </row>
    <row r="343" spans="13:17" ht="12.75">
      <c r="M343" s="531"/>
      <c r="Q343" s="531"/>
    </row>
    <row r="344" spans="13:17" ht="12.75">
      <c r="M344" s="531"/>
      <c r="Q344" s="531"/>
    </row>
    <row r="345" spans="13:17" ht="12.75">
      <c r="M345" s="531"/>
      <c r="Q345" s="531"/>
    </row>
    <row r="346" spans="13:17" ht="12.75">
      <c r="M346" s="531"/>
      <c r="Q346" s="531"/>
    </row>
    <row r="347" spans="13:17" ht="12.75">
      <c r="M347" s="531"/>
      <c r="Q347" s="531"/>
    </row>
    <row r="348" spans="13:17" ht="12.75">
      <c r="M348" s="531"/>
      <c r="Q348" s="531"/>
    </row>
    <row r="349" spans="13:17" ht="12.75">
      <c r="M349" s="531"/>
      <c r="Q349" s="531"/>
    </row>
    <row r="350" spans="13:17" ht="12.75">
      <c r="M350" s="531"/>
      <c r="Q350" s="531"/>
    </row>
    <row r="351" spans="13:17" ht="12.75">
      <c r="M351" s="531"/>
      <c r="Q351" s="531"/>
    </row>
    <row r="352" spans="13:17" ht="12.75">
      <c r="M352" s="531"/>
      <c r="Q352" s="531"/>
    </row>
    <row r="353" spans="13:17" ht="12.75">
      <c r="M353" s="531"/>
      <c r="Q353" s="531"/>
    </row>
    <row r="354" spans="13:17" ht="12.75">
      <c r="M354" s="531"/>
      <c r="Q354" s="531"/>
    </row>
    <row r="355" spans="13:17" ht="12.75">
      <c r="M355" s="531"/>
      <c r="Q355" s="531"/>
    </row>
    <row r="356" spans="13:17" ht="12.75">
      <c r="M356" s="531"/>
      <c r="Q356" s="531"/>
    </row>
    <row r="357" spans="13:17" ht="12.75">
      <c r="M357" s="531"/>
      <c r="Q357" s="531"/>
    </row>
    <row r="358" spans="13:17" ht="12.75">
      <c r="M358" s="531"/>
      <c r="Q358" s="531"/>
    </row>
    <row r="359" spans="13:17" ht="12.75">
      <c r="M359" s="531"/>
      <c r="Q359" s="531"/>
    </row>
    <row r="360" spans="13:17" ht="12.75">
      <c r="M360" s="531"/>
      <c r="Q360" s="531"/>
    </row>
    <row r="361" spans="13:17" ht="12.75">
      <c r="M361" s="531"/>
      <c r="Q361" s="531"/>
    </row>
    <row r="362" spans="13:17" ht="12.75">
      <c r="M362" s="531"/>
      <c r="Q362" s="531"/>
    </row>
    <row r="363" spans="13:17" ht="12.75">
      <c r="M363" s="531"/>
      <c r="Q363" s="531"/>
    </row>
    <row r="364" spans="13:17" ht="12.75">
      <c r="M364" s="531"/>
      <c r="Q364" s="531"/>
    </row>
    <row r="365" spans="13:17" ht="12.75">
      <c r="M365" s="531"/>
      <c r="Q365" s="531"/>
    </row>
    <row r="366" spans="13:17" ht="12.75">
      <c r="M366" s="531"/>
      <c r="Q366" s="531"/>
    </row>
    <row r="367" spans="13:17" ht="12.75">
      <c r="M367" s="531"/>
      <c r="Q367" s="531"/>
    </row>
    <row r="368" spans="13:17" ht="12.75">
      <c r="M368" s="531"/>
      <c r="Q368" s="531"/>
    </row>
    <row r="369" spans="13:17" ht="12.75">
      <c r="M369" s="531"/>
      <c r="Q369" s="531"/>
    </row>
    <row r="370" spans="13:17" ht="12.75">
      <c r="M370" s="531"/>
      <c r="Q370" s="531"/>
    </row>
    <row r="371" spans="13:17" ht="12.75">
      <c r="M371" s="531"/>
      <c r="Q371" s="531"/>
    </row>
    <row r="372" spans="13:17" ht="12.75">
      <c r="M372" s="531"/>
      <c r="Q372" s="531"/>
    </row>
    <row r="373" spans="13:17" ht="12.75">
      <c r="M373" s="531"/>
      <c r="Q373" s="531"/>
    </row>
    <row r="374" spans="13:17" ht="12.75">
      <c r="M374" s="531"/>
      <c r="Q374" s="531"/>
    </row>
    <row r="375" spans="13:17" ht="12.75">
      <c r="M375" s="531"/>
      <c r="Q375" s="531"/>
    </row>
    <row r="376" spans="13:17" ht="12.75">
      <c r="M376" s="531"/>
      <c r="Q376" s="531"/>
    </row>
    <row r="377" spans="13:17" ht="12.75">
      <c r="M377" s="531"/>
      <c r="Q377" s="531"/>
    </row>
    <row r="378" spans="13:17" ht="12.75">
      <c r="M378" s="531"/>
      <c r="Q378" s="531"/>
    </row>
    <row r="379" spans="13:17" ht="12.75">
      <c r="M379" s="531"/>
      <c r="Q379" s="531"/>
    </row>
    <row r="380" spans="13:17" ht="12.75">
      <c r="M380" s="531"/>
      <c r="Q380" s="531"/>
    </row>
    <row r="381" spans="13:17" ht="12.75">
      <c r="M381" s="531"/>
      <c r="Q381" s="531"/>
    </row>
    <row r="382" spans="13:17" ht="12.75">
      <c r="M382" s="531"/>
      <c r="Q382" s="531"/>
    </row>
    <row r="383" spans="13:17" ht="12.75">
      <c r="M383" s="531"/>
      <c r="Q383" s="531"/>
    </row>
    <row r="384" spans="13:17" ht="12.75">
      <c r="M384" s="531"/>
      <c r="Q384" s="531"/>
    </row>
    <row r="385" spans="13:17" ht="12.75">
      <c r="M385" s="531"/>
      <c r="Q385" s="531"/>
    </row>
    <row r="386" spans="13:17" ht="12.75">
      <c r="M386" s="531"/>
      <c r="Q386" s="531"/>
    </row>
    <row r="387" spans="13:17" ht="12.75">
      <c r="M387" s="531"/>
      <c r="Q387" s="531"/>
    </row>
    <row r="388" spans="13:17" ht="12.75">
      <c r="M388" s="531"/>
      <c r="Q388" s="531"/>
    </row>
    <row r="389" spans="13:17" ht="12.75">
      <c r="M389" s="531"/>
      <c r="Q389" s="531"/>
    </row>
    <row r="390" spans="13:17" ht="12.75">
      <c r="M390" s="531"/>
      <c r="Q390" s="531"/>
    </row>
    <row r="391" spans="13:17" ht="12.75">
      <c r="M391" s="531"/>
      <c r="Q391" s="531"/>
    </row>
    <row r="392" spans="13:17" ht="12.75">
      <c r="M392" s="531"/>
      <c r="Q392" s="531"/>
    </row>
    <row r="393" spans="13:17" ht="12.75">
      <c r="M393" s="531"/>
      <c r="Q393" s="531"/>
    </row>
    <row r="394" spans="13:17" ht="12.75">
      <c r="M394" s="531"/>
      <c r="Q394" s="531"/>
    </row>
    <row r="395" spans="13:17" ht="12.75">
      <c r="M395" s="531"/>
      <c r="Q395" s="531"/>
    </row>
    <row r="396" spans="13:17" ht="12.75">
      <c r="M396" s="531"/>
      <c r="Q396" s="531"/>
    </row>
    <row r="397" spans="13:17" ht="12.75">
      <c r="M397" s="531"/>
      <c r="Q397" s="531"/>
    </row>
    <row r="398" spans="13:17" ht="12.75">
      <c r="M398" s="531"/>
      <c r="Q398" s="531"/>
    </row>
    <row r="399" spans="13:17" ht="12.75">
      <c r="M399" s="531"/>
      <c r="Q399" s="531"/>
    </row>
    <row r="400" spans="13:17" ht="12.75">
      <c r="M400" s="531"/>
      <c r="Q400" s="531"/>
    </row>
    <row r="401" spans="13:17" ht="12.75">
      <c r="M401" s="531"/>
      <c r="Q401" s="531"/>
    </row>
    <row r="402" spans="13:17" ht="12.75">
      <c r="M402" s="531"/>
      <c r="Q402" s="531"/>
    </row>
    <row r="403" spans="13:17" ht="12.75">
      <c r="M403" s="531"/>
      <c r="Q403" s="531"/>
    </row>
    <row r="404" spans="13:17" ht="12.75">
      <c r="M404" s="531"/>
      <c r="Q404" s="531"/>
    </row>
    <row r="405" spans="13:17" ht="12.75">
      <c r="M405" s="531"/>
      <c r="Q405" s="531"/>
    </row>
    <row r="406" spans="13:17" ht="12.75">
      <c r="M406" s="531"/>
      <c r="Q406" s="531"/>
    </row>
    <row r="407" spans="13:17" ht="12.75">
      <c r="M407" s="531"/>
      <c r="Q407" s="531"/>
    </row>
    <row r="408" spans="13:17" ht="12.75">
      <c r="M408" s="531"/>
      <c r="Q408" s="531"/>
    </row>
    <row r="409" spans="13:17" ht="12.75">
      <c r="M409" s="531"/>
      <c r="Q409" s="531"/>
    </row>
    <row r="410" spans="13:17" ht="12.75">
      <c r="M410" s="531"/>
      <c r="Q410" s="531"/>
    </row>
    <row r="411" spans="13:17" ht="12.75">
      <c r="M411" s="531"/>
      <c r="Q411" s="531"/>
    </row>
    <row r="412" spans="13:17" ht="12.75">
      <c r="M412" s="531"/>
      <c r="Q412" s="531"/>
    </row>
    <row r="413" spans="13:17" ht="12.75">
      <c r="M413" s="531"/>
      <c r="Q413" s="531"/>
    </row>
    <row r="414" spans="13:17" ht="12.75">
      <c r="M414" s="531"/>
      <c r="Q414" s="531"/>
    </row>
    <row r="415" spans="13:17" ht="12.75">
      <c r="M415" s="531"/>
      <c r="Q415" s="531"/>
    </row>
    <row r="416" spans="13:17" ht="12.75">
      <c r="M416" s="531"/>
      <c r="Q416" s="531"/>
    </row>
    <row r="417" spans="13:17" ht="12.75">
      <c r="M417" s="531"/>
      <c r="Q417" s="531"/>
    </row>
    <row r="418" spans="13:17" ht="12.75">
      <c r="M418" s="531"/>
      <c r="Q418" s="531"/>
    </row>
    <row r="419" spans="13:17" ht="12.75">
      <c r="M419" s="531"/>
      <c r="Q419" s="531"/>
    </row>
    <row r="420" spans="13:17" ht="12.75">
      <c r="M420" s="531"/>
      <c r="Q420" s="531"/>
    </row>
    <row r="421" spans="13:17" ht="12.75">
      <c r="M421" s="531"/>
      <c r="Q421" s="531"/>
    </row>
    <row r="422" spans="13:17" ht="12.75">
      <c r="M422" s="531"/>
      <c r="Q422" s="531"/>
    </row>
    <row r="423" spans="13:17" ht="12.75">
      <c r="M423" s="531"/>
      <c r="Q423" s="531"/>
    </row>
    <row r="424" spans="13:17" ht="12.75">
      <c r="M424" s="531"/>
      <c r="Q424" s="531"/>
    </row>
    <row r="425" spans="13:17" ht="12.75">
      <c r="M425" s="531"/>
      <c r="Q425" s="531"/>
    </row>
    <row r="426" spans="13:17" ht="12.75">
      <c r="M426" s="531"/>
      <c r="Q426" s="531"/>
    </row>
    <row r="427" spans="13:17" ht="12.75">
      <c r="M427" s="531"/>
      <c r="Q427" s="531"/>
    </row>
    <row r="428" spans="13:17" ht="12.75">
      <c r="M428" s="531"/>
      <c r="Q428" s="531"/>
    </row>
    <row r="429" spans="13:17" ht="12.75">
      <c r="M429" s="531"/>
      <c r="Q429" s="531"/>
    </row>
    <row r="430" spans="13:17" ht="12.75">
      <c r="M430" s="531"/>
      <c r="Q430" s="531"/>
    </row>
    <row r="431" spans="13:17" ht="12.75">
      <c r="M431" s="531"/>
      <c r="Q431" s="531"/>
    </row>
    <row r="432" spans="13:17" ht="12.75">
      <c r="M432" s="531"/>
      <c r="Q432" s="531"/>
    </row>
    <row r="433" spans="13:17" ht="12.75">
      <c r="M433" s="531"/>
      <c r="Q433" s="531"/>
    </row>
    <row r="434" spans="13:17" ht="12.75">
      <c r="M434" s="531"/>
      <c r="Q434" s="531"/>
    </row>
    <row r="435" spans="13:17" ht="12.75">
      <c r="M435" s="531"/>
      <c r="Q435" s="531"/>
    </row>
    <row r="436" spans="13:17" ht="12.75">
      <c r="M436" s="531"/>
      <c r="Q436" s="531"/>
    </row>
    <row r="437" spans="13:17" ht="12.75">
      <c r="M437" s="531"/>
      <c r="Q437" s="531"/>
    </row>
    <row r="438" spans="13:17" ht="12.75">
      <c r="M438" s="531"/>
      <c r="Q438" s="531"/>
    </row>
    <row r="439" spans="13:17" ht="12.75">
      <c r="M439" s="531"/>
      <c r="Q439" s="531"/>
    </row>
    <row r="440" spans="13:17" ht="12.75">
      <c r="M440" s="531"/>
      <c r="Q440" s="531"/>
    </row>
    <row r="441" spans="13:17" ht="12.75">
      <c r="M441" s="531"/>
      <c r="Q441" s="531"/>
    </row>
    <row r="442" spans="13:17" ht="12.75">
      <c r="M442" s="531"/>
      <c r="Q442" s="531"/>
    </row>
    <row r="443" spans="13:17" ht="12.75">
      <c r="M443" s="531"/>
      <c r="Q443" s="531"/>
    </row>
    <row r="444" spans="13:17" ht="12.75">
      <c r="M444" s="531"/>
      <c r="Q444" s="531"/>
    </row>
    <row r="445" spans="13:17" ht="12.75">
      <c r="M445" s="531"/>
      <c r="Q445" s="531"/>
    </row>
    <row r="446" spans="13:17" ht="12.75">
      <c r="M446" s="531"/>
      <c r="Q446" s="531"/>
    </row>
    <row r="447" spans="13:17" ht="12.75">
      <c r="M447" s="531"/>
      <c r="Q447" s="531"/>
    </row>
    <row r="448" spans="13:17" ht="12.75">
      <c r="M448" s="531"/>
      <c r="Q448" s="531"/>
    </row>
    <row r="449" spans="13:17" ht="12.75">
      <c r="M449" s="531"/>
      <c r="Q449" s="531"/>
    </row>
    <row r="450" spans="13:17" ht="12.75">
      <c r="M450" s="531"/>
      <c r="Q450" s="531"/>
    </row>
    <row r="451" spans="13:17" ht="12.75">
      <c r="M451" s="531"/>
      <c r="Q451" s="531"/>
    </row>
    <row r="452" spans="13:17" ht="12.75">
      <c r="M452" s="531"/>
      <c r="Q452" s="531"/>
    </row>
    <row r="453" spans="13:17" ht="12.75">
      <c r="M453" s="531"/>
      <c r="Q453" s="531"/>
    </row>
    <row r="454" spans="13:17" ht="12.75">
      <c r="M454" s="531"/>
      <c r="Q454" s="531"/>
    </row>
    <row r="455" spans="13:17" ht="12.75">
      <c r="M455" s="531"/>
      <c r="Q455" s="531"/>
    </row>
    <row r="456" spans="13:17" ht="12.75">
      <c r="M456" s="531"/>
      <c r="Q456" s="531"/>
    </row>
    <row r="457" spans="13:17" ht="12.75">
      <c r="M457" s="531"/>
      <c r="Q457" s="531"/>
    </row>
    <row r="458" spans="13:17" ht="12.75">
      <c r="M458" s="531"/>
      <c r="Q458" s="531"/>
    </row>
    <row r="459" spans="13:17" ht="12.75">
      <c r="M459" s="531"/>
      <c r="Q459" s="531"/>
    </row>
    <row r="460" spans="13:17" ht="12.75">
      <c r="M460" s="531"/>
      <c r="Q460" s="531"/>
    </row>
    <row r="461" spans="13:17" ht="12.75">
      <c r="M461" s="531"/>
      <c r="Q461" s="531"/>
    </row>
    <row r="462" spans="13:17" ht="12.75">
      <c r="M462" s="531"/>
      <c r="Q462" s="531"/>
    </row>
    <row r="463" spans="13:17" ht="12.75">
      <c r="M463" s="531"/>
      <c r="Q463" s="531"/>
    </row>
    <row r="464" spans="13:17" ht="12.75">
      <c r="M464" s="531"/>
      <c r="Q464" s="531"/>
    </row>
    <row r="465" spans="13:17" ht="12.75">
      <c r="M465" s="531"/>
      <c r="Q465" s="531"/>
    </row>
    <row r="466" spans="13:17" ht="12.75">
      <c r="M466" s="531"/>
      <c r="Q466" s="531"/>
    </row>
    <row r="467" spans="13:17" ht="12.75">
      <c r="M467" s="531"/>
      <c r="Q467" s="531"/>
    </row>
    <row r="468" spans="13:17" ht="12.75">
      <c r="M468" s="531"/>
      <c r="Q468" s="531"/>
    </row>
    <row r="469" spans="13:17" ht="12.75">
      <c r="M469" s="531"/>
      <c r="Q469" s="531"/>
    </row>
    <row r="470" spans="13:17" ht="12.75">
      <c r="M470" s="531"/>
      <c r="Q470" s="531"/>
    </row>
    <row r="471" spans="13:17" ht="12.75">
      <c r="M471" s="531"/>
      <c r="Q471" s="531"/>
    </row>
    <row r="472" spans="13:17" ht="12.75">
      <c r="M472" s="531"/>
      <c r="Q472" s="531"/>
    </row>
    <row r="473" spans="13:17" ht="12.75">
      <c r="M473" s="531"/>
      <c r="Q473" s="531"/>
    </row>
    <row r="474" spans="13:17" ht="12.75">
      <c r="M474" s="531"/>
      <c r="Q474" s="531"/>
    </row>
    <row r="475" spans="13:17" ht="12.75">
      <c r="M475" s="531"/>
      <c r="Q475" s="531"/>
    </row>
    <row r="476" spans="13:17" ht="12.75">
      <c r="M476" s="531"/>
      <c r="Q476" s="531"/>
    </row>
    <row r="477" spans="13:17" ht="12.75">
      <c r="M477" s="531"/>
      <c r="Q477" s="531"/>
    </row>
    <row r="478" spans="13:17" ht="12.75">
      <c r="M478" s="531"/>
      <c r="Q478" s="531"/>
    </row>
    <row r="479" spans="13:17" ht="12.75">
      <c r="M479" s="531"/>
      <c r="Q479" s="531"/>
    </row>
    <row r="480" spans="13:17" ht="12.75">
      <c r="M480" s="531"/>
      <c r="Q480" s="531"/>
    </row>
    <row r="481" spans="13:17" ht="12.75">
      <c r="M481" s="531"/>
      <c r="Q481" s="531"/>
    </row>
    <row r="482" spans="13:17" ht="12.75">
      <c r="M482" s="531"/>
      <c r="Q482" s="531"/>
    </row>
    <row r="483" spans="13:17" ht="12.75">
      <c r="M483" s="531"/>
      <c r="Q483" s="531"/>
    </row>
    <row r="484" spans="13:17" ht="12.75">
      <c r="M484" s="531"/>
      <c r="Q484" s="531"/>
    </row>
    <row r="485" spans="13:17" ht="12.75">
      <c r="M485" s="531"/>
      <c r="Q485" s="531"/>
    </row>
    <row r="486" spans="13:17" ht="12.75">
      <c r="M486" s="531"/>
      <c r="Q486" s="531"/>
    </row>
    <row r="487" spans="13:17" ht="12.75">
      <c r="M487" s="531"/>
      <c r="Q487" s="531"/>
    </row>
    <row r="488" spans="13:17" ht="12.75">
      <c r="M488" s="531"/>
      <c r="Q488" s="531"/>
    </row>
    <row r="489" spans="13:17" ht="12.75">
      <c r="M489" s="531"/>
      <c r="Q489" s="531"/>
    </row>
    <row r="490" spans="13:17" ht="12.75">
      <c r="M490" s="531"/>
      <c r="Q490" s="531"/>
    </row>
    <row r="491" spans="13:17" ht="12.75">
      <c r="M491" s="531"/>
      <c r="Q491" s="531"/>
    </row>
    <row r="492" spans="13:17" ht="12.75">
      <c r="M492" s="531"/>
      <c r="Q492" s="531"/>
    </row>
    <row r="493" spans="13:17" ht="12.75">
      <c r="M493" s="531"/>
      <c r="Q493" s="531"/>
    </row>
    <row r="494" spans="13:17" ht="12.75">
      <c r="M494" s="531"/>
      <c r="Q494" s="531"/>
    </row>
    <row r="495" spans="13:17" ht="12.75">
      <c r="M495" s="531"/>
      <c r="Q495" s="531"/>
    </row>
    <row r="496" spans="13:17" ht="12.75">
      <c r="M496" s="531"/>
      <c r="Q496" s="531"/>
    </row>
    <row r="497" spans="13:17" ht="12.75">
      <c r="M497" s="531"/>
      <c r="Q497" s="531"/>
    </row>
    <row r="498" spans="13:17" ht="12.75">
      <c r="M498" s="531"/>
      <c r="Q498" s="531"/>
    </row>
    <row r="499" spans="13:17" ht="12.75">
      <c r="M499" s="531"/>
      <c r="Q499" s="531"/>
    </row>
    <row r="500" spans="13:17" ht="12.75">
      <c r="M500" s="531"/>
      <c r="Q500" s="531"/>
    </row>
    <row r="501" spans="13:17" ht="12.75">
      <c r="M501" s="531"/>
      <c r="Q501" s="531"/>
    </row>
    <row r="502" spans="13:17" ht="12.75">
      <c r="M502" s="531"/>
      <c r="Q502" s="531"/>
    </row>
    <row r="503" spans="13:17" ht="12.75">
      <c r="M503" s="531"/>
      <c r="Q503" s="531"/>
    </row>
    <row r="504" spans="13:17" ht="12.75">
      <c r="M504" s="531"/>
      <c r="Q504" s="531"/>
    </row>
    <row r="505" spans="13:17" ht="12.75">
      <c r="M505" s="531"/>
      <c r="Q505" s="531"/>
    </row>
    <row r="506" spans="13:17" ht="12.75">
      <c r="M506" s="531"/>
      <c r="Q506" s="531"/>
    </row>
    <row r="507" spans="13:17" ht="12.75">
      <c r="M507" s="531"/>
      <c r="Q507" s="531"/>
    </row>
    <row r="508" spans="13:17" ht="12.75">
      <c r="M508" s="531"/>
      <c r="Q508" s="531"/>
    </row>
    <row r="509" spans="13:17" ht="12.75">
      <c r="M509" s="531"/>
      <c r="Q509" s="531"/>
    </row>
    <row r="510" spans="13:17" ht="12.75">
      <c r="M510" s="531"/>
      <c r="Q510" s="531"/>
    </row>
    <row r="511" spans="13:17" ht="12.75">
      <c r="M511" s="531"/>
      <c r="Q511" s="531"/>
    </row>
    <row r="512" spans="13:17" ht="12.75">
      <c r="M512" s="531"/>
      <c r="Q512" s="531"/>
    </row>
    <row r="513" spans="13:17" ht="12.75">
      <c r="M513" s="531"/>
      <c r="Q513" s="531"/>
    </row>
    <row r="514" spans="13:17" ht="12.75">
      <c r="M514" s="531"/>
      <c r="Q514" s="531"/>
    </row>
    <row r="515" spans="13:17" ht="12.75">
      <c r="M515" s="531"/>
      <c r="Q515" s="531"/>
    </row>
    <row r="516" spans="13:17" ht="12.75">
      <c r="M516" s="531"/>
      <c r="Q516" s="531"/>
    </row>
    <row r="517" spans="13:17" ht="12.75">
      <c r="M517" s="531"/>
      <c r="Q517" s="531"/>
    </row>
    <row r="518" spans="13:17" ht="12.75">
      <c r="M518" s="531"/>
      <c r="Q518" s="531"/>
    </row>
    <row r="519" spans="13:17" ht="12.75">
      <c r="M519" s="531"/>
      <c r="Q519" s="531"/>
    </row>
    <row r="520" spans="13:17" ht="12.75">
      <c r="M520" s="531"/>
      <c r="Q520" s="531"/>
    </row>
    <row r="521" spans="13:17" ht="12.75">
      <c r="M521" s="531"/>
      <c r="Q521" s="531"/>
    </row>
    <row r="522" spans="13:17" ht="12.75">
      <c r="M522" s="531"/>
      <c r="Q522" s="531"/>
    </row>
    <row r="523" spans="13:17" ht="12.75">
      <c r="M523" s="531"/>
      <c r="Q523" s="531"/>
    </row>
    <row r="524" spans="13:17" ht="12.75">
      <c r="M524" s="531"/>
      <c r="Q524" s="531"/>
    </row>
    <row r="525" spans="13:17" ht="12.75">
      <c r="M525" s="531"/>
      <c r="Q525" s="531"/>
    </row>
    <row r="526" spans="13:17" ht="12.75">
      <c r="M526" s="531"/>
      <c r="Q526" s="531"/>
    </row>
    <row r="527" spans="13:17" ht="12.75">
      <c r="M527" s="531"/>
      <c r="Q527" s="531"/>
    </row>
    <row r="528" spans="13:17" ht="12.75">
      <c r="M528" s="531"/>
      <c r="Q528" s="531"/>
    </row>
    <row r="529" spans="13:17" ht="12.75">
      <c r="M529" s="531"/>
      <c r="Q529" s="531"/>
    </row>
    <row r="530" spans="13:17" ht="12.75">
      <c r="M530" s="531"/>
      <c r="Q530" s="531"/>
    </row>
    <row r="531" spans="13:17" ht="12.75">
      <c r="M531" s="531"/>
      <c r="Q531" s="531"/>
    </row>
    <row r="532" spans="13:17" ht="12.75">
      <c r="M532" s="531"/>
      <c r="Q532" s="531"/>
    </row>
    <row r="533" spans="13:17" ht="12.75">
      <c r="M533" s="531"/>
      <c r="Q533" s="531"/>
    </row>
    <row r="534" spans="13:17" ht="12.75">
      <c r="M534" s="531"/>
      <c r="Q534" s="531"/>
    </row>
    <row r="535" spans="13:17" ht="12.75">
      <c r="M535" s="531"/>
      <c r="Q535" s="531"/>
    </row>
    <row r="536" spans="13:17" ht="12.75">
      <c r="M536" s="531"/>
      <c r="Q536" s="531"/>
    </row>
    <row r="537" spans="13:17" ht="12.75">
      <c r="M537" s="531"/>
      <c r="Q537" s="531"/>
    </row>
    <row r="538" spans="13:17" ht="12.75">
      <c r="M538" s="531"/>
      <c r="Q538" s="531"/>
    </row>
    <row r="539" spans="13:17" ht="12.75">
      <c r="M539" s="531"/>
      <c r="Q539" s="531"/>
    </row>
    <row r="540" spans="13:17" ht="12.75">
      <c r="M540" s="531"/>
      <c r="Q540" s="531"/>
    </row>
    <row r="541" spans="13:17" ht="12.75">
      <c r="M541" s="531"/>
      <c r="Q541" s="531"/>
    </row>
    <row r="542" spans="13:17" ht="12.75">
      <c r="M542" s="531"/>
      <c r="Q542" s="531"/>
    </row>
    <row r="543" spans="13:17" ht="12.75">
      <c r="M543" s="531"/>
      <c r="Q543" s="531"/>
    </row>
    <row r="544" spans="13:17" ht="12.75">
      <c r="M544" s="531"/>
      <c r="Q544" s="531"/>
    </row>
    <row r="545" spans="13:17" ht="12.75">
      <c r="M545" s="531"/>
      <c r="Q545" s="531"/>
    </row>
    <row r="546" spans="13:17" ht="12.75">
      <c r="M546" s="531"/>
      <c r="Q546" s="531"/>
    </row>
    <row r="547" spans="13:17" ht="12.75">
      <c r="M547" s="531"/>
      <c r="Q547" s="531"/>
    </row>
    <row r="548" spans="13:17" ht="12.75">
      <c r="M548" s="531"/>
      <c r="Q548" s="531"/>
    </row>
    <row r="549" spans="13:17" ht="12.75">
      <c r="M549" s="531"/>
      <c r="Q549" s="531"/>
    </row>
    <row r="550" spans="13:17" ht="12.75">
      <c r="M550" s="531"/>
      <c r="Q550" s="531"/>
    </row>
    <row r="551" spans="13:17" ht="12.75">
      <c r="M551" s="531"/>
      <c r="Q551" s="531"/>
    </row>
    <row r="552" spans="13:17" ht="12.75">
      <c r="M552" s="531"/>
      <c r="Q552" s="531"/>
    </row>
    <row r="553" spans="13:17" ht="12.75">
      <c r="M553" s="531"/>
      <c r="Q553" s="531"/>
    </row>
    <row r="554" spans="13:17" ht="12.75">
      <c r="M554" s="531"/>
      <c r="Q554" s="531"/>
    </row>
    <row r="555" spans="13:17" ht="12.75">
      <c r="M555" s="531"/>
      <c r="Q555" s="531"/>
    </row>
    <row r="556" spans="13:17" ht="12.75">
      <c r="M556" s="531"/>
      <c r="Q556" s="531"/>
    </row>
    <row r="557" spans="13:17" ht="12.75">
      <c r="M557" s="531"/>
      <c r="Q557" s="531"/>
    </row>
    <row r="558" spans="13:17" ht="12.75">
      <c r="M558" s="531"/>
      <c r="Q558" s="531"/>
    </row>
    <row r="559" spans="13:17" ht="12.75">
      <c r="M559" s="531"/>
      <c r="Q559" s="531"/>
    </row>
    <row r="560" spans="13:17" ht="12.75">
      <c r="M560" s="531"/>
      <c r="Q560" s="531"/>
    </row>
    <row r="561" spans="13:17" ht="12.75">
      <c r="M561" s="531"/>
      <c r="Q561" s="531"/>
    </row>
    <row r="562" spans="13:17" ht="12.75">
      <c r="M562" s="531"/>
      <c r="Q562" s="531"/>
    </row>
    <row r="563" spans="13:17" ht="12.75">
      <c r="M563" s="531"/>
      <c r="Q563" s="531"/>
    </row>
    <row r="564" spans="13:17" ht="12.75">
      <c r="M564" s="531"/>
      <c r="Q564" s="531"/>
    </row>
    <row r="565" spans="13:17" ht="12.75">
      <c r="M565" s="531"/>
      <c r="Q565" s="531"/>
    </row>
    <row r="566" spans="13:17" ht="12.75">
      <c r="M566" s="531"/>
      <c r="Q566" s="531"/>
    </row>
    <row r="567" spans="13:17" ht="12.75">
      <c r="M567" s="531"/>
      <c r="Q567" s="531"/>
    </row>
    <row r="568" spans="13:17" ht="12.75">
      <c r="M568" s="531"/>
      <c r="Q568" s="531"/>
    </row>
    <row r="569" spans="13:17" ht="12.75">
      <c r="M569" s="531"/>
      <c r="Q569" s="531"/>
    </row>
    <row r="570" spans="13:17" ht="12.75">
      <c r="M570" s="531"/>
      <c r="Q570" s="531"/>
    </row>
    <row r="571" spans="13:17" ht="12.75">
      <c r="M571" s="531"/>
      <c r="Q571" s="531"/>
    </row>
    <row r="572" spans="13:17" ht="12.75">
      <c r="M572" s="531"/>
      <c r="Q572" s="531"/>
    </row>
    <row r="573" spans="13:17" ht="12.75">
      <c r="M573" s="531"/>
      <c r="Q573" s="531"/>
    </row>
    <row r="574" spans="13:17" ht="12.75">
      <c r="M574" s="531"/>
      <c r="Q574" s="531"/>
    </row>
    <row r="575" spans="13:17" ht="12.75">
      <c r="M575" s="531"/>
      <c r="Q575" s="531"/>
    </row>
    <row r="576" spans="13:17" ht="12.75">
      <c r="M576" s="531"/>
      <c r="Q576" s="531"/>
    </row>
    <row r="577" spans="13:17" ht="12.75">
      <c r="M577" s="531"/>
      <c r="Q577" s="531"/>
    </row>
    <row r="578" spans="13:17" ht="12.75">
      <c r="M578" s="531"/>
      <c r="Q578" s="531"/>
    </row>
    <row r="579" spans="13:17" ht="12.75">
      <c r="M579" s="531"/>
      <c r="Q579" s="531"/>
    </row>
    <row r="580" spans="13:17" ht="12.75">
      <c r="M580" s="531"/>
      <c r="Q580" s="531"/>
    </row>
    <row r="581" spans="13:17" ht="12.75">
      <c r="M581" s="531"/>
      <c r="Q581" s="531"/>
    </row>
    <row r="582" spans="13:17" ht="12.75">
      <c r="M582" s="531"/>
      <c r="Q582" s="531"/>
    </row>
    <row r="583" spans="13:17" ht="12.75">
      <c r="M583" s="531"/>
      <c r="Q583" s="531"/>
    </row>
    <row r="584" spans="13:17" ht="12.75">
      <c r="M584" s="531"/>
      <c r="Q584" s="531"/>
    </row>
    <row r="585" spans="13:17" ht="12.75">
      <c r="M585" s="531"/>
      <c r="Q585" s="531"/>
    </row>
    <row r="586" spans="13:17" ht="12.75">
      <c r="M586" s="531"/>
      <c r="Q586" s="531"/>
    </row>
    <row r="587" spans="13:17" ht="12.75">
      <c r="M587" s="531"/>
      <c r="Q587" s="531"/>
    </row>
    <row r="588" spans="13:17" ht="12.75">
      <c r="M588" s="531"/>
      <c r="Q588" s="531"/>
    </row>
    <row r="589" spans="13:17" ht="12.75">
      <c r="M589" s="531"/>
      <c r="Q589" s="531"/>
    </row>
    <row r="590" spans="13:17" ht="12.75">
      <c r="M590" s="531"/>
      <c r="Q590" s="531"/>
    </row>
    <row r="591" spans="13:17" ht="12.75">
      <c r="M591" s="531"/>
      <c r="Q591" s="531"/>
    </row>
    <row r="592" spans="13:17" ht="12.75">
      <c r="M592" s="531"/>
      <c r="Q592" s="531"/>
    </row>
    <row r="593" spans="13:17" ht="12.75">
      <c r="M593" s="531"/>
      <c r="Q593" s="531"/>
    </row>
    <row r="594" spans="13:17" ht="12.75">
      <c r="M594" s="531"/>
      <c r="Q594" s="531"/>
    </row>
    <row r="595" spans="13:17" ht="12.75">
      <c r="M595" s="531"/>
      <c r="Q595" s="531"/>
    </row>
    <row r="596" spans="13:17" ht="12.75">
      <c r="M596" s="531"/>
      <c r="Q596" s="531"/>
    </row>
    <row r="597" spans="13:17" ht="12.75">
      <c r="M597" s="531"/>
      <c r="Q597" s="531"/>
    </row>
    <row r="598" spans="13:17" ht="12.75">
      <c r="M598" s="531"/>
      <c r="Q598" s="531"/>
    </row>
    <row r="599" spans="13:17" ht="12.75">
      <c r="M599" s="531"/>
      <c r="Q599" s="531"/>
    </row>
    <row r="600" spans="13:17" ht="12.75">
      <c r="M600" s="531"/>
      <c r="Q600" s="531"/>
    </row>
    <row r="601" spans="13:17" ht="12.75">
      <c r="M601" s="531"/>
      <c r="Q601" s="531"/>
    </row>
    <row r="602" spans="13:17" ht="12.75">
      <c r="M602" s="531"/>
      <c r="Q602" s="531"/>
    </row>
    <row r="603" spans="13:17" ht="12.75">
      <c r="M603" s="531"/>
      <c r="Q603" s="531"/>
    </row>
    <row r="604" spans="13:17" ht="12.75">
      <c r="M604" s="531"/>
      <c r="Q604" s="531"/>
    </row>
    <row r="605" spans="13:17" ht="12.75">
      <c r="M605" s="531"/>
      <c r="Q605" s="531"/>
    </row>
    <row r="606" spans="13:17" ht="12.75">
      <c r="M606" s="531"/>
      <c r="Q606" s="531"/>
    </row>
    <row r="607" spans="13:17" ht="12.75">
      <c r="M607" s="531"/>
      <c r="Q607" s="531"/>
    </row>
    <row r="608" spans="13:17" ht="12.75">
      <c r="M608" s="531"/>
      <c r="Q608" s="531"/>
    </row>
    <row r="609" spans="13:17" ht="12.75">
      <c r="M609" s="531"/>
      <c r="Q609" s="531"/>
    </row>
    <row r="610" spans="13:17" ht="12.75">
      <c r="M610" s="531"/>
      <c r="Q610" s="531"/>
    </row>
    <row r="611" spans="13:17" ht="12.75">
      <c r="M611" s="531"/>
      <c r="Q611" s="531"/>
    </row>
    <row r="612" spans="13:17" ht="12.75">
      <c r="M612" s="531"/>
      <c r="Q612" s="531"/>
    </row>
    <row r="613" spans="13:17" ht="12.75">
      <c r="M613" s="531"/>
      <c r="Q613" s="531"/>
    </row>
    <row r="614" spans="13:17" ht="12.75">
      <c r="M614" s="531"/>
      <c r="Q614" s="531"/>
    </row>
    <row r="615" spans="13:17" ht="12.75">
      <c r="M615" s="531"/>
      <c r="Q615" s="531"/>
    </row>
    <row r="616" spans="13:17" ht="12.75">
      <c r="M616" s="531"/>
      <c r="Q616" s="531"/>
    </row>
    <row r="617" spans="13:17" ht="12.75">
      <c r="M617" s="531"/>
      <c r="Q617" s="531"/>
    </row>
    <row r="618" spans="13:17" ht="12.75">
      <c r="M618" s="531"/>
      <c r="Q618" s="531"/>
    </row>
    <row r="619" spans="13:17" ht="12.75">
      <c r="M619" s="531"/>
      <c r="Q619" s="531"/>
    </row>
    <row r="620" spans="13:17" ht="12.75">
      <c r="M620" s="531"/>
      <c r="Q620" s="531"/>
    </row>
    <row r="621" spans="13:17" ht="12.75">
      <c r="M621" s="531"/>
      <c r="Q621" s="531"/>
    </row>
    <row r="622" spans="13:17" ht="12.75">
      <c r="M622" s="531"/>
      <c r="Q622" s="531"/>
    </row>
    <row r="623" spans="13:17" ht="12.75">
      <c r="M623" s="531"/>
      <c r="Q623" s="531"/>
    </row>
    <row r="624" spans="13:17" ht="12.75">
      <c r="M624" s="531"/>
      <c r="Q624" s="531"/>
    </row>
    <row r="625" spans="13:17" ht="12.75">
      <c r="M625" s="531"/>
      <c r="Q625" s="531"/>
    </row>
    <row r="626" spans="13:17" ht="12.75">
      <c r="M626" s="531"/>
      <c r="Q626" s="531"/>
    </row>
    <row r="627" spans="13:17" ht="12.75">
      <c r="M627" s="531"/>
      <c r="Q627" s="531"/>
    </row>
    <row r="628" spans="13:17" ht="12.75">
      <c r="M628" s="531"/>
      <c r="Q628" s="531"/>
    </row>
    <row r="629" spans="13:17" ht="12.75">
      <c r="M629" s="531"/>
      <c r="Q629" s="531"/>
    </row>
    <row r="630" spans="13:17" ht="12.75">
      <c r="M630" s="531"/>
      <c r="Q630" s="531"/>
    </row>
    <row r="631" spans="13:17" ht="12.75">
      <c r="M631" s="531"/>
      <c r="Q631" s="531"/>
    </row>
    <row r="632" spans="13:17" ht="12.75">
      <c r="M632" s="531"/>
      <c r="Q632" s="531"/>
    </row>
    <row r="633" spans="13:17" ht="12.75">
      <c r="M633" s="531"/>
      <c r="Q633" s="531"/>
    </row>
    <row r="634" spans="13:17" ht="12.75">
      <c r="M634" s="531"/>
      <c r="Q634" s="531"/>
    </row>
    <row r="635" spans="13:17" ht="12.75">
      <c r="M635" s="531"/>
      <c r="Q635" s="531"/>
    </row>
    <row r="636" spans="13:17" ht="12.75">
      <c r="M636" s="531"/>
      <c r="Q636" s="531"/>
    </row>
    <row r="637" spans="13:17" ht="12.75">
      <c r="M637" s="531"/>
      <c r="Q637" s="531"/>
    </row>
    <row r="638" spans="13:17" ht="12.75">
      <c r="M638" s="531"/>
      <c r="Q638" s="531"/>
    </row>
    <row r="639" spans="13:17" ht="12.75">
      <c r="M639" s="531"/>
      <c r="Q639" s="531"/>
    </row>
    <row r="640" spans="13:17" ht="12.75">
      <c r="M640" s="531"/>
      <c r="Q640" s="531"/>
    </row>
    <row r="641" spans="13:17" ht="12.75">
      <c r="M641" s="531"/>
      <c r="Q641" s="531"/>
    </row>
    <row r="642" spans="13:17" ht="12.75">
      <c r="M642" s="531"/>
      <c r="Q642" s="531"/>
    </row>
    <row r="643" spans="13:17" ht="12.75">
      <c r="M643" s="531"/>
      <c r="Q643" s="531"/>
    </row>
    <row r="644" spans="13:17" ht="12.75">
      <c r="M644" s="531"/>
      <c r="Q644" s="531"/>
    </row>
    <row r="645" spans="13:17" ht="12.75">
      <c r="M645" s="531"/>
      <c r="Q645" s="531"/>
    </row>
    <row r="646" spans="13:17" ht="12.75">
      <c r="M646" s="531"/>
      <c r="Q646" s="531"/>
    </row>
    <row r="647" spans="13:17" ht="12.75">
      <c r="M647" s="531"/>
      <c r="Q647" s="531"/>
    </row>
    <row r="648" spans="13:17" ht="12.75">
      <c r="M648" s="531"/>
      <c r="Q648" s="531"/>
    </row>
    <row r="649" spans="13:17" ht="12.75">
      <c r="M649" s="531"/>
      <c r="Q649" s="531"/>
    </row>
    <row r="650" spans="13:17" ht="12.75">
      <c r="M650" s="531"/>
      <c r="Q650" s="531"/>
    </row>
    <row r="651" spans="13:17" ht="12.75">
      <c r="M651" s="531"/>
      <c r="Q651" s="531"/>
    </row>
    <row r="652" spans="13:17" ht="12.75">
      <c r="M652" s="531"/>
      <c r="Q652" s="531"/>
    </row>
    <row r="653" spans="13:17" ht="12.75">
      <c r="M653" s="531"/>
      <c r="Q653" s="531"/>
    </row>
    <row r="654" spans="13:17" ht="12.75">
      <c r="M654" s="531"/>
      <c r="Q654" s="531"/>
    </row>
    <row r="655" spans="13:17" ht="12.75">
      <c r="M655" s="531"/>
      <c r="Q655" s="531"/>
    </row>
    <row r="656" spans="13:17" ht="12.75">
      <c r="M656" s="531"/>
      <c r="Q656" s="531"/>
    </row>
    <row r="657" spans="13:17" ht="12.75">
      <c r="M657" s="531"/>
      <c r="Q657" s="531"/>
    </row>
    <row r="658" spans="13:17" ht="12.75">
      <c r="M658" s="531"/>
      <c r="Q658" s="531"/>
    </row>
    <row r="659" spans="13:17" ht="12.75">
      <c r="M659" s="531"/>
      <c r="Q659" s="531"/>
    </row>
    <row r="660" spans="13:17" ht="12.75">
      <c r="M660" s="531"/>
      <c r="Q660" s="531"/>
    </row>
    <row r="661" spans="13:17" ht="12.75">
      <c r="M661" s="531"/>
      <c r="Q661" s="531"/>
    </row>
    <row r="662" spans="13:17" ht="12.75">
      <c r="M662" s="531"/>
      <c r="Q662" s="531"/>
    </row>
    <row r="663" spans="13:17" ht="12.75">
      <c r="M663" s="531"/>
      <c r="Q663" s="531"/>
    </row>
    <row r="664" spans="13:17" ht="12.75">
      <c r="M664" s="531"/>
      <c r="Q664" s="531"/>
    </row>
    <row r="665" spans="13:17" ht="12.75">
      <c r="M665" s="531"/>
      <c r="Q665" s="531"/>
    </row>
    <row r="666" spans="13:17" ht="12.75">
      <c r="M666" s="531"/>
      <c r="Q666" s="531"/>
    </row>
    <row r="667" spans="13:17" ht="12.75">
      <c r="M667" s="531"/>
      <c r="Q667" s="531"/>
    </row>
    <row r="668" spans="13:17" ht="12.75">
      <c r="M668" s="531"/>
      <c r="Q668" s="531"/>
    </row>
    <row r="669" spans="13:17" ht="12.75">
      <c r="M669" s="531"/>
      <c r="Q669" s="531"/>
    </row>
    <row r="670" spans="13:17" ht="12.75">
      <c r="M670" s="531"/>
      <c r="Q670" s="531"/>
    </row>
    <row r="671" spans="13:17" ht="12.75">
      <c r="M671" s="531"/>
      <c r="Q671" s="531"/>
    </row>
    <row r="672" spans="13:17" ht="12.75">
      <c r="M672" s="531"/>
      <c r="Q672" s="531"/>
    </row>
    <row r="673" spans="13:17" ht="12.75">
      <c r="M673" s="531"/>
      <c r="Q673" s="531"/>
    </row>
    <row r="674" spans="13:17" ht="12.75">
      <c r="M674" s="531"/>
      <c r="Q674" s="531"/>
    </row>
    <row r="675" spans="13:17" ht="12.75">
      <c r="M675" s="531"/>
      <c r="Q675" s="531"/>
    </row>
    <row r="676" spans="13:17" ht="12.75">
      <c r="M676" s="531"/>
      <c r="Q676" s="531"/>
    </row>
    <row r="677" spans="13:17" ht="12.75">
      <c r="M677" s="531"/>
      <c r="Q677" s="531"/>
    </row>
    <row r="678" spans="13:17" ht="12.75">
      <c r="M678" s="531"/>
      <c r="Q678" s="531"/>
    </row>
    <row r="679" spans="13:17" ht="12.75">
      <c r="M679" s="531"/>
      <c r="Q679" s="531"/>
    </row>
    <row r="680" spans="13:17" ht="12.75">
      <c r="M680" s="531"/>
      <c r="Q680" s="531"/>
    </row>
    <row r="681" spans="13:17" ht="12.75">
      <c r="M681" s="531"/>
      <c r="Q681" s="531"/>
    </row>
    <row r="682" spans="13:17" ht="12.75">
      <c r="M682" s="531"/>
      <c r="Q682" s="531"/>
    </row>
    <row r="683" spans="13:17" ht="12.75">
      <c r="M683" s="531"/>
      <c r="Q683" s="531"/>
    </row>
    <row r="684" spans="13:17" ht="12.75">
      <c r="M684" s="531"/>
      <c r="Q684" s="531"/>
    </row>
    <row r="685" spans="13:17" ht="12.75">
      <c r="M685" s="531"/>
      <c r="Q685" s="531"/>
    </row>
    <row r="686" spans="13:17" ht="12.75">
      <c r="M686" s="531"/>
      <c r="Q686" s="531"/>
    </row>
    <row r="687" spans="13:17" ht="12.75">
      <c r="M687" s="531"/>
      <c r="Q687" s="531"/>
    </row>
    <row r="688" spans="13:17" ht="12.75">
      <c r="M688" s="531"/>
      <c r="Q688" s="531"/>
    </row>
    <row r="689" spans="13:17" ht="12.75">
      <c r="M689" s="531"/>
      <c r="Q689" s="531"/>
    </row>
    <row r="690" spans="13:17" ht="12.75">
      <c r="M690" s="531"/>
      <c r="Q690" s="531"/>
    </row>
    <row r="691" spans="13:17" ht="12.75">
      <c r="M691" s="531"/>
      <c r="Q691" s="531"/>
    </row>
    <row r="692" spans="13:17" ht="12.75">
      <c r="M692" s="531"/>
      <c r="Q692" s="531"/>
    </row>
    <row r="693" spans="13:17" ht="12.75">
      <c r="M693" s="531"/>
      <c r="Q693" s="531"/>
    </row>
    <row r="694" spans="13:17" ht="12.75">
      <c r="M694" s="531"/>
      <c r="Q694" s="531"/>
    </row>
    <row r="695" spans="13:17" ht="12.75">
      <c r="M695" s="531"/>
      <c r="Q695" s="531"/>
    </row>
    <row r="696" spans="13:17" ht="12.75">
      <c r="M696" s="531"/>
      <c r="Q696" s="531"/>
    </row>
    <row r="697" spans="13:17" ht="12.75">
      <c r="M697" s="531"/>
      <c r="Q697" s="531"/>
    </row>
    <row r="698" spans="13:17" ht="12.75">
      <c r="M698" s="531"/>
      <c r="Q698" s="531"/>
    </row>
    <row r="699" spans="13:17" ht="12.75">
      <c r="M699" s="531"/>
      <c r="Q699" s="531"/>
    </row>
    <row r="700" spans="13:17" ht="12.75">
      <c r="M700" s="531"/>
      <c r="Q700" s="531"/>
    </row>
    <row r="701" spans="13:17" ht="12.75">
      <c r="M701" s="531"/>
      <c r="Q701" s="531"/>
    </row>
    <row r="702" spans="13:17" ht="12.75">
      <c r="M702" s="531"/>
      <c r="Q702" s="531"/>
    </row>
    <row r="703" spans="13:17" ht="12.75">
      <c r="M703" s="531"/>
      <c r="Q703" s="531"/>
    </row>
    <row r="704" spans="13:17" ht="12.75">
      <c r="M704" s="531"/>
      <c r="Q704" s="531"/>
    </row>
    <row r="705" spans="13:17" ht="12.75">
      <c r="M705" s="531"/>
      <c r="Q705" s="531"/>
    </row>
    <row r="706" spans="13:17" ht="12.75">
      <c r="M706" s="531"/>
      <c r="Q706" s="531"/>
    </row>
    <row r="707" spans="13:17" ht="12.75">
      <c r="M707" s="531"/>
      <c r="Q707" s="531"/>
    </row>
    <row r="708" spans="13:17" ht="12.75">
      <c r="M708" s="531"/>
      <c r="Q708" s="531"/>
    </row>
    <row r="709" spans="13:17" ht="12.75">
      <c r="M709" s="531"/>
      <c r="Q709" s="531"/>
    </row>
    <row r="710" spans="13:17" ht="12.75">
      <c r="M710" s="531"/>
      <c r="Q710" s="531"/>
    </row>
    <row r="711" spans="13:17" ht="12.75">
      <c r="M711" s="531"/>
      <c r="Q711" s="531"/>
    </row>
    <row r="712" spans="13:17" ht="12.75">
      <c r="M712" s="531"/>
      <c r="Q712" s="531"/>
    </row>
    <row r="713" spans="13:17" ht="12.75">
      <c r="M713" s="531"/>
      <c r="Q713" s="531"/>
    </row>
    <row r="714" spans="13:17" ht="12.75">
      <c r="M714" s="531"/>
      <c r="Q714" s="531"/>
    </row>
    <row r="715" spans="13:17" ht="12.75">
      <c r="M715" s="531"/>
      <c r="Q715" s="531"/>
    </row>
    <row r="716" spans="13:17" ht="12.75">
      <c r="M716" s="531"/>
      <c r="Q716" s="531"/>
    </row>
    <row r="717" spans="13:17" ht="12.75">
      <c r="M717" s="531"/>
      <c r="Q717" s="531"/>
    </row>
    <row r="718" spans="13:17" ht="12.75">
      <c r="M718" s="531"/>
      <c r="Q718" s="531"/>
    </row>
    <row r="719" spans="13:17" ht="12.75">
      <c r="M719" s="531"/>
      <c r="Q719" s="531"/>
    </row>
    <row r="720" spans="13:17" ht="12.75">
      <c r="M720" s="531"/>
      <c r="Q720" s="531"/>
    </row>
    <row r="721" spans="13:17" ht="12.75">
      <c r="M721" s="531"/>
      <c r="Q721" s="531"/>
    </row>
    <row r="722" spans="13:17" ht="12.75">
      <c r="M722" s="531"/>
      <c r="Q722" s="531"/>
    </row>
    <row r="723" spans="13:17" ht="12.75">
      <c r="M723" s="531"/>
      <c r="Q723" s="531"/>
    </row>
    <row r="724" spans="13:17" ht="12.75">
      <c r="M724" s="531"/>
      <c r="Q724" s="531"/>
    </row>
    <row r="725" spans="13:17" ht="12.75">
      <c r="M725" s="531"/>
      <c r="Q725" s="531"/>
    </row>
    <row r="726" spans="13:17" ht="12.75">
      <c r="M726" s="531"/>
      <c r="Q726" s="531"/>
    </row>
    <row r="727" spans="13:17" ht="12.75">
      <c r="M727" s="531"/>
      <c r="Q727" s="531"/>
    </row>
    <row r="728" spans="13:17" ht="12.75">
      <c r="M728" s="531"/>
      <c r="Q728" s="531"/>
    </row>
    <row r="729" spans="13:17" ht="12.75">
      <c r="M729" s="531"/>
      <c r="Q729" s="531"/>
    </row>
    <row r="730" spans="13:17" ht="12.75">
      <c r="M730" s="531"/>
      <c r="Q730" s="531"/>
    </row>
    <row r="731" spans="13:17" ht="12.75">
      <c r="M731" s="531"/>
      <c r="Q731" s="531"/>
    </row>
    <row r="732" spans="13:17" ht="12.75">
      <c r="M732" s="531"/>
      <c r="Q732" s="531"/>
    </row>
    <row r="733" spans="13:17" ht="12.75">
      <c r="M733" s="531"/>
      <c r="Q733" s="531"/>
    </row>
    <row r="734" spans="13:17" ht="12.75">
      <c r="M734" s="531"/>
      <c r="Q734" s="531"/>
    </row>
    <row r="735" spans="13:17" ht="12.75">
      <c r="M735" s="531"/>
      <c r="Q735" s="531"/>
    </row>
    <row r="736" spans="13:17" ht="12.75">
      <c r="M736" s="531"/>
      <c r="Q736" s="531"/>
    </row>
    <row r="737" spans="13:17" ht="12.75">
      <c r="M737" s="531"/>
      <c r="Q737" s="531"/>
    </row>
    <row r="738" spans="13:17" ht="12.75">
      <c r="M738" s="531"/>
      <c r="Q738" s="531"/>
    </row>
    <row r="739" spans="13:17" ht="12.75">
      <c r="M739" s="531"/>
      <c r="Q739" s="531"/>
    </row>
    <row r="740" spans="13:17" ht="12.75">
      <c r="M740" s="531"/>
      <c r="Q740" s="531"/>
    </row>
    <row r="741" spans="13:17" ht="12.75">
      <c r="M741" s="531"/>
      <c r="Q741" s="531"/>
    </row>
    <row r="742" spans="13:17" ht="12.75">
      <c r="M742" s="531"/>
      <c r="Q742" s="531"/>
    </row>
    <row r="743" spans="13:17" ht="12.75">
      <c r="M743" s="531"/>
      <c r="Q743" s="531"/>
    </row>
    <row r="744" spans="13:17" ht="12.75">
      <c r="M744" s="531"/>
      <c r="Q744" s="531"/>
    </row>
    <row r="745" spans="13:17" ht="12.75">
      <c r="M745" s="531"/>
      <c r="Q745" s="531"/>
    </row>
    <row r="746" spans="13:17" ht="12.75">
      <c r="M746" s="531"/>
      <c r="Q746" s="531"/>
    </row>
    <row r="747" spans="13:17" ht="12.75">
      <c r="M747" s="531"/>
      <c r="Q747" s="531"/>
    </row>
    <row r="748" spans="13:17" ht="12.75">
      <c r="M748" s="531"/>
      <c r="Q748" s="531"/>
    </row>
    <row r="749" spans="13:17" ht="12.75">
      <c r="M749" s="531"/>
      <c r="Q749" s="531"/>
    </row>
    <row r="750" spans="13:17" ht="12.75">
      <c r="M750" s="531"/>
      <c r="Q750" s="531"/>
    </row>
    <row r="751" spans="13:17" ht="12.75">
      <c r="M751" s="531"/>
      <c r="Q751" s="531"/>
    </row>
    <row r="752" spans="13:17" ht="12.75">
      <c r="M752" s="531"/>
      <c r="Q752" s="531"/>
    </row>
    <row r="753" spans="13:17" ht="12.75">
      <c r="M753" s="531"/>
      <c r="Q753" s="531"/>
    </row>
    <row r="754" spans="13:17" ht="12.75">
      <c r="M754" s="531"/>
      <c r="Q754" s="531"/>
    </row>
    <row r="755" spans="13:17" ht="12.75">
      <c r="M755" s="531"/>
      <c r="Q755" s="531"/>
    </row>
    <row r="756" spans="13:17" ht="12.75">
      <c r="M756" s="531"/>
      <c r="Q756" s="531"/>
    </row>
    <row r="757" spans="13:17" ht="12.75">
      <c r="M757" s="531"/>
      <c r="Q757" s="531"/>
    </row>
    <row r="758" spans="13:17" ht="12.75">
      <c r="M758" s="531"/>
      <c r="Q758" s="531"/>
    </row>
    <row r="759" spans="13:17" ht="12.75">
      <c r="M759" s="531"/>
      <c r="Q759" s="531"/>
    </row>
    <row r="760" spans="13:17" ht="12.75">
      <c r="M760" s="531"/>
      <c r="Q760" s="531"/>
    </row>
    <row r="761" spans="13:17" ht="12.75">
      <c r="M761" s="531"/>
      <c r="Q761" s="531"/>
    </row>
    <row r="762" spans="13:17" ht="12.75">
      <c r="M762" s="531"/>
      <c r="Q762" s="531"/>
    </row>
    <row r="763" spans="13:17" ht="12.75">
      <c r="M763" s="531"/>
      <c r="Q763" s="531"/>
    </row>
    <row r="764" spans="13:17" ht="12.75">
      <c r="M764" s="531"/>
      <c r="Q764" s="531"/>
    </row>
    <row r="765" spans="13:17" ht="12.75">
      <c r="M765" s="531"/>
      <c r="Q765" s="531"/>
    </row>
    <row r="766" spans="13:17" ht="12.75">
      <c r="M766" s="531"/>
      <c r="Q766" s="531"/>
    </row>
    <row r="767" spans="13:17" ht="12.75">
      <c r="M767" s="531"/>
      <c r="Q767" s="531"/>
    </row>
    <row r="768" spans="13:17" ht="12.75">
      <c r="M768" s="531"/>
      <c r="Q768" s="531"/>
    </row>
    <row r="769" spans="13:17" ht="12.75">
      <c r="M769" s="531"/>
      <c r="Q769" s="531"/>
    </row>
    <row r="770" spans="13:17" ht="12.75">
      <c r="M770" s="531"/>
      <c r="Q770" s="531"/>
    </row>
    <row r="771" spans="13:17" ht="12.75">
      <c r="M771" s="531"/>
      <c r="Q771" s="531"/>
    </row>
    <row r="772" spans="13:17" ht="12.75">
      <c r="M772" s="531"/>
      <c r="Q772" s="531"/>
    </row>
    <row r="773" spans="13:17" ht="12.75">
      <c r="M773" s="531"/>
      <c r="Q773" s="531"/>
    </row>
    <row r="774" spans="13:17" ht="12.75">
      <c r="M774" s="531"/>
      <c r="Q774" s="531"/>
    </row>
    <row r="775" spans="13:17" ht="12.75">
      <c r="M775" s="531"/>
      <c r="Q775" s="531"/>
    </row>
    <row r="776" spans="13:17" ht="12.75">
      <c r="M776" s="531"/>
      <c r="Q776" s="531"/>
    </row>
    <row r="777" spans="13:17" ht="12.75">
      <c r="M777" s="531"/>
      <c r="Q777" s="531"/>
    </row>
    <row r="778" spans="13:17" ht="12.75">
      <c r="M778" s="531"/>
      <c r="Q778" s="531"/>
    </row>
    <row r="779" spans="13:17" ht="12.75">
      <c r="M779" s="531"/>
      <c r="Q779" s="531"/>
    </row>
    <row r="780" spans="13:17" ht="12.75">
      <c r="M780" s="531"/>
      <c r="Q780" s="531"/>
    </row>
    <row r="781" spans="13:17" ht="12.75">
      <c r="M781" s="531"/>
      <c r="Q781" s="531"/>
    </row>
    <row r="782" spans="13:17" ht="12.75">
      <c r="M782" s="531"/>
      <c r="Q782" s="531"/>
    </row>
    <row r="783" spans="13:17" ht="12.75">
      <c r="M783" s="531"/>
      <c r="Q783" s="531"/>
    </row>
    <row r="784" spans="13:17" ht="12.75">
      <c r="M784" s="531"/>
      <c r="Q784" s="531"/>
    </row>
    <row r="785" spans="13:17" ht="12.75">
      <c r="M785" s="531"/>
      <c r="Q785" s="531"/>
    </row>
    <row r="786" spans="13:17" ht="12.75">
      <c r="M786" s="531"/>
      <c r="Q786" s="531"/>
    </row>
    <row r="787" spans="13:17" ht="12.75">
      <c r="M787" s="531"/>
      <c r="Q787" s="531"/>
    </row>
    <row r="788" spans="13:17" ht="12.75">
      <c r="M788" s="531"/>
      <c r="Q788" s="531"/>
    </row>
    <row r="789" spans="13:17" ht="12.75">
      <c r="M789" s="531"/>
      <c r="Q789" s="531"/>
    </row>
    <row r="790" spans="13:17" ht="12.75">
      <c r="M790" s="531"/>
      <c r="Q790" s="531"/>
    </row>
    <row r="791" spans="13:17" ht="12.75">
      <c r="M791" s="531"/>
      <c r="Q791" s="531"/>
    </row>
    <row r="792" spans="13:17" ht="12.75">
      <c r="M792" s="531"/>
      <c r="Q792" s="531"/>
    </row>
    <row r="793" spans="13:17" ht="12.75">
      <c r="M793" s="531"/>
      <c r="Q793" s="531"/>
    </row>
    <row r="794" spans="13:17" ht="12.75">
      <c r="M794" s="531"/>
      <c r="Q794" s="531"/>
    </row>
    <row r="795" spans="13:17" ht="12.75">
      <c r="M795" s="531"/>
      <c r="Q795" s="531"/>
    </row>
    <row r="796" spans="13:17" ht="12.75">
      <c r="M796" s="531"/>
      <c r="Q796" s="531"/>
    </row>
    <row r="797" spans="13:17" ht="12.75">
      <c r="M797" s="531"/>
      <c r="Q797" s="531"/>
    </row>
    <row r="798" spans="13:17" ht="12.75">
      <c r="M798" s="531"/>
      <c r="Q798" s="531"/>
    </row>
    <row r="799" spans="13:17" ht="12.75">
      <c r="M799" s="531"/>
      <c r="Q799" s="531"/>
    </row>
    <row r="800" spans="13:17" ht="12.75">
      <c r="M800" s="531"/>
      <c r="Q800" s="531"/>
    </row>
    <row r="801" spans="13:17" ht="12.75">
      <c r="M801" s="531"/>
      <c r="Q801" s="531"/>
    </row>
    <row r="802" spans="13:17" ht="12.75">
      <c r="M802" s="531"/>
      <c r="Q802" s="531"/>
    </row>
    <row r="803" spans="13:17" ht="12.75">
      <c r="M803" s="531"/>
      <c r="Q803" s="531"/>
    </row>
    <row r="804" spans="13:17" ht="12.75">
      <c r="M804" s="531"/>
      <c r="Q804" s="531"/>
    </row>
    <row r="805" spans="13:17" ht="12.75">
      <c r="M805" s="531"/>
      <c r="Q805" s="531"/>
    </row>
    <row r="806" spans="13:17" ht="12.75">
      <c r="M806" s="531"/>
      <c r="Q806" s="531"/>
    </row>
    <row r="807" spans="13:17" ht="12.75">
      <c r="M807" s="531"/>
      <c r="Q807" s="531"/>
    </row>
    <row r="808" spans="13:17" ht="12.75">
      <c r="M808" s="531"/>
      <c r="Q808" s="531"/>
    </row>
    <row r="809" spans="13:17" ht="12.75">
      <c r="M809" s="531"/>
      <c r="Q809" s="531"/>
    </row>
    <row r="810" spans="13:17" ht="12.75">
      <c r="M810" s="531"/>
      <c r="Q810" s="531"/>
    </row>
    <row r="811" spans="13:17" ht="12.75">
      <c r="M811" s="531"/>
      <c r="Q811" s="531"/>
    </row>
    <row r="812" spans="13:17" ht="12.75">
      <c r="M812" s="531"/>
      <c r="Q812" s="531"/>
    </row>
    <row r="813" spans="13:17" ht="12.75">
      <c r="M813" s="531"/>
      <c r="Q813" s="531"/>
    </row>
    <row r="814" spans="13:17" ht="12.75">
      <c r="M814" s="531"/>
      <c r="Q814" s="531"/>
    </row>
    <row r="815" spans="13:17" ht="12.75">
      <c r="M815" s="531"/>
      <c r="Q815" s="531"/>
    </row>
    <row r="816" spans="13:17" ht="12.75">
      <c r="M816" s="531"/>
      <c r="Q816" s="531"/>
    </row>
    <row r="817" spans="13:17" ht="12.75">
      <c r="M817" s="531"/>
      <c r="Q817" s="531"/>
    </row>
    <row r="818" spans="13:17" ht="12.75">
      <c r="M818" s="531"/>
      <c r="Q818" s="531"/>
    </row>
    <row r="819" spans="13:17" ht="12.75">
      <c r="M819" s="531"/>
      <c r="Q819" s="531"/>
    </row>
    <row r="820" spans="13:17" ht="12.75">
      <c r="M820" s="531"/>
      <c r="Q820" s="531"/>
    </row>
    <row r="821" spans="13:17" ht="12.75">
      <c r="M821" s="531"/>
      <c r="Q821" s="531"/>
    </row>
    <row r="822" spans="13:17" ht="12.75">
      <c r="M822" s="531"/>
      <c r="Q822" s="531"/>
    </row>
    <row r="823" spans="13:17" ht="12.75">
      <c r="M823" s="531"/>
      <c r="Q823" s="531"/>
    </row>
    <row r="824" spans="13:17" ht="12.75">
      <c r="M824" s="531"/>
      <c r="Q824" s="531"/>
    </row>
    <row r="825" spans="13:17" ht="12.75">
      <c r="M825" s="531"/>
      <c r="Q825" s="531"/>
    </row>
    <row r="826" spans="13:17" ht="12.75">
      <c r="M826" s="531"/>
      <c r="Q826" s="531"/>
    </row>
    <row r="827" spans="13:17" ht="12.75">
      <c r="M827" s="531"/>
      <c r="Q827" s="531"/>
    </row>
    <row r="828" spans="13:17" ht="12.75">
      <c r="M828" s="531"/>
      <c r="Q828" s="531"/>
    </row>
    <row r="829" spans="13:17" ht="12.75">
      <c r="M829" s="531"/>
      <c r="Q829" s="531"/>
    </row>
    <row r="830" spans="13:17" ht="12.75">
      <c r="M830" s="531"/>
      <c r="Q830" s="531"/>
    </row>
    <row r="831" spans="13:17" ht="12.75">
      <c r="M831" s="531"/>
      <c r="Q831" s="531"/>
    </row>
    <row r="832" spans="13:17" ht="12.75">
      <c r="M832" s="531"/>
      <c r="Q832" s="531"/>
    </row>
    <row r="833" spans="13:17" ht="12.75">
      <c r="M833" s="531"/>
      <c r="Q833" s="531"/>
    </row>
    <row r="834" spans="13:17" ht="12.75">
      <c r="M834" s="531"/>
      <c r="Q834" s="531"/>
    </row>
    <row r="835" spans="13:17" ht="12.75">
      <c r="M835" s="531"/>
      <c r="Q835" s="531"/>
    </row>
    <row r="836" spans="13:17" ht="12.75">
      <c r="M836" s="531"/>
      <c r="Q836" s="531"/>
    </row>
    <row r="837" spans="13:17" ht="12.75">
      <c r="M837" s="531"/>
      <c r="Q837" s="531"/>
    </row>
    <row r="838" spans="13:17" ht="12.75">
      <c r="M838" s="531"/>
      <c r="Q838" s="531"/>
    </row>
    <row r="839" spans="13:17" ht="12.75">
      <c r="M839" s="531"/>
      <c r="Q839" s="531"/>
    </row>
    <row r="840" spans="13:17" ht="12.75">
      <c r="M840" s="531"/>
      <c r="Q840" s="531"/>
    </row>
    <row r="841" spans="13:17" ht="12.75">
      <c r="M841" s="531"/>
      <c r="Q841" s="531"/>
    </row>
    <row r="842" spans="13:17" ht="12.75">
      <c r="M842" s="531"/>
      <c r="Q842" s="531"/>
    </row>
    <row r="843" spans="13:17" ht="12.75">
      <c r="M843" s="531"/>
      <c r="Q843" s="531"/>
    </row>
    <row r="844" spans="13:17" ht="12.75">
      <c r="M844" s="531"/>
      <c r="Q844" s="531"/>
    </row>
    <row r="845" spans="13:17" ht="12.75">
      <c r="M845" s="531"/>
      <c r="Q845" s="531"/>
    </row>
    <row r="846" spans="13:17" ht="12.75">
      <c r="M846" s="531"/>
      <c r="Q846" s="531"/>
    </row>
    <row r="847" spans="13:17" ht="12.75">
      <c r="M847" s="531"/>
      <c r="Q847" s="531"/>
    </row>
    <row r="848" spans="13:17" ht="12.75">
      <c r="M848" s="531"/>
      <c r="Q848" s="531"/>
    </row>
    <row r="849" spans="13:17" ht="12.75">
      <c r="M849" s="531"/>
      <c r="Q849" s="531"/>
    </row>
    <row r="850" spans="13:17" ht="12.75">
      <c r="M850" s="531"/>
      <c r="Q850" s="531"/>
    </row>
    <row r="851" spans="13:17" ht="12.75">
      <c r="M851" s="531"/>
      <c r="Q851" s="531"/>
    </row>
    <row r="852" spans="13:17" ht="12.75">
      <c r="M852" s="531"/>
      <c r="Q852" s="531"/>
    </row>
    <row r="853" spans="13:17" ht="12.75">
      <c r="M853" s="531"/>
      <c r="Q853" s="531"/>
    </row>
    <row r="854" spans="13:17" ht="12.75">
      <c r="M854" s="531"/>
      <c r="Q854" s="531"/>
    </row>
    <row r="855" spans="13:17" ht="12.75">
      <c r="M855" s="531"/>
      <c r="Q855" s="531"/>
    </row>
    <row r="856" spans="13:17" ht="12.75">
      <c r="M856" s="531"/>
      <c r="Q856" s="531"/>
    </row>
    <row r="857" spans="13:17" ht="12.75">
      <c r="M857" s="531"/>
      <c r="Q857" s="531"/>
    </row>
    <row r="858" spans="13:17" ht="12.75">
      <c r="M858" s="531"/>
      <c r="Q858" s="531"/>
    </row>
    <row r="859" spans="13:17" ht="12.75">
      <c r="M859" s="531"/>
      <c r="Q859" s="531"/>
    </row>
    <row r="860" spans="13:17" ht="12.75">
      <c r="M860" s="531"/>
      <c r="Q860" s="531"/>
    </row>
    <row r="861" spans="13:17" ht="12.75">
      <c r="M861" s="531"/>
      <c r="Q861" s="531"/>
    </row>
    <row r="862" spans="13:17" ht="12.75">
      <c r="M862" s="531"/>
      <c r="Q862" s="531"/>
    </row>
    <row r="863" spans="13:17" ht="12.75">
      <c r="M863" s="531"/>
      <c r="Q863" s="531"/>
    </row>
    <row r="864" spans="13:17" ht="12.75">
      <c r="M864" s="531"/>
      <c r="Q864" s="531"/>
    </row>
    <row r="865" spans="13:17" ht="12.75">
      <c r="M865" s="531"/>
      <c r="Q865" s="531"/>
    </row>
    <row r="866" spans="13:17" ht="12.75">
      <c r="M866" s="531"/>
      <c r="Q866" s="531"/>
    </row>
    <row r="867" spans="13:17" ht="12.75">
      <c r="M867" s="531"/>
      <c r="Q867" s="531"/>
    </row>
    <row r="868" spans="13:17" ht="12.75">
      <c r="M868" s="531"/>
      <c r="Q868" s="531"/>
    </row>
    <row r="869" spans="13:17" ht="12.75">
      <c r="M869" s="531"/>
      <c r="Q869" s="531"/>
    </row>
    <row r="870" spans="13:17" ht="12.75">
      <c r="M870" s="531"/>
      <c r="Q870" s="531"/>
    </row>
    <row r="871" spans="13:17" ht="12.75">
      <c r="M871" s="531"/>
      <c r="Q871" s="531"/>
    </row>
    <row r="872" spans="13:17" ht="12.75">
      <c r="M872" s="531"/>
      <c r="Q872" s="531"/>
    </row>
    <row r="873" spans="13:17" ht="12.75">
      <c r="M873" s="531"/>
      <c r="Q873" s="531"/>
    </row>
    <row r="874" spans="13:17" ht="12.75">
      <c r="M874" s="531"/>
      <c r="Q874" s="531"/>
    </row>
    <row r="875" spans="13:17" ht="12.75">
      <c r="M875" s="531"/>
      <c r="Q875" s="531"/>
    </row>
    <row r="876" spans="13:17" ht="12.75">
      <c r="M876" s="531"/>
      <c r="Q876" s="531"/>
    </row>
    <row r="877" spans="13:17" ht="12.75">
      <c r="M877" s="531"/>
      <c r="Q877" s="531"/>
    </row>
    <row r="878" spans="13:17" ht="12.75">
      <c r="M878" s="531"/>
      <c r="Q878" s="531"/>
    </row>
    <row r="879" spans="13:17" ht="12.75">
      <c r="M879" s="531"/>
      <c r="Q879" s="531"/>
    </row>
    <row r="880" spans="13:17" ht="12.75">
      <c r="M880" s="531"/>
      <c r="Q880" s="531"/>
    </row>
    <row r="881" spans="13:17" ht="12.75">
      <c r="M881" s="531"/>
      <c r="Q881" s="531"/>
    </row>
    <row r="882" spans="13:17" ht="12.75">
      <c r="M882" s="531"/>
      <c r="Q882" s="531"/>
    </row>
    <row r="883" spans="13:17" ht="12.75">
      <c r="M883" s="531"/>
      <c r="Q883" s="531"/>
    </row>
    <row r="884" spans="13:17" ht="12.75">
      <c r="M884" s="531"/>
      <c r="Q884" s="531"/>
    </row>
    <row r="885" spans="13:17" ht="12.75">
      <c r="M885" s="531"/>
      <c r="Q885" s="531"/>
    </row>
    <row r="886" spans="13:17" ht="12.75">
      <c r="M886" s="531"/>
      <c r="Q886" s="531"/>
    </row>
    <row r="887" spans="13:17" ht="12.75">
      <c r="M887" s="531"/>
      <c r="Q887" s="531"/>
    </row>
    <row r="888" spans="13:17" ht="12.75">
      <c r="M888" s="531"/>
      <c r="Q888" s="531"/>
    </row>
    <row r="889" spans="13:17" ht="12.75">
      <c r="M889" s="531"/>
      <c r="Q889" s="531"/>
    </row>
    <row r="890" spans="13:17" ht="12.75">
      <c r="M890" s="531"/>
      <c r="Q890" s="531"/>
    </row>
    <row r="891" spans="13:17" ht="12.75">
      <c r="M891" s="531"/>
      <c r="Q891" s="531"/>
    </row>
    <row r="892" spans="13:17" ht="12.75">
      <c r="M892" s="531"/>
      <c r="Q892" s="531"/>
    </row>
    <row r="893" spans="13:17" ht="12.75">
      <c r="M893" s="531"/>
      <c r="Q893" s="531"/>
    </row>
    <row r="894" spans="13:17" ht="12.75">
      <c r="M894" s="531"/>
      <c r="Q894" s="531"/>
    </row>
    <row r="895" spans="13:17" ht="12.75">
      <c r="M895" s="531"/>
      <c r="Q895" s="531"/>
    </row>
    <row r="896" spans="13:17" ht="12.75">
      <c r="M896" s="531"/>
      <c r="Q896" s="531"/>
    </row>
    <row r="897" spans="13:17" ht="12.75">
      <c r="M897" s="531"/>
      <c r="Q897" s="531"/>
    </row>
    <row r="898" spans="13:17" ht="12.75">
      <c r="M898" s="531"/>
      <c r="Q898" s="531"/>
    </row>
    <row r="899" spans="13:17" ht="12.75">
      <c r="M899" s="531"/>
      <c r="Q899" s="531"/>
    </row>
    <row r="900" spans="13:17" ht="12.75">
      <c r="M900" s="531"/>
      <c r="Q900" s="531"/>
    </row>
    <row r="901" spans="13:17" ht="12.75">
      <c r="M901" s="531"/>
      <c r="Q901" s="531"/>
    </row>
    <row r="902" spans="13:17" ht="12.75">
      <c r="M902" s="531"/>
      <c r="Q902" s="531"/>
    </row>
    <row r="903" spans="13:17" ht="12.75">
      <c r="M903" s="531"/>
      <c r="Q903" s="531"/>
    </row>
    <row r="904" spans="13:17" ht="12.75">
      <c r="M904" s="531"/>
      <c r="Q904" s="531"/>
    </row>
    <row r="905" spans="13:17" ht="12.75">
      <c r="M905" s="531"/>
      <c r="Q905" s="531"/>
    </row>
    <row r="906" spans="13:17" ht="12.75">
      <c r="M906" s="531"/>
      <c r="Q906" s="531"/>
    </row>
    <row r="907" spans="13:17" ht="12.75">
      <c r="M907" s="531"/>
      <c r="Q907" s="531"/>
    </row>
    <row r="908" spans="13:17" ht="12.75">
      <c r="M908" s="531"/>
      <c r="Q908" s="531"/>
    </row>
    <row r="909" spans="13:17" ht="12.75">
      <c r="M909" s="531"/>
      <c r="Q909" s="531"/>
    </row>
    <row r="910" spans="13:17" ht="12.75">
      <c r="M910" s="531"/>
      <c r="Q910" s="531"/>
    </row>
    <row r="911" spans="13:17" ht="12.75">
      <c r="M911" s="531"/>
      <c r="Q911" s="531"/>
    </row>
    <row r="912" spans="13:17" ht="12.75">
      <c r="M912" s="531"/>
      <c r="Q912" s="531"/>
    </row>
    <row r="913" spans="13:17" ht="12.75">
      <c r="M913" s="531"/>
      <c r="Q913" s="531"/>
    </row>
    <row r="914" spans="13:17" ht="12.75">
      <c r="M914" s="531"/>
      <c r="Q914" s="531"/>
    </row>
    <row r="915" spans="13:17" ht="12.75">
      <c r="M915" s="531"/>
      <c r="Q915" s="531"/>
    </row>
    <row r="916" spans="13:17" ht="12.75">
      <c r="M916" s="531"/>
      <c r="Q916" s="531"/>
    </row>
    <row r="917" spans="13:17" ht="12.75">
      <c r="M917" s="531"/>
      <c r="Q917" s="531"/>
    </row>
    <row r="918" spans="13:17" ht="12.75">
      <c r="M918" s="531"/>
      <c r="Q918" s="531"/>
    </row>
    <row r="919" spans="13:17" ht="12.75">
      <c r="M919" s="531"/>
      <c r="Q919" s="531"/>
    </row>
    <row r="920" spans="13:17" ht="12.75">
      <c r="M920" s="531"/>
      <c r="Q920" s="531"/>
    </row>
    <row r="921" spans="13:17" ht="12.75">
      <c r="M921" s="531"/>
      <c r="Q921" s="531"/>
    </row>
    <row r="922" spans="13:17" ht="12.75">
      <c r="M922" s="531"/>
      <c r="Q922" s="531"/>
    </row>
    <row r="923" spans="13:17" ht="12.75">
      <c r="M923" s="531"/>
      <c r="Q923" s="531"/>
    </row>
    <row r="924" spans="13:17" ht="12.75">
      <c r="M924" s="531"/>
      <c r="Q924" s="531"/>
    </row>
    <row r="925" spans="13:17" ht="12.75">
      <c r="M925" s="531"/>
      <c r="Q925" s="531"/>
    </row>
    <row r="926" spans="13:17" ht="12.75">
      <c r="M926" s="531"/>
      <c r="Q926" s="531"/>
    </row>
    <row r="927" spans="13:17" ht="12.75">
      <c r="M927" s="531"/>
      <c r="Q927" s="531"/>
    </row>
    <row r="928" spans="13:17" ht="12.75">
      <c r="M928" s="531"/>
      <c r="Q928" s="531"/>
    </row>
    <row r="929" spans="13:17" ht="12.75">
      <c r="M929" s="531"/>
      <c r="Q929" s="531"/>
    </row>
    <row r="930" spans="13:17" ht="12.75">
      <c r="M930" s="531"/>
      <c r="Q930" s="531"/>
    </row>
    <row r="931" spans="13:17" ht="12.75">
      <c r="M931" s="531"/>
      <c r="Q931" s="531"/>
    </row>
    <row r="932" spans="13:17" ht="12.75">
      <c r="M932" s="531"/>
      <c r="Q932" s="531"/>
    </row>
    <row r="933" spans="13:17" ht="12.75">
      <c r="M933" s="531"/>
      <c r="Q933" s="531"/>
    </row>
    <row r="934" spans="13:17" ht="12.75">
      <c r="M934" s="531"/>
      <c r="Q934" s="531"/>
    </row>
    <row r="935" spans="13:17" ht="12.75">
      <c r="M935" s="531"/>
      <c r="Q935" s="531"/>
    </row>
    <row r="936" spans="13:17" ht="12.75">
      <c r="M936" s="531"/>
      <c r="Q936" s="531"/>
    </row>
    <row r="937" spans="13:17" ht="12.75">
      <c r="M937" s="531"/>
      <c r="Q937" s="531"/>
    </row>
    <row r="938" spans="13:17" ht="12.75">
      <c r="M938" s="531"/>
      <c r="Q938" s="531"/>
    </row>
    <row r="939" spans="13:17" ht="12.75">
      <c r="M939" s="531"/>
      <c r="Q939" s="531"/>
    </row>
    <row r="940" spans="13:17" ht="12.75">
      <c r="M940" s="531"/>
      <c r="Q940" s="531"/>
    </row>
    <row r="941" spans="13:17" ht="12.75">
      <c r="M941" s="531"/>
      <c r="Q941" s="531"/>
    </row>
    <row r="942" spans="13:17" ht="12.75">
      <c r="M942" s="531"/>
      <c r="Q942" s="531"/>
    </row>
    <row r="943" spans="13:17" ht="12.75">
      <c r="M943" s="531"/>
      <c r="Q943" s="531"/>
    </row>
    <row r="944" spans="13:17" ht="12.75">
      <c r="M944" s="531"/>
      <c r="Q944" s="531"/>
    </row>
    <row r="945" spans="13:17" ht="12.75">
      <c r="M945" s="531"/>
      <c r="Q945" s="531"/>
    </row>
    <row r="946" spans="13:17" ht="12.75">
      <c r="M946" s="531"/>
      <c r="Q946" s="531"/>
    </row>
    <row r="947" spans="13:17" ht="12.75">
      <c r="M947" s="531"/>
      <c r="Q947" s="531"/>
    </row>
    <row r="948" spans="13:17" ht="12.75">
      <c r="M948" s="531"/>
      <c r="Q948" s="531"/>
    </row>
    <row r="949" spans="13:17" ht="12.75">
      <c r="M949" s="531"/>
      <c r="Q949" s="531"/>
    </row>
    <row r="950" spans="13:17" ht="12.75">
      <c r="M950" s="531"/>
      <c r="Q950" s="531"/>
    </row>
    <row r="951" spans="13:17" ht="12.75">
      <c r="M951" s="531"/>
      <c r="Q951" s="531"/>
    </row>
    <row r="952" spans="13:17" ht="12.75">
      <c r="M952" s="531"/>
      <c r="Q952" s="531"/>
    </row>
    <row r="953" spans="13:17" ht="12.75">
      <c r="M953" s="531"/>
      <c r="Q953" s="531"/>
    </row>
    <row r="954" spans="13:17" ht="12.75">
      <c r="M954" s="531"/>
      <c r="Q954" s="531"/>
    </row>
    <row r="955" spans="13:17" ht="12.75">
      <c r="M955" s="531"/>
      <c r="Q955" s="531"/>
    </row>
    <row r="956" spans="13:17" ht="12.75">
      <c r="M956" s="531"/>
      <c r="Q956" s="531"/>
    </row>
    <row r="957" spans="13:17" ht="12.75">
      <c r="M957" s="531"/>
      <c r="Q957" s="531"/>
    </row>
    <row r="958" spans="13:17" ht="12.75">
      <c r="M958" s="531"/>
      <c r="Q958" s="531"/>
    </row>
    <row r="959" spans="13:17" ht="12.75">
      <c r="M959" s="531"/>
      <c r="Q959" s="531"/>
    </row>
    <row r="960" spans="13:17" ht="12.75">
      <c r="M960" s="531"/>
      <c r="Q960" s="531"/>
    </row>
    <row r="961" spans="13:17" ht="12.75">
      <c r="M961" s="531"/>
      <c r="Q961" s="531"/>
    </row>
    <row r="962" spans="13:17" ht="12.75">
      <c r="M962" s="531"/>
      <c r="Q962" s="531"/>
    </row>
    <row r="963" spans="13:17" ht="12.75">
      <c r="M963" s="531"/>
      <c r="Q963" s="531"/>
    </row>
    <row r="964" spans="13:17" ht="12.75">
      <c r="M964" s="531"/>
      <c r="Q964" s="531"/>
    </row>
    <row r="965" spans="13:17" ht="12.75">
      <c r="M965" s="531"/>
      <c r="Q965" s="531"/>
    </row>
    <row r="966" spans="13:17" ht="12.75">
      <c r="M966" s="531"/>
      <c r="Q966" s="531"/>
    </row>
    <row r="967" spans="13:17" ht="12.75">
      <c r="M967" s="531"/>
      <c r="Q967" s="531"/>
    </row>
    <row r="968" spans="13:17" ht="12.75">
      <c r="M968" s="531"/>
      <c r="Q968" s="531"/>
    </row>
    <row r="969" spans="13:17" ht="12.75">
      <c r="M969" s="531"/>
      <c r="Q969" s="531"/>
    </row>
    <row r="970" spans="13:17" ht="12.75">
      <c r="M970" s="531"/>
      <c r="Q970" s="531"/>
    </row>
    <row r="971" spans="13:17" ht="12.75">
      <c r="M971" s="531"/>
      <c r="Q971" s="531"/>
    </row>
    <row r="972" spans="13:17" ht="12.75">
      <c r="M972" s="531"/>
      <c r="Q972" s="531"/>
    </row>
    <row r="973" spans="13:17" ht="12.75">
      <c r="M973" s="531"/>
      <c r="Q973" s="531"/>
    </row>
    <row r="974" spans="13:17" ht="12.75">
      <c r="M974" s="531"/>
      <c r="Q974" s="531"/>
    </row>
    <row r="975" spans="13:17" ht="12.75">
      <c r="M975" s="531"/>
      <c r="Q975" s="531"/>
    </row>
    <row r="976" spans="13:17" ht="12.75">
      <c r="M976" s="531"/>
      <c r="Q976" s="531"/>
    </row>
    <row r="977" spans="13:17" ht="12.75">
      <c r="M977" s="531"/>
      <c r="Q977" s="531"/>
    </row>
    <row r="978" spans="13:17" ht="12.75">
      <c r="M978" s="531"/>
      <c r="Q978" s="531"/>
    </row>
    <row r="979" spans="13:17" ht="12.75">
      <c r="M979" s="531"/>
      <c r="Q979" s="531"/>
    </row>
    <row r="980" spans="13:17" ht="12.75">
      <c r="M980" s="531"/>
      <c r="Q980" s="531"/>
    </row>
    <row r="981" spans="13:17" ht="12.75">
      <c r="M981" s="531"/>
      <c r="Q981" s="531"/>
    </row>
    <row r="982" spans="13:17" ht="12.75">
      <c r="M982" s="531"/>
      <c r="Q982" s="531"/>
    </row>
    <row r="983" spans="13:17" ht="12.75">
      <c r="M983" s="531"/>
      <c r="Q983" s="531"/>
    </row>
    <row r="984" spans="13:17" ht="12.75">
      <c r="M984" s="531"/>
      <c r="Q984" s="531"/>
    </row>
    <row r="985" spans="13:17" ht="12.75">
      <c r="M985" s="531"/>
      <c r="Q985" s="531"/>
    </row>
    <row r="986" spans="13:17" ht="12.75">
      <c r="M986" s="531"/>
      <c r="Q986" s="531"/>
    </row>
    <row r="987" spans="13:17" ht="12.75">
      <c r="M987" s="531"/>
      <c r="Q987" s="531"/>
    </row>
    <row r="988" spans="13:17" ht="12.75">
      <c r="M988" s="531"/>
      <c r="Q988" s="531"/>
    </row>
    <row r="989" spans="13:17" ht="12.75">
      <c r="M989" s="531"/>
      <c r="Q989" s="531"/>
    </row>
    <row r="990" spans="13:17" ht="12.75">
      <c r="M990" s="531"/>
      <c r="Q990" s="531"/>
    </row>
    <row r="991" spans="13:17" ht="12.75">
      <c r="M991" s="531"/>
      <c r="Q991" s="531"/>
    </row>
    <row r="992" spans="13:17" ht="12.75">
      <c r="M992" s="531"/>
      <c r="Q992" s="531"/>
    </row>
    <row r="993" spans="13:17" ht="12.75">
      <c r="M993" s="531"/>
      <c r="Q993" s="531"/>
    </row>
    <row r="994" spans="13:17" ht="12.75">
      <c r="M994" s="531"/>
      <c r="Q994" s="531"/>
    </row>
    <row r="995" spans="13:17" ht="12.75">
      <c r="M995" s="531"/>
      <c r="Q995" s="531"/>
    </row>
    <row r="996" spans="13:17" ht="12.75">
      <c r="M996" s="531"/>
      <c r="Q996" s="531"/>
    </row>
    <row r="997" spans="13:17" ht="12.75">
      <c r="M997" s="531"/>
      <c r="Q997" s="531"/>
    </row>
    <row r="998" spans="13:17" ht="12.75">
      <c r="M998" s="531"/>
      <c r="Q998" s="531"/>
    </row>
    <row r="999" spans="13:17" ht="12.75">
      <c r="M999" s="531"/>
      <c r="Q999" s="531"/>
    </row>
    <row r="1000" spans="13:17" ht="12.75">
      <c r="M1000" s="531"/>
      <c r="Q1000" s="531"/>
    </row>
    <row r="1001" spans="13:17" ht="12.75">
      <c r="M1001" s="531"/>
      <c r="Q1001" s="531"/>
    </row>
    <row r="1002" spans="13:17" ht="12.75">
      <c r="M1002" s="531"/>
      <c r="Q1002" s="531"/>
    </row>
    <row r="1003" spans="13:17" ht="12.75">
      <c r="M1003" s="531"/>
      <c r="Q1003" s="531"/>
    </row>
    <row r="1004" spans="13:17" ht="12.75">
      <c r="M1004" s="531"/>
      <c r="Q1004" s="531"/>
    </row>
    <row r="1005" spans="13:17" ht="12.75">
      <c r="M1005" s="531"/>
      <c r="Q1005" s="531"/>
    </row>
    <row r="1006" spans="13:17" ht="12.75">
      <c r="M1006" s="531"/>
      <c r="Q1006" s="531"/>
    </row>
    <row r="1007" spans="13:17" ht="12.75">
      <c r="M1007" s="531"/>
      <c r="Q1007" s="531"/>
    </row>
    <row r="1008" spans="13:17" ht="12.75">
      <c r="M1008" s="531"/>
      <c r="Q1008" s="531"/>
    </row>
    <row r="1009" spans="13:17" ht="12.75">
      <c r="M1009" s="531"/>
      <c r="Q1009" s="531"/>
    </row>
    <row r="1010" spans="13:17" ht="12.75">
      <c r="M1010" s="531"/>
      <c r="Q1010" s="531"/>
    </row>
    <row r="1011" spans="13:17" ht="12.75">
      <c r="M1011" s="531"/>
      <c r="Q1011" s="531"/>
    </row>
    <row r="1012" spans="13:17" ht="12.75">
      <c r="M1012" s="531"/>
      <c r="Q1012" s="531"/>
    </row>
    <row r="1013" spans="13:17" ht="12.75">
      <c r="M1013" s="531"/>
      <c r="Q1013" s="531"/>
    </row>
    <row r="1014" spans="13:17" ht="12.75">
      <c r="M1014" s="531"/>
      <c r="Q1014" s="531"/>
    </row>
    <row r="1015" spans="13:17" ht="12.75">
      <c r="M1015" s="531"/>
      <c r="Q1015" s="531"/>
    </row>
    <row r="1016" spans="13:17" ht="12.75">
      <c r="M1016" s="531"/>
      <c r="Q1016" s="531"/>
    </row>
    <row r="1017" spans="13:17" ht="12.75">
      <c r="M1017" s="531"/>
      <c r="Q1017" s="531"/>
    </row>
    <row r="1018" spans="13:17" ht="12.75">
      <c r="M1018" s="531"/>
      <c r="Q1018" s="531"/>
    </row>
    <row r="1019" spans="13:17" ht="12.75">
      <c r="M1019" s="531"/>
      <c r="Q1019" s="531"/>
    </row>
    <row r="1020" spans="13:17" ht="12.75">
      <c r="M1020" s="531"/>
      <c r="Q1020" s="531"/>
    </row>
    <row r="1021" spans="13:17" ht="12.75">
      <c r="M1021" s="531"/>
      <c r="Q1021" s="531"/>
    </row>
    <row r="1022" spans="13:17" ht="12.75">
      <c r="M1022" s="531"/>
      <c r="Q1022" s="531"/>
    </row>
    <row r="1023" spans="13:17" ht="12.75">
      <c r="M1023" s="531"/>
      <c r="Q1023" s="531"/>
    </row>
    <row r="1024" spans="13:17" ht="12.75">
      <c r="M1024" s="531"/>
      <c r="Q1024" s="531"/>
    </row>
    <row r="1025" spans="13:17" ht="12.75">
      <c r="M1025" s="531"/>
      <c r="Q1025" s="531"/>
    </row>
    <row r="1026" spans="13:17" ht="12.75">
      <c r="M1026" s="531"/>
      <c r="Q1026" s="531"/>
    </row>
    <row r="1027" spans="13:17" ht="12.75">
      <c r="M1027" s="531"/>
      <c r="Q1027" s="531"/>
    </row>
    <row r="1028" spans="13:17" ht="12.75">
      <c r="M1028" s="531"/>
      <c r="Q1028" s="531"/>
    </row>
    <row r="1029" spans="13:17" ht="12.75">
      <c r="M1029" s="531"/>
      <c r="Q1029" s="531"/>
    </row>
    <row r="1030" spans="13:17" ht="12.75">
      <c r="M1030" s="531"/>
      <c r="Q1030" s="531"/>
    </row>
    <row r="1031" spans="13:17" ht="12.75">
      <c r="M1031" s="531"/>
      <c r="Q1031" s="531"/>
    </row>
    <row r="1032" spans="13:17" ht="12.75">
      <c r="M1032" s="531"/>
      <c r="Q1032" s="531"/>
    </row>
    <row r="1033" spans="13:17" ht="12.75">
      <c r="M1033" s="531"/>
      <c r="Q1033" s="531"/>
    </row>
    <row r="1034" spans="13:17" ht="12.75">
      <c r="M1034" s="531"/>
      <c r="Q1034" s="531"/>
    </row>
    <row r="1035" spans="13:17" ht="12.75">
      <c r="M1035" s="531"/>
      <c r="Q1035" s="531"/>
    </row>
    <row r="1036" spans="13:17" ht="12.75">
      <c r="M1036" s="531"/>
      <c r="Q1036" s="531"/>
    </row>
    <row r="1037" spans="13:17" ht="12.75">
      <c r="M1037" s="531"/>
      <c r="Q1037" s="531"/>
    </row>
    <row r="1038" spans="13:17" ht="12.75">
      <c r="M1038" s="531"/>
      <c r="Q1038" s="531"/>
    </row>
    <row r="1039" spans="13:17" ht="12.75">
      <c r="M1039" s="531"/>
      <c r="Q1039" s="531"/>
    </row>
    <row r="1040" spans="13:17" ht="12.75">
      <c r="M1040" s="531"/>
      <c r="Q1040" s="531"/>
    </row>
    <row r="1041" spans="13:17" ht="12.75">
      <c r="M1041" s="531"/>
      <c r="Q1041" s="531"/>
    </row>
    <row r="1042" spans="13:17" ht="12.75">
      <c r="M1042" s="531"/>
      <c r="Q1042" s="531"/>
    </row>
    <row r="1043" spans="13:17" ht="12.75">
      <c r="M1043" s="531"/>
      <c r="Q1043" s="531"/>
    </row>
    <row r="1044" spans="13:17" ht="12.75">
      <c r="M1044" s="531"/>
      <c r="Q1044" s="531"/>
    </row>
    <row r="1045" spans="13:17" ht="12.75">
      <c r="M1045" s="531"/>
      <c r="Q1045" s="531"/>
    </row>
    <row r="1046" spans="13:17" ht="12.75">
      <c r="M1046" s="531"/>
      <c r="Q1046" s="531"/>
    </row>
    <row r="1047" spans="13:17" ht="12.75">
      <c r="M1047" s="531"/>
      <c r="Q1047" s="531"/>
    </row>
    <row r="1048" spans="13:17" ht="12.75">
      <c r="M1048" s="531"/>
      <c r="Q1048" s="531"/>
    </row>
    <row r="1049" spans="13:17" ht="12.75">
      <c r="M1049" s="531"/>
      <c r="Q1049" s="531"/>
    </row>
    <row r="1050" spans="13:17" ht="12.75">
      <c r="M1050" s="531"/>
      <c r="Q1050" s="531"/>
    </row>
    <row r="1051" spans="13:17" ht="12.75">
      <c r="M1051" s="531"/>
      <c r="Q1051" s="531"/>
    </row>
    <row r="1052" spans="13:17" ht="12.75">
      <c r="M1052" s="531"/>
      <c r="Q1052" s="531"/>
    </row>
    <row r="1053" spans="13:17" ht="12.75">
      <c r="M1053" s="531"/>
      <c r="Q1053" s="531"/>
    </row>
    <row r="1054" spans="13:17" ht="12.75">
      <c r="M1054" s="531"/>
      <c r="Q1054" s="531"/>
    </row>
    <row r="1055" spans="13:17" ht="12.75">
      <c r="M1055" s="531"/>
      <c r="Q1055" s="531"/>
    </row>
    <row r="1056" spans="13:17" ht="12.75">
      <c r="M1056" s="531"/>
      <c r="Q1056" s="531"/>
    </row>
    <row r="1057" spans="13:17" ht="12.75">
      <c r="M1057" s="531"/>
      <c r="Q1057" s="531"/>
    </row>
    <row r="1058" spans="13:17" ht="12.75">
      <c r="M1058" s="531"/>
      <c r="Q1058" s="531"/>
    </row>
    <row r="1059" spans="13:17" ht="12.75">
      <c r="M1059" s="531"/>
      <c r="Q1059" s="531"/>
    </row>
    <row r="1060" spans="13:17" ht="12.75">
      <c r="M1060" s="531"/>
      <c r="Q1060" s="531"/>
    </row>
    <row r="1061" spans="13:17" ht="12.75">
      <c r="M1061" s="531"/>
      <c r="Q1061" s="531"/>
    </row>
    <row r="1062" spans="13:17" ht="12.75">
      <c r="M1062" s="531"/>
      <c r="Q1062" s="531"/>
    </row>
    <row r="1063" spans="13:17" ht="12.75">
      <c r="M1063" s="531"/>
      <c r="Q1063" s="531"/>
    </row>
    <row r="1064" spans="13:17" ht="12.75">
      <c r="M1064" s="531"/>
      <c r="Q1064" s="531"/>
    </row>
    <row r="1065" spans="13:17" ht="12.75">
      <c r="M1065" s="531"/>
      <c r="Q1065" s="531"/>
    </row>
    <row r="1066" spans="13:17" ht="12.75">
      <c r="M1066" s="531"/>
      <c r="Q1066" s="531"/>
    </row>
    <row r="1067" spans="13:17" ht="12.75">
      <c r="M1067" s="531"/>
      <c r="Q1067" s="531"/>
    </row>
    <row r="1068" spans="13:17" ht="12.75">
      <c r="M1068" s="531"/>
      <c r="Q1068" s="531"/>
    </row>
    <row r="1069" spans="13:17" ht="12.75">
      <c r="M1069" s="531"/>
      <c r="Q1069" s="531"/>
    </row>
    <row r="1070" spans="13:17" ht="12.75">
      <c r="M1070" s="531"/>
      <c r="Q1070" s="531"/>
    </row>
    <row r="1071" spans="13:17" ht="12.75">
      <c r="M1071" s="531"/>
      <c r="Q1071" s="531"/>
    </row>
    <row r="1072" spans="13:17" ht="12.75">
      <c r="M1072" s="531"/>
      <c r="Q1072" s="531"/>
    </row>
    <row r="1073" spans="13:17" ht="12.75">
      <c r="M1073" s="531"/>
      <c r="Q1073" s="531"/>
    </row>
    <row r="1074" spans="13:17" ht="12.75">
      <c r="M1074" s="531"/>
      <c r="Q1074" s="531"/>
    </row>
    <row r="1075" spans="13:17" ht="12.75">
      <c r="M1075" s="531"/>
      <c r="Q1075" s="531"/>
    </row>
    <row r="1076" spans="13:17" ht="12.75">
      <c r="M1076" s="531"/>
      <c r="Q1076" s="531"/>
    </row>
    <row r="1077" spans="13:17" ht="12.75">
      <c r="M1077" s="531"/>
      <c r="Q1077" s="531"/>
    </row>
    <row r="1078" spans="13:17" ht="12.75">
      <c r="M1078" s="531"/>
      <c r="Q1078" s="531"/>
    </row>
    <row r="1079" spans="13:17" ht="12.75">
      <c r="M1079" s="531"/>
      <c r="Q1079" s="531"/>
    </row>
    <row r="1080" spans="13:17" ht="12.75">
      <c r="M1080" s="531"/>
      <c r="Q1080" s="531"/>
    </row>
    <row r="1081" spans="13:17" ht="12.75">
      <c r="M1081" s="531"/>
      <c r="Q1081" s="531"/>
    </row>
    <row r="1082" spans="13:17" ht="12.75">
      <c r="M1082" s="531"/>
      <c r="Q1082" s="531"/>
    </row>
    <row r="1083" spans="13:17" ht="12.75">
      <c r="M1083" s="531"/>
      <c r="Q1083" s="531"/>
    </row>
    <row r="1084" spans="13:17" ht="12.75">
      <c r="M1084" s="531"/>
      <c r="Q1084" s="531"/>
    </row>
    <row r="1085" spans="13:17" ht="12.75">
      <c r="M1085" s="531"/>
      <c r="Q1085" s="531"/>
    </row>
    <row r="1086" spans="13:17" ht="12.75">
      <c r="M1086" s="531"/>
      <c r="Q1086" s="531"/>
    </row>
    <row r="1087" spans="13:17" ht="12.75">
      <c r="M1087" s="531"/>
      <c r="Q1087" s="531"/>
    </row>
    <row r="1088" spans="13:17" ht="12.75">
      <c r="M1088" s="531"/>
      <c r="Q1088" s="531"/>
    </row>
    <row r="1089" spans="13:17" ht="12.75">
      <c r="M1089" s="531"/>
      <c r="Q1089" s="531"/>
    </row>
    <row r="1090" spans="13:17" ht="12.75">
      <c r="M1090" s="531"/>
      <c r="Q1090" s="531"/>
    </row>
    <row r="1091" spans="13:17" ht="12.75">
      <c r="M1091" s="531"/>
      <c r="Q1091" s="531"/>
    </row>
    <row r="1092" spans="13:17" ht="12.75">
      <c r="M1092" s="531"/>
      <c r="Q1092" s="531"/>
    </row>
    <row r="1093" spans="13:17" ht="12.75">
      <c r="M1093" s="531"/>
      <c r="Q1093" s="531"/>
    </row>
    <row r="1094" spans="13:17" ht="12.75">
      <c r="M1094" s="531"/>
      <c r="Q1094" s="531"/>
    </row>
    <row r="1095" spans="13:17" ht="12.75">
      <c r="M1095" s="531"/>
      <c r="Q1095" s="531"/>
    </row>
    <row r="1096" spans="13:17" ht="12.75">
      <c r="M1096" s="531"/>
      <c r="Q1096" s="531"/>
    </row>
    <row r="1097" spans="13:17" ht="12.75">
      <c r="M1097" s="531"/>
      <c r="Q1097" s="531"/>
    </row>
    <row r="1098" spans="13:17" ht="12.75">
      <c r="M1098" s="531"/>
      <c r="Q1098" s="531"/>
    </row>
    <row r="1099" spans="13:17" ht="12.75">
      <c r="M1099" s="531"/>
      <c r="Q1099" s="531"/>
    </row>
    <row r="1100" spans="13:17" ht="12.75">
      <c r="M1100" s="531"/>
      <c r="Q1100" s="531"/>
    </row>
    <row r="1101" spans="13:17" ht="12.75">
      <c r="M1101" s="531"/>
      <c r="Q1101" s="531"/>
    </row>
    <row r="1102" spans="13:17" ht="12.75">
      <c r="M1102" s="531"/>
      <c r="Q1102" s="531"/>
    </row>
    <row r="1103" spans="13:17" ht="12.75">
      <c r="M1103" s="531"/>
      <c r="Q1103" s="531"/>
    </row>
    <row r="1104" spans="13:17" ht="12.75">
      <c r="M1104" s="531"/>
      <c r="Q1104" s="531"/>
    </row>
    <row r="1105" spans="13:17" ht="12.75">
      <c r="M1105" s="531"/>
      <c r="Q1105" s="531"/>
    </row>
    <row r="1106" spans="13:17" ht="12.75">
      <c r="M1106" s="531"/>
      <c r="Q1106" s="531"/>
    </row>
    <row r="1107" spans="13:17" ht="12.75">
      <c r="M1107" s="531"/>
      <c r="Q1107" s="531"/>
    </row>
    <row r="1108" spans="13:17" ht="12.75">
      <c r="M1108" s="531"/>
      <c r="Q1108" s="531"/>
    </row>
    <row r="1109" spans="13:17" ht="12.75">
      <c r="M1109" s="531"/>
      <c r="Q1109" s="531"/>
    </row>
    <row r="1110" spans="13:17" ht="12.75">
      <c r="M1110" s="531"/>
      <c r="Q1110" s="531"/>
    </row>
    <row r="1111" spans="13:17" ht="12.75">
      <c r="M1111" s="531"/>
      <c r="Q1111" s="531"/>
    </row>
    <row r="1112" spans="13:17" ht="12.75">
      <c r="M1112" s="531"/>
      <c r="Q1112" s="531"/>
    </row>
    <row r="1113" spans="13:17" ht="12.75">
      <c r="M1113" s="531"/>
      <c r="Q1113" s="531"/>
    </row>
    <row r="1114" spans="13:17" ht="12.75">
      <c r="M1114" s="531"/>
      <c r="Q1114" s="531"/>
    </row>
    <row r="1115" spans="13:17" ht="12.75">
      <c r="M1115" s="531"/>
      <c r="Q1115" s="531"/>
    </row>
    <row r="1116" spans="13:17" ht="12.75">
      <c r="M1116" s="531"/>
      <c r="Q1116" s="531"/>
    </row>
    <row r="1117" spans="13:17" ht="12.75">
      <c r="M1117" s="531"/>
      <c r="Q1117" s="531"/>
    </row>
    <row r="1118" spans="13:17" ht="12.75">
      <c r="M1118" s="531"/>
      <c r="Q1118" s="531"/>
    </row>
    <row r="1119" spans="13:17" ht="12.75">
      <c r="M1119" s="531"/>
      <c r="Q1119" s="531"/>
    </row>
    <row r="1120" spans="13:17" ht="12.75">
      <c r="M1120" s="531"/>
      <c r="Q1120" s="531"/>
    </row>
    <row r="1121" spans="13:17" ht="12.75">
      <c r="M1121" s="531"/>
      <c r="Q1121" s="531"/>
    </row>
    <row r="1122" spans="13:17" ht="12.75">
      <c r="M1122" s="531"/>
      <c r="Q1122" s="531"/>
    </row>
    <row r="1123" spans="13:17" ht="12.75">
      <c r="M1123" s="531"/>
      <c r="Q1123" s="531"/>
    </row>
    <row r="1124" spans="13:17" ht="12.75">
      <c r="M1124" s="531"/>
      <c r="Q1124" s="531"/>
    </row>
    <row r="1125" spans="13:17" ht="12.75">
      <c r="M1125" s="531"/>
      <c r="Q1125" s="531"/>
    </row>
    <row r="1126" spans="13:17" ht="12.75">
      <c r="M1126" s="531"/>
      <c r="Q1126" s="531"/>
    </row>
    <row r="1127" spans="13:17" ht="12.75">
      <c r="M1127" s="531"/>
      <c r="Q1127" s="531"/>
    </row>
    <row r="1128" spans="13:17" ht="12.75">
      <c r="M1128" s="531"/>
      <c r="Q1128" s="531"/>
    </row>
    <row r="1129" spans="13:17" ht="12.75">
      <c r="M1129" s="531"/>
      <c r="Q1129" s="531"/>
    </row>
    <row r="1130" spans="13:17" ht="12.75">
      <c r="M1130" s="531"/>
      <c r="Q1130" s="531"/>
    </row>
    <row r="1131" spans="13:17" ht="12.75">
      <c r="M1131" s="531"/>
      <c r="Q1131" s="531"/>
    </row>
    <row r="1132" spans="13:17" ht="12.75">
      <c r="M1132" s="531"/>
      <c r="Q1132" s="531"/>
    </row>
    <row r="1133" spans="13:17" ht="12.75">
      <c r="M1133" s="531"/>
      <c r="Q1133" s="531"/>
    </row>
    <row r="1134" spans="13:17" ht="12.75">
      <c r="M1134" s="531"/>
      <c r="Q1134" s="531"/>
    </row>
    <row r="1135" spans="13:17" ht="12.75">
      <c r="M1135" s="531"/>
      <c r="Q1135" s="531"/>
    </row>
    <row r="1136" spans="13:17" ht="12.75">
      <c r="M1136" s="531"/>
      <c r="Q1136" s="531"/>
    </row>
    <row r="1137" spans="13:17" ht="12.75">
      <c r="M1137" s="531"/>
      <c r="Q1137" s="531"/>
    </row>
    <row r="1138" spans="13:17" ht="12.75">
      <c r="M1138" s="531"/>
      <c r="Q1138" s="531"/>
    </row>
    <row r="1139" spans="13:17" ht="12.75">
      <c r="M1139" s="531"/>
      <c r="Q1139" s="531"/>
    </row>
    <row r="1140" spans="13:17" ht="12.75">
      <c r="M1140" s="531"/>
      <c r="Q1140" s="531"/>
    </row>
    <row r="1141" spans="13:17" ht="12.75">
      <c r="M1141" s="531"/>
      <c r="Q1141" s="531"/>
    </row>
    <row r="1142" spans="13:17" ht="12.75">
      <c r="M1142" s="531"/>
      <c r="Q1142" s="531"/>
    </row>
    <row r="1143" spans="13:17" ht="12.75">
      <c r="M1143" s="531"/>
      <c r="Q1143" s="531"/>
    </row>
    <row r="1144" spans="13:17" ht="12.75">
      <c r="M1144" s="531"/>
      <c r="Q1144" s="531"/>
    </row>
    <row r="1145" spans="13:17" ht="12.75">
      <c r="M1145" s="531"/>
      <c r="Q1145" s="531"/>
    </row>
    <row r="1146" spans="13:17" ht="12.75">
      <c r="M1146" s="531"/>
      <c r="Q1146" s="531"/>
    </row>
    <row r="1147" spans="13:17" ht="12.75">
      <c r="M1147" s="531"/>
      <c r="Q1147" s="531"/>
    </row>
    <row r="1148" spans="13:17" ht="12.75">
      <c r="M1148" s="531"/>
      <c r="Q1148" s="531"/>
    </row>
    <row r="1149" spans="13:17" ht="12.75">
      <c r="M1149" s="531"/>
      <c r="Q1149" s="531"/>
    </row>
    <row r="1150" spans="13:17" ht="12.75">
      <c r="M1150" s="531"/>
      <c r="Q1150" s="531"/>
    </row>
    <row r="1151" spans="13:17" ht="12.75">
      <c r="M1151" s="531"/>
      <c r="Q1151" s="531"/>
    </row>
    <row r="1152" spans="13:17" ht="12.75">
      <c r="M1152" s="531"/>
      <c r="Q1152" s="531"/>
    </row>
    <row r="1153" spans="13:17" ht="12.75">
      <c r="M1153" s="531"/>
      <c r="Q1153" s="531"/>
    </row>
    <row r="1154" spans="13:17" ht="12.75">
      <c r="M1154" s="531"/>
      <c r="Q1154" s="531"/>
    </row>
    <row r="1155" spans="13:17" ht="12.75">
      <c r="M1155" s="531"/>
      <c r="Q1155" s="531"/>
    </row>
    <row r="1156" spans="13:17" ht="12.75">
      <c r="M1156" s="531"/>
      <c r="Q1156" s="531"/>
    </row>
    <row r="1157" spans="13:17" ht="12.75">
      <c r="M1157" s="531"/>
      <c r="Q1157" s="531"/>
    </row>
    <row r="1158" spans="13:17" ht="12.75">
      <c r="M1158" s="531"/>
      <c r="Q1158" s="531"/>
    </row>
    <row r="1159" spans="13:17" ht="12.75">
      <c r="M1159" s="531"/>
      <c r="Q1159" s="531"/>
    </row>
    <row r="1160" spans="13:17" ht="12.75">
      <c r="M1160" s="531"/>
      <c r="Q1160" s="531"/>
    </row>
    <row r="1161" spans="13:17" ht="12.75">
      <c r="M1161" s="531"/>
      <c r="Q1161" s="531"/>
    </row>
    <row r="1162" spans="13:17" ht="12.75">
      <c r="M1162" s="531"/>
      <c r="Q1162" s="531"/>
    </row>
    <row r="1163" spans="13:17" ht="12.75">
      <c r="M1163" s="531"/>
      <c r="Q1163" s="531"/>
    </row>
    <row r="1164" spans="13:17" ht="12.75">
      <c r="M1164" s="531"/>
      <c r="Q1164" s="531"/>
    </row>
    <row r="1165" spans="13:17" ht="12.75">
      <c r="M1165" s="531"/>
      <c r="Q1165" s="531"/>
    </row>
    <row r="1166" spans="13:17" ht="12.75">
      <c r="M1166" s="531"/>
      <c r="Q1166" s="531"/>
    </row>
    <row r="1167" spans="13:17" ht="12.75">
      <c r="M1167" s="531"/>
      <c r="Q1167" s="531"/>
    </row>
    <row r="1168" spans="13:17" ht="12.75">
      <c r="M1168" s="531"/>
      <c r="Q1168" s="531"/>
    </row>
    <row r="1169" spans="13:17" ht="12.75">
      <c r="M1169" s="531"/>
      <c r="Q1169" s="531"/>
    </row>
    <row r="1170" spans="13:17" ht="12.75">
      <c r="M1170" s="531"/>
      <c r="Q1170" s="531"/>
    </row>
    <row r="1171" spans="13:17" ht="12.75">
      <c r="M1171" s="531"/>
      <c r="Q1171" s="531"/>
    </row>
    <row r="1172" spans="13:17" ht="12.75">
      <c r="M1172" s="531"/>
      <c r="Q1172" s="531"/>
    </row>
    <row r="1173" spans="13:17" ht="12.75">
      <c r="M1173" s="531"/>
      <c r="Q1173" s="531"/>
    </row>
    <row r="1174" spans="13:17" ht="12.75">
      <c r="M1174" s="531"/>
      <c r="Q1174" s="531"/>
    </row>
    <row r="1175" spans="13:17" ht="12.75">
      <c r="M1175" s="531"/>
      <c r="Q1175" s="531"/>
    </row>
    <row r="1176" spans="13:17" ht="12.75">
      <c r="M1176" s="531"/>
      <c r="Q1176" s="531"/>
    </row>
    <row r="1177" spans="13:17" ht="12.75">
      <c r="M1177" s="531"/>
      <c r="Q1177" s="531"/>
    </row>
    <row r="1178" spans="13:17" ht="12.75">
      <c r="M1178" s="531"/>
      <c r="Q1178" s="531"/>
    </row>
    <row r="1179" spans="13:17" ht="12.75">
      <c r="M1179" s="531"/>
      <c r="Q1179" s="531"/>
    </row>
    <row r="1180" spans="13:17" ht="12.75">
      <c r="M1180" s="531"/>
      <c r="Q1180" s="531"/>
    </row>
    <row r="1181" spans="13:17" ht="12.75">
      <c r="M1181" s="531"/>
      <c r="Q1181" s="531"/>
    </row>
    <row r="1182" spans="13:17" ht="12.75">
      <c r="M1182" s="531"/>
      <c r="Q1182" s="531"/>
    </row>
    <row r="1183" spans="13:17" ht="12.75">
      <c r="M1183" s="531"/>
      <c r="Q1183" s="531"/>
    </row>
    <row r="1184" spans="13:17" ht="12.75">
      <c r="M1184" s="531"/>
      <c r="Q1184" s="531"/>
    </row>
    <row r="1185" spans="13:17" ht="12.75">
      <c r="M1185" s="531"/>
      <c r="Q1185" s="531"/>
    </row>
    <row r="1186" spans="13:17" ht="12.75">
      <c r="M1186" s="531"/>
      <c r="Q1186" s="531"/>
    </row>
    <row r="1187" spans="13:17" ht="12.75">
      <c r="M1187" s="531"/>
      <c r="Q1187" s="531"/>
    </row>
    <row r="1188" spans="13:17" ht="12.75">
      <c r="M1188" s="531"/>
      <c r="Q1188" s="531"/>
    </row>
    <row r="1189" spans="13:17" ht="12.75">
      <c r="M1189" s="531"/>
      <c r="Q1189" s="531"/>
    </row>
    <row r="1190" spans="13:17" ht="12.75">
      <c r="M1190" s="531"/>
      <c r="Q1190" s="531"/>
    </row>
    <row r="1191" spans="13:17" ht="12.75">
      <c r="M1191" s="531"/>
      <c r="Q1191" s="531"/>
    </row>
    <row r="1192" spans="13:17" ht="12.75">
      <c r="M1192" s="531"/>
      <c r="Q1192" s="531"/>
    </row>
    <row r="1193" spans="13:17" ht="12.75">
      <c r="M1193" s="531"/>
      <c r="Q1193" s="531"/>
    </row>
    <row r="1194" spans="13:17" ht="12.75">
      <c r="M1194" s="531"/>
      <c r="Q1194" s="531"/>
    </row>
    <row r="1195" spans="13:17" ht="12.75">
      <c r="M1195" s="531"/>
      <c r="Q1195" s="531"/>
    </row>
    <row r="1196" spans="13:17" ht="12.75">
      <c r="M1196" s="531"/>
      <c r="Q1196" s="531"/>
    </row>
    <row r="1197" spans="13:17" ht="12.75">
      <c r="M1197" s="531"/>
      <c r="Q1197" s="531"/>
    </row>
    <row r="1198" spans="13:17" ht="12.75">
      <c r="M1198" s="531"/>
      <c r="Q1198" s="531"/>
    </row>
    <row r="1199" spans="13:17" ht="12.75">
      <c r="M1199" s="531"/>
      <c r="Q1199" s="531"/>
    </row>
    <row r="1200" spans="13:17" ht="12.75">
      <c r="M1200" s="531"/>
      <c r="Q1200" s="531"/>
    </row>
    <row r="1201" spans="13:17" ht="12.75">
      <c r="M1201" s="531"/>
      <c r="Q1201" s="531"/>
    </row>
    <row r="1202" spans="13:17" ht="12.75">
      <c r="M1202" s="531"/>
      <c r="Q1202" s="531"/>
    </row>
    <row r="1203" spans="13:17" ht="12.75">
      <c r="M1203" s="531"/>
      <c r="Q1203" s="531"/>
    </row>
    <row r="1204" spans="13:17" ht="12.75">
      <c r="M1204" s="531"/>
      <c r="Q1204" s="531"/>
    </row>
    <row r="1205" spans="13:17" ht="12.75">
      <c r="M1205" s="531"/>
      <c r="Q1205" s="531"/>
    </row>
    <row r="1206" spans="13:17" ht="12.75">
      <c r="M1206" s="531"/>
      <c r="Q1206" s="531"/>
    </row>
    <row r="1207" spans="13:17" ht="12.75">
      <c r="M1207" s="531"/>
      <c r="Q1207" s="531"/>
    </row>
    <row r="1208" spans="13:17" ht="12.75">
      <c r="M1208" s="531"/>
      <c r="Q1208" s="531"/>
    </row>
    <row r="1209" spans="13:17" ht="12.75">
      <c r="M1209" s="531"/>
      <c r="Q1209" s="531"/>
    </row>
    <row r="1210" spans="13:17" ht="12.75">
      <c r="M1210" s="531"/>
      <c r="Q1210" s="531"/>
    </row>
    <row r="1211" spans="13:17" ht="12.75">
      <c r="M1211" s="531"/>
      <c r="Q1211" s="531"/>
    </row>
    <row r="1212" spans="13:17" ht="12.75">
      <c r="M1212" s="531"/>
      <c r="Q1212" s="531"/>
    </row>
    <row r="1213" spans="13:17" ht="12.75">
      <c r="M1213" s="531"/>
      <c r="Q1213" s="531"/>
    </row>
    <row r="1214" spans="13:17" ht="12.75">
      <c r="M1214" s="531"/>
      <c r="Q1214" s="531"/>
    </row>
    <row r="1215" spans="13:17" ht="12.75">
      <c r="M1215" s="531"/>
      <c r="Q1215" s="531"/>
    </row>
    <row r="1216" spans="13:17" ht="12.75">
      <c r="M1216" s="531"/>
      <c r="Q1216" s="531"/>
    </row>
    <row r="1217" spans="13:17" ht="12.75">
      <c r="M1217" s="531"/>
      <c r="Q1217" s="531"/>
    </row>
    <row r="1218" spans="13:17" ht="12.75">
      <c r="M1218" s="531"/>
      <c r="Q1218" s="531"/>
    </row>
    <row r="1219" spans="13:17" ht="12.75">
      <c r="M1219" s="531"/>
      <c r="Q1219" s="531"/>
    </row>
    <row r="1220" spans="13:17" ht="12.75">
      <c r="M1220" s="531"/>
      <c r="Q1220" s="531"/>
    </row>
    <row r="1221" spans="13:17" ht="12.75">
      <c r="M1221" s="531"/>
      <c r="Q1221" s="531"/>
    </row>
    <row r="1222" spans="13:17" ht="12.75">
      <c r="M1222" s="531"/>
      <c r="Q1222" s="531"/>
    </row>
    <row r="1223" spans="13:17" ht="12.75">
      <c r="M1223" s="531"/>
      <c r="Q1223" s="531"/>
    </row>
    <row r="1224" spans="13:17" ht="12.75">
      <c r="M1224" s="531"/>
      <c r="Q1224" s="531"/>
    </row>
    <row r="1225" spans="13:17" ht="12.75">
      <c r="M1225" s="531"/>
      <c r="Q1225" s="531"/>
    </row>
    <row r="1226" spans="13:17" ht="12.75">
      <c r="M1226" s="531"/>
      <c r="Q1226" s="531"/>
    </row>
    <row r="1227" spans="13:17" ht="12.75">
      <c r="M1227" s="531"/>
      <c r="Q1227" s="531"/>
    </row>
    <row r="1228" spans="13:17" ht="12.75">
      <c r="M1228" s="531"/>
      <c r="Q1228" s="531"/>
    </row>
    <row r="1229" spans="13:17" ht="12.75">
      <c r="M1229" s="531"/>
      <c r="Q1229" s="531"/>
    </row>
    <row r="1230" spans="13:17" ht="12.75">
      <c r="M1230" s="531"/>
      <c r="Q1230" s="531"/>
    </row>
    <row r="1231" spans="13:17" ht="12.75">
      <c r="M1231" s="531"/>
      <c r="Q1231" s="531"/>
    </row>
    <row r="1232" spans="13:17" ht="12.75">
      <c r="M1232" s="531"/>
      <c r="Q1232" s="531"/>
    </row>
    <row r="1233" spans="13:17" ht="12.75">
      <c r="M1233" s="531"/>
      <c r="Q1233" s="531"/>
    </row>
    <row r="1234" spans="13:17" ht="12.75">
      <c r="M1234" s="531"/>
      <c r="Q1234" s="531"/>
    </row>
    <row r="1235" spans="13:17" ht="12.75">
      <c r="M1235" s="531"/>
      <c r="Q1235" s="531"/>
    </row>
    <row r="1236" spans="13:17" ht="12.75">
      <c r="M1236" s="531"/>
      <c r="Q1236" s="531"/>
    </row>
    <row r="1237" spans="13:17" ht="12.75">
      <c r="M1237" s="531"/>
      <c r="Q1237" s="531"/>
    </row>
    <row r="1238" spans="13:17" ht="12.75">
      <c r="M1238" s="531"/>
      <c r="Q1238" s="531"/>
    </row>
    <row r="1239" spans="13:17" ht="12.75">
      <c r="M1239" s="531"/>
      <c r="Q1239" s="531"/>
    </row>
    <row r="1240" spans="13:17" ht="12.75">
      <c r="M1240" s="531"/>
      <c r="Q1240" s="531"/>
    </row>
    <row r="1241" spans="13:17" ht="12.75">
      <c r="M1241" s="531"/>
      <c r="Q1241" s="531"/>
    </row>
    <row r="1242" spans="13:17" ht="12.75">
      <c r="M1242" s="531"/>
      <c r="Q1242" s="531"/>
    </row>
    <row r="1243" spans="13:17" ht="12.75">
      <c r="M1243" s="531"/>
      <c r="Q1243" s="531"/>
    </row>
    <row r="1244" spans="13:17" ht="12.75">
      <c r="M1244" s="531"/>
      <c r="Q1244" s="531"/>
    </row>
    <row r="1245" spans="13:17" ht="12.75">
      <c r="M1245" s="531"/>
      <c r="Q1245" s="531"/>
    </row>
    <row r="1246" spans="13:17" ht="12.75">
      <c r="M1246" s="531"/>
      <c r="Q1246" s="531"/>
    </row>
    <row r="1247" spans="13:17" ht="12.75">
      <c r="M1247" s="531"/>
      <c r="Q1247" s="531"/>
    </row>
    <row r="1248" spans="13:17" ht="12.75">
      <c r="M1248" s="531"/>
      <c r="Q1248" s="531"/>
    </row>
    <row r="1249" spans="13:17" ht="12.75">
      <c r="M1249" s="531"/>
      <c r="Q1249" s="531"/>
    </row>
    <row r="1250" spans="13:17" ht="12.75">
      <c r="M1250" s="531"/>
      <c r="Q1250" s="531"/>
    </row>
    <row r="1251" spans="13:17" ht="12.75">
      <c r="M1251" s="531"/>
      <c r="Q1251" s="531"/>
    </row>
    <row r="1252" spans="13:17" ht="12.75">
      <c r="M1252" s="531"/>
      <c r="Q1252" s="531"/>
    </row>
    <row r="1253" spans="13:17" ht="12.75">
      <c r="M1253" s="531"/>
      <c r="Q1253" s="531"/>
    </row>
    <row r="1254" spans="13:17" ht="12.75">
      <c r="M1254" s="531"/>
      <c r="Q1254" s="531"/>
    </row>
    <row r="1255" spans="13:17" ht="12.75">
      <c r="M1255" s="531"/>
      <c r="Q1255" s="531"/>
    </row>
    <row r="1256" spans="13:17" ht="12.75">
      <c r="M1256" s="531"/>
      <c r="Q1256" s="531"/>
    </row>
    <row r="1257" spans="13:17" ht="12.75">
      <c r="M1257" s="531"/>
      <c r="Q1257" s="531"/>
    </row>
    <row r="1258" spans="13:17" ht="12.75">
      <c r="M1258" s="531"/>
      <c r="Q1258" s="531"/>
    </row>
    <row r="1259" spans="13:17" ht="12.75">
      <c r="M1259" s="531"/>
      <c r="Q1259" s="531"/>
    </row>
    <row r="1260" spans="13:17" ht="12.75">
      <c r="M1260" s="531"/>
      <c r="Q1260" s="531"/>
    </row>
    <row r="1261" spans="13:17" ht="12.75">
      <c r="M1261" s="531"/>
      <c r="Q1261" s="531"/>
    </row>
    <row r="1262" spans="13:17" ht="12.75">
      <c r="M1262" s="531"/>
      <c r="Q1262" s="531"/>
    </row>
    <row r="1263" spans="13:17" ht="12.75">
      <c r="M1263" s="531"/>
      <c r="Q1263" s="531"/>
    </row>
    <row r="1264" spans="13:17" ht="12.75">
      <c r="M1264" s="531"/>
      <c r="Q1264" s="531"/>
    </row>
    <row r="1265" spans="13:17" ht="12.75">
      <c r="M1265" s="531"/>
      <c r="Q1265" s="531"/>
    </row>
    <row r="1266" spans="13:17" ht="12.75">
      <c r="M1266" s="531"/>
      <c r="Q1266" s="531"/>
    </row>
    <row r="1267" spans="13:17" ht="12.75">
      <c r="M1267" s="531"/>
      <c r="Q1267" s="531"/>
    </row>
    <row r="1268" spans="13:17" ht="12.75">
      <c r="M1268" s="531"/>
      <c r="Q1268" s="531"/>
    </row>
    <row r="1269" spans="13:17" ht="12.75">
      <c r="M1269" s="531"/>
      <c r="Q1269" s="531"/>
    </row>
    <row r="1270" spans="13:17" ht="12.75">
      <c r="M1270" s="531"/>
      <c r="Q1270" s="531"/>
    </row>
    <row r="1271" spans="13:17" ht="12.75">
      <c r="M1271" s="531"/>
      <c r="Q1271" s="531"/>
    </row>
    <row r="1272" spans="13:17" ht="12.75">
      <c r="M1272" s="531"/>
      <c r="Q1272" s="531"/>
    </row>
    <row r="1273" spans="13:17" ht="12.75">
      <c r="M1273" s="531"/>
      <c r="Q1273" s="531"/>
    </row>
    <row r="1274" spans="13:17" ht="12.75">
      <c r="M1274" s="531"/>
      <c r="Q1274" s="531"/>
    </row>
    <row r="1275" spans="13:17" ht="12.75">
      <c r="M1275" s="531"/>
      <c r="Q1275" s="531"/>
    </row>
    <row r="1276" spans="13:17" ht="12.75">
      <c r="M1276" s="531"/>
      <c r="Q1276" s="531"/>
    </row>
    <row r="1277" spans="13:17" ht="12.75">
      <c r="M1277" s="531"/>
      <c r="Q1277" s="531"/>
    </row>
    <row r="1278" spans="13:17" ht="12.75">
      <c r="M1278" s="531"/>
      <c r="Q1278" s="531"/>
    </row>
    <row r="1279" spans="13:17" ht="12.75">
      <c r="M1279" s="531"/>
      <c r="Q1279" s="531"/>
    </row>
    <row r="1280" spans="13:17" ht="12.75">
      <c r="M1280" s="531"/>
      <c r="Q1280" s="531"/>
    </row>
    <row r="1281" spans="13:17" ht="12.75">
      <c r="M1281" s="531"/>
      <c r="Q1281" s="531"/>
    </row>
    <row r="1282" spans="13:17" ht="12.75">
      <c r="M1282" s="531"/>
      <c r="Q1282" s="531"/>
    </row>
    <row r="1283" spans="13:17" ht="12.75">
      <c r="M1283" s="531"/>
      <c r="Q1283" s="531"/>
    </row>
    <row r="1284" spans="13:17" ht="12.75">
      <c r="M1284" s="531"/>
      <c r="Q1284" s="531"/>
    </row>
    <row r="1285" spans="13:17" ht="12.75">
      <c r="M1285" s="531"/>
      <c r="Q1285" s="531"/>
    </row>
    <row r="1286" spans="13:17" ht="12.75">
      <c r="M1286" s="531"/>
      <c r="Q1286" s="531"/>
    </row>
    <row r="1287" spans="13:17" ht="12.75">
      <c r="M1287" s="531"/>
      <c r="Q1287" s="531"/>
    </row>
    <row r="1288" spans="13:17" ht="12.75">
      <c r="M1288" s="531"/>
      <c r="Q1288" s="531"/>
    </row>
    <row r="1289" spans="13:17" ht="12.75">
      <c r="M1289" s="531"/>
      <c r="Q1289" s="531"/>
    </row>
    <row r="1290" spans="13:17" ht="12.75">
      <c r="M1290" s="531"/>
      <c r="Q1290" s="531"/>
    </row>
    <row r="1291" spans="13:17" ht="12.75">
      <c r="M1291" s="531"/>
      <c r="Q1291" s="531"/>
    </row>
    <row r="1292" spans="13:17" ht="12.75">
      <c r="M1292" s="531"/>
      <c r="Q1292" s="531"/>
    </row>
    <row r="1293" spans="13:17" ht="12.75">
      <c r="M1293" s="531"/>
      <c r="Q1293" s="531"/>
    </row>
    <row r="1294" spans="13:17" ht="12.75">
      <c r="M1294" s="531"/>
      <c r="Q1294" s="531"/>
    </row>
    <row r="1295" spans="13:17" ht="12.75">
      <c r="M1295" s="531"/>
      <c r="Q1295" s="531"/>
    </row>
    <row r="1296" spans="13:17" ht="12.75">
      <c r="M1296" s="531"/>
      <c r="Q1296" s="531"/>
    </row>
    <row r="1297" spans="13:17" ht="12.75">
      <c r="M1297" s="531"/>
      <c r="Q1297" s="531"/>
    </row>
    <row r="1298" spans="13:17" ht="12.75">
      <c r="M1298" s="531"/>
      <c r="Q1298" s="531"/>
    </row>
    <row r="1299" spans="13:17" ht="12.75">
      <c r="M1299" s="531"/>
      <c r="Q1299" s="531"/>
    </row>
    <row r="1300" spans="13:17" ht="12.75">
      <c r="M1300" s="531"/>
      <c r="Q1300" s="531"/>
    </row>
    <row r="1301" spans="13:17" ht="12.75">
      <c r="M1301" s="531"/>
      <c r="Q1301" s="531"/>
    </row>
    <row r="1302" spans="13:17" ht="12.75">
      <c r="M1302" s="531"/>
      <c r="Q1302" s="531"/>
    </row>
    <row r="1303" spans="13:17" ht="12.75">
      <c r="M1303" s="531"/>
      <c r="Q1303" s="531"/>
    </row>
    <row r="1304" spans="13:17" ht="12.75">
      <c r="M1304" s="531"/>
      <c r="Q1304" s="531"/>
    </row>
    <row r="1305" spans="13:17" ht="12.75">
      <c r="M1305" s="531"/>
      <c r="Q1305" s="531"/>
    </row>
    <row r="1306" spans="13:17" ht="12.75">
      <c r="M1306" s="531"/>
      <c r="Q1306" s="531"/>
    </row>
    <row r="1307" spans="13:17" ht="12.75">
      <c r="M1307" s="531"/>
      <c r="Q1307" s="531"/>
    </row>
    <row r="1308" spans="13:17" ht="12.75">
      <c r="M1308" s="531"/>
      <c r="Q1308" s="531"/>
    </row>
    <row r="1309" spans="13:17" ht="12.75">
      <c r="M1309" s="531"/>
      <c r="Q1309" s="531"/>
    </row>
    <row r="1310" spans="13:17" ht="12.75">
      <c r="M1310" s="531"/>
      <c r="Q1310" s="531"/>
    </row>
    <row r="1311" spans="13:17" ht="12.75">
      <c r="M1311" s="531"/>
      <c r="Q1311" s="531"/>
    </row>
    <row r="1312" spans="13:17" ht="12.75">
      <c r="M1312" s="531"/>
      <c r="Q1312" s="531"/>
    </row>
    <row r="1313" spans="13:17" ht="12.75">
      <c r="M1313" s="531"/>
      <c r="Q1313" s="531"/>
    </row>
    <row r="1314" spans="13:17" ht="12.75">
      <c r="M1314" s="531"/>
      <c r="Q1314" s="531"/>
    </row>
    <row r="1315" spans="13:17" ht="12.75">
      <c r="M1315" s="531"/>
      <c r="Q1315" s="531"/>
    </row>
    <row r="1316" spans="13:17" ht="12.75">
      <c r="M1316" s="531"/>
      <c r="Q1316" s="531"/>
    </row>
    <row r="1317" spans="13:17" ht="12.75">
      <c r="M1317" s="531"/>
      <c r="Q1317" s="531"/>
    </row>
    <row r="1318" spans="13:17" ht="12.75">
      <c r="M1318" s="531"/>
      <c r="Q1318" s="531"/>
    </row>
    <row r="1319" spans="13:17" ht="12.75">
      <c r="M1319" s="531"/>
      <c r="Q1319" s="531"/>
    </row>
    <row r="1320" spans="13:17" ht="12.75">
      <c r="M1320" s="531"/>
      <c r="Q1320" s="531"/>
    </row>
    <row r="1321" spans="13:17" ht="12.75">
      <c r="M1321" s="531"/>
      <c r="Q1321" s="531"/>
    </row>
    <row r="1322" spans="13:17" ht="12.75">
      <c r="M1322" s="531"/>
      <c r="Q1322" s="531"/>
    </row>
    <row r="1323" spans="13:17" ht="12.75">
      <c r="M1323" s="531"/>
      <c r="Q1323" s="531"/>
    </row>
    <row r="1324" spans="13:17" ht="12.75">
      <c r="M1324" s="531"/>
      <c r="Q1324" s="531"/>
    </row>
    <row r="1325" spans="13:17" ht="12.75">
      <c r="M1325" s="531"/>
      <c r="Q1325" s="531"/>
    </row>
    <row r="1326" spans="13:17" ht="12.75">
      <c r="M1326" s="531"/>
      <c r="Q1326" s="531"/>
    </row>
    <row r="1327" spans="13:17" ht="12.75">
      <c r="M1327" s="531"/>
      <c r="Q1327" s="531"/>
    </row>
    <row r="1328" spans="13:17" ht="12.75">
      <c r="M1328" s="531"/>
      <c r="Q1328" s="531"/>
    </row>
    <row r="1329" spans="13:17" ht="12.75">
      <c r="M1329" s="531"/>
      <c r="Q1329" s="531"/>
    </row>
    <row r="1330" spans="13:17" ht="12.75">
      <c r="M1330" s="531"/>
      <c r="Q1330" s="531"/>
    </row>
    <row r="1331" spans="13:17" ht="12.75">
      <c r="M1331" s="531"/>
      <c r="Q1331" s="531"/>
    </row>
    <row r="1332" spans="13:17" ht="12.75">
      <c r="M1332" s="531"/>
      <c r="Q1332" s="531"/>
    </row>
    <row r="1333" spans="13:17" ht="12.75">
      <c r="M1333" s="531"/>
      <c r="Q1333" s="531"/>
    </row>
    <row r="1334" spans="13:17" ht="12.75">
      <c r="M1334" s="531"/>
      <c r="Q1334" s="531"/>
    </row>
    <row r="1335" spans="13:17" ht="12.75">
      <c r="M1335" s="531"/>
      <c r="Q1335" s="531"/>
    </row>
    <row r="1336" spans="13:17" ht="12.75">
      <c r="M1336" s="531"/>
      <c r="Q1336" s="531"/>
    </row>
    <row r="1337" spans="13:17" ht="12.75">
      <c r="M1337" s="531"/>
      <c r="Q1337" s="531"/>
    </row>
    <row r="1338" spans="13:17" ht="12.75">
      <c r="M1338" s="531"/>
      <c r="Q1338" s="531"/>
    </row>
    <row r="1339" spans="13:17" ht="12.75">
      <c r="M1339" s="531"/>
      <c r="Q1339" s="531"/>
    </row>
    <row r="1340" spans="13:17" ht="12.75">
      <c r="M1340" s="531"/>
      <c r="Q1340" s="531"/>
    </row>
    <row r="1341" spans="13:17" ht="12.75">
      <c r="M1341" s="531"/>
      <c r="Q1341" s="531"/>
    </row>
    <row r="1342" spans="13:17" ht="12.75">
      <c r="M1342" s="531"/>
      <c r="Q1342" s="531"/>
    </row>
    <row r="1343" spans="13:17" ht="12.75">
      <c r="M1343" s="531"/>
      <c r="Q1343" s="531"/>
    </row>
    <row r="1344" spans="13:17" ht="12.75">
      <c r="M1344" s="531"/>
      <c r="Q1344" s="531"/>
    </row>
    <row r="1345" spans="13:17" ht="12.75">
      <c r="M1345" s="531"/>
      <c r="Q1345" s="531"/>
    </row>
    <row r="1346" spans="13:17" ht="12.75">
      <c r="M1346" s="531"/>
      <c r="Q1346" s="531"/>
    </row>
    <row r="1347" spans="13:17" ht="12.75">
      <c r="M1347" s="531"/>
      <c r="Q1347" s="531"/>
    </row>
    <row r="1348" spans="13:17" ht="12.75">
      <c r="M1348" s="531"/>
      <c r="Q1348" s="531"/>
    </row>
    <row r="1349" spans="13:17" ht="12.75">
      <c r="M1349" s="531"/>
      <c r="Q1349" s="531"/>
    </row>
    <row r="1350" spans="13:17" ht="12.75">
      <c r="M1350" s="531"/>
      <c r="Q1350" s="531"/>
    </row>
    <row r="1351" spans="13:17" ht="12.75">
      <c r="M1351" s="531"/>
      <c r="Q1351" s="531"/>
    </row>
    <row r="1352" spans="13:17" ht="12.75">
      <c r="M1352" s="531"/>
      <c r="Q1352" s="531"/>
    </row>
    <row r="1353" spans="13:17" ht="12.75">
      <c r="M1353" s="531"/>
      <c r="Q1353" s="531"/>
    </row>
    <row r="1354" spans="13:17" ht="12.75">
      <c r="M1354" s="531"/>
      <c r="Q1354" s="531"/>
    </row>
    <row r="1355" spans="13:17" ht="12.75">
      <c r="M1355" s="531"/>
      <c r="Q1355" s="531"/>
    </row>
    <row r="1356" spans="13:17" ht="12.75">
      <c r="M1356" s="531"/>
      <c r="Q1356" s="531"/>
    </row>
    <row r="1357" spans="13:17" ht="12.75">
      <c r="M1357" s="531"/>
      <c r="Q1357" s="531"/>
    </row>
    <row r="1358" spans="13:17" ht="12.75">
      <c r="M1358" s="531"/>
      <c r="Q1358" s="531"/>
    </row>
    <row r="1359" spans="13:17" ht="12.75">
      <c r="M1359" s="531"/>
      <c r="Q1359" s="531"/>
    </row>
    <row r="1360" spans="13:17" ht="12.75">
      <c r="M1360" s="531"/>
      <c r="Q1360" s="531"/>
    </row>
    <row r="1361" spans="13:17" ht="12.75">
      <c r="M1361" s="531"/>
      <c r="Q1361" s="531"/>
    </row>
    <row r="1362" spans="13:17" ht="12.75">
      <c r="M1362" s="531"/>
      <c r="Q1362" s="531"/>
    </row>
    <row r="1363" spans="13:17" ht="12.75">
      <c r="M1363" s="531"/>
      <c r="Q1363" s="531"/>
    </row>
    <row r="1364" spans="13:17" ht="12.75">
      <c r="M1364" s="531"/>
      <c r="Q1364" s="531"/>
    </row>
    <row r="1365" spans="13:17" ht="12.75">
      <c r="M1365" s="531"/>
      <c r="Q1365" s="531"/>
    </row>
    <row r="1366" spans="13:17" ht="12.75">
      <c r="M1366" s="531"/>
      <c r="Q1366" s="531"/>
    </row>
    <row r="1367" spans="13:17" ht="12.75">
      <c r="M1367" s="531"/>
      <c r="Q1367" s="531"/>
    </row>
    <row r="1368" spans="13:17" ht="12.75">
      <c r="M1368" s="531"/>
      <c r="Q1368" s="531"/>
    </row>
    <row r="1369" spans="13:17" ht="12.75">
      <c r="M1369" s="531"/>
      <c r="Q1369" s="531"/>
    </row>
    <row r="1370" spans="13:17" ht="12.75">
      <c r="M1370" s="531"/>
      <c r="Q1370" s="531"/>
    </row>
    <row r="1371" spans="13:17" ht="12.75">
      <c r="M1371" s="531"/>
      <c r="Q1371" s="531"/>
    </row>
    <row r="1372" spans="13:17" ht="12.75">
      <c r="M1372" s="531"/>
      <c r="Q1372" s="531"/>
    </row>
    <row r="1373" spans="13:17" ht="12.75">
      <c r="M1373" s="531"/>
      <c r="Q1373" s="531"/>
    </row>
    <row r="1374" spans="13:17" ht="12.75">
      <c r="M1374" s="531"/>
      <c r="Q1374" s="531"/>
    </row>
    <row r="1375" spans="13:17" ht="12.75">
      <c r="M1375" s="531"/>
      <c r="Q1375" s="531"/>
    </row>
    <row r="1376" spans="13:17" ht="12.75">
      <c r="M1376" s="531"/>
      <c r="Q1376" s="531"/>
    </row>
    <row r="1377" spans="13:17" ht="12.75">
      <c r="M1377" s="531"/>
      <c r="Q1377" s="531"/>
    </row>
    <row r="1378" spans="13:17" ht="12.75">
      <c r="M1378" s="531"/>
      <c r="Q1378" s="531"/>
    </row>
    <row r="1379" spans="13:17" ht="12.75">
      <c r="M1379" s="531"/>
      <c r="Q1379" s="531"/>
    </row>
    <row r="1380" spans="13:17" ht="12.75">
      <c r="M1380" s="531"/>
      <c r="Q1380" s="531"/>
    </row>
    <row r="1381" spans="13:17" ht="12.75">
      <c r="M1381" s="531"/>
      <c r="Q1381" s="531"/>
    </row>
    <row r="1382" spans="13:17" ht="12.75">
      <c r="M1382" s="531"/>
      <c r="Q1382" s="531"/>
    </row>
    <row r="1383" spans="13:17" ht="12.75">
      <c r="M1383" s="531"/>
      <c r="Q1383" s="531"/>
    </row>
    <row r="1384" spans="13:17" ht="12.75">
      <c r="M1384" s="531"/>
      <c r="Q1384" s="531"/>
    </row>
    <row r="1385" spans="13:17" ht="12.75">
      <c r="M1385" s="531"/>
      <c r="Q1385" s="531"/>
    </row>
    <row r="1386" spans="13:17" ht="12.75">
      <c r="M1386" s="531"/>
      <c r="Q1386" s="531"/>
    </row>
    <row r="1387" spans="13:17" ht="12.75">
      <c r="M1387" s="531"/>
      <c r="Q1387" s="531"/>
    </row>
    <row r="1388" spans="13:17" ht="12.75">
      <c r="M1388" s="531"/>
      <c r="Q1388" s="531"/>
    </row>
    <row r="1389" spans="13:17" ht="12.75">
      <c r="M1389" s="531"/>
      <c r="Q1389" s="531"/>
    </row>
    <row r="1390" spans="13:17" ht="12.75">
      <c r="M1390" s="531"/>
      <c r="Q1390" s="531"/>
    </row>
    <row r="1391" spans="13:17" ht="12.75">
      <c r="M1391" s="531"/>
      <c r="Q1391" s="531"/>
    </row>
    <row r="1392" spans="13:17" ht="12.75">
      <c r="M1392" s="531"/>
      <c r="Q1392" s="531"/>
    </row>
    <row r="1393" spans="13:17" ht="12.75">
      <c r="M1393" s="531"/>
      <c r="Q1393" s="531"/>
    </row>
    <row r="1394" spans="13:17" ht="12.75">
      <c r="M1394" s="531"/>
      <c r="Q1394" s="531"/>
    </row>
    <row r="1395" spans="13:17" ht="12.75">
      <c r="M1395" s="531"/>
      <c r="Q1395" s="531"/>
    </row>
    <row r="1396" spans="13:17" ht="12.75">
      <c r="M1396" s="531"/>
      <c r="Q1396" s="531"/>
    </row>
    <row r="1397" spans="13:17" ht="12.75">
      <c r="M1397" s="531"/>
      <c r="Q1397" s="531"/>
    </row>
    <row r="1398" spans="13:17" ht="12.75">
      <c r="M1398" s="531"/>
      <c r="Q1398" s="531"/>
    </row>
    <row r="1399" spans="13:17" ht="12.75">
      <c r="M1399" s="531"/>
      <c r="Q1399" s="531"/>
    </row>
    <row r="1400" spans="13:17" ht="12.75">
      <c r="M1400" s="531"/>
      <c r="Q1400" s="531"/>
    </row>
    <row r="1401" spans="13:17" ht="12.75">
      <c r="M1401" s="531"/>
      <c r="Q1401" s="531"/>
    </row>
    <row r="1402" spans="13:17" ht="12.75">
      <c r="M1402" s="531"/>
      <c r="Q1402" s="531"/>
    </row>
    <row r="1403" spans="13:17" ht="12.75">
      <c r="M1403" s="531"/>
      <c r="Q1403" s="531"/>
    </row>
    <row r="1404" spans="13:17" ht="12.75">
      <c r="M1404" s="531"/>
      <c r="Q1404" s="531"/>
    </row>
    <row r="1405" spans="13:17" ht="12.75">
      <c r="M1405" s="531"/>
      <c r="Q1405" s="531"/>
    </row>
    <row r="1406" spans="13:17" ht="12.75">
      <c r="M1406" s="531"/>
      <c r="Q1406" s="531"/>
    </row>
    <row r="1407" spans="13:17" ht="12.75">
      <c r="M1407" s="531"/>
      <c r="Q1407" s="531"/>
    </row>
    <row r="1408" spans="13:17" ht="12.75">
      <c r="M1408" s="531"/>
      <c r="Q1408" s="531"/>
    </row>
    <row r="1409" spans="13:17" ht="12.75">
      <c r="M1409" s="531"/>
      <c r="Q1409" s="531"/>
    </row>
    <row r="1410" spans="13:17" ht="12.75">
      <c r="M1410" s="531"/>
      <c r="Q1410" s="531"/>
    </row>
    <row r="1411" spans="13:17" ht="12.75">
      <c r="M1411" s="531"/>
      <c r="Q1411" s="531"/>
    </row>
    <row r="1412" spans="13:17" ht="12.75">
      <c r="M1412" s="531"/>
      <c r="Q1412" s="531"/>
    </row>
    <row r="1413" spans="13:17" ht="12.75">
      <c r="M1413" s="531"/>
      <c r="Q1413" s="531"/>
    </row>
    <row r="1414" spans="13:17" ht="12.75">
      <c r="M1414" s="531"/>
      <c r="Q1414" s="531"/>
    </row>
    <row r="1415" spans="13:17" ht="12.75">
      <c r="M1415" s="531"/>
      <c r="Q1415" s="531"/>
    </row>
    <row r="1416" spans="13:17" ht="12.75">
      <c r="M1416" s="531"/>
      <c r="Q1416" s="531"/>
    </row>
    <row r="1417" spans="13:17" ht="12.75">
      <c r="M1417" s="531"/>
      <c r="Q1417" s="531"/>
    </row>
    <row r="1418" spans="13:17" ht="12.75">
      <c r="M1418" s="531"/>
      <c r="Q1418" s="531"/>
    </row>
    <row r="1419" spans="13:17" ht="12.75">
      <c r="M1419" s="531"/>
      <c r="Q1419" s="531"/>
    </row>
    <row r="1420" spans="13:17" ht="12.75">
      <c r="M1420" s="531"/>
      <c r="Q1420" s="531"/>
    </row>
    <row r="1421" spans="13:17" ht="12.75">
      <c r="M1421" s="531"/>
      <c r="Q1421" s="531"/>
    </row>
    <row r="1422" spans="13:17" ht="12.75">
      <c r="M1422" s="531"/>
      <c r="Q1422" s="531"/>
    </row>
    <row r="1423" spans="13:17" ht="12.75">
      <c r="M1423" s="531"/>
      <c r="Q1423" s="531"/>
    </row>
    <row r="1424" spans="13:17" ht="12.75">
      <c r="M1424" s="531"/>
      <c r="Q1424" s="531"/>
    </row>
    <row r="1425" spans="13:17" ht="12.75">
      <c r="M1425" s="531"/>
      <c r="Q1425" s="531"/>
    </row>
    <row r="1426" spans="13:17" ht="12.75">
      <c r="M1426" s="531"/>
      <c r="Q1426" s="531"/>
    </row>
    <row r="1427" spans="13:17" ht="12.75">
      <c r="M1427" s="531"/>
      <c r="Q1427" s="531"/>
    </row>
    <row r="1428" spans="13:17" ht="12.75">
      <c r="M1428" s="531"/>
      <c r="Q1428" s="531"/>
    </row>
    <row r="1429" spans="13:17" ht="12.75">
      <c r="M1429" s="531"/>
      <c r="Q1429" s="531"/>
    </row>
    <row r="1430" spans="13:17" ht="12.75">
      <c r="M1430" s="531"/>
      <c r="Q1430" s="531"/>
    </row>
    <row r="1431" spans="13:17" ht="12.75">
      <c r="M1431" s="531"/>
      <c r="Q1431" s="531"/>
    </row>
    <row r="1432" spans="13:17" ht="12.75">
      <c r="M1432" s="531"/>
      <c r="Q1432" s="531"/>
    </row>
    <row r="1433" spans="13:17" ht="12.75">
      <c r="M1433" s="531"/>
      <c r="Q1433" s="531"/>
    </row>
    <row r="1434" spans="13:17" ht="12.75">
      <c r="M1434" s="531"/>
      <c r="Q1434" s="531"/>
    </row>
    <row r="1435" spans="13:17" ht="12.75">
      <c r="M1435" s="531"/>
      <c r="Q1435" s="531"/>
    </row>
    <row r="1436" spans="13:17" ht="12.75">
      <c r="M1436" s="531"/>
      <c r="Q1436" s="531"/>
    </row>
    <row r="1437" spans="13:17" ht="12.75">
      <c r="M1437" s="531"/>
      <c r="Q1437" s="531"/>
    </row>
    <row r="1438" spans="13:17" ht="12.75">
      <c r="M1438" s="531"/>
      <c r="Q1438" s="531"/>
    </row>
    <row r="1439" spans="13:17" ht="12.75">
      <c r="M1439" s="531"/>
      <c r="Q1439" s="531"/>
    </row>
    <row r="1440" spans="13:17" ht="12.75">
      <c r="M1440" s="531"/>
      <c r="Q1440" s="531"/>
    </row>
    <row r="1441" spans="13:17" ht="12.75">
      <c r="M1441" s="531"/>
      <c r="Q1441" s="531"/>
    </row>
    <row r="1442" spans="13:17" ht="12.75">
      <c r="M1442" s="531"/>
      <c r="Q1442" s="531"/>
    </row>
    <row r="1443" spans="13:17" ht="12.75">
      <c r="M1443" s="531"/>
      <c r="Q1443" s="531"/>
    </row>
    <row r="1444" spans="13:17" ht="12.75">
      <c r="M1444" s="531"/>
      <c r="Q1444" s="531"/>
    </row>
    <row r="1445" spans="13:17" ht="12.75">
      <c r="M1445" s="531"/>
      <c r="Q1445" s="531"/>
    </row>
    <row r="1446" spans="13:17" ht="12.75">
      <c r="M1446" s="531"/>
      <c r="Q1446" s="531"/>
    </row>
    <row r="1447" spans="13:17" ht="12.75">
      <c r="M1447" s="531"/>
      <c r="Q1447" s="531"/>
    </row>
    <row r="1448" spans="13:17" ht="12.75">
      <c r="M1448" s="531"/>
      <c r="Q1448" s="531"/>
    </row>
    <row r="1449" spans="13:17" ht="12.75">
      <c r="M1449" s="531"/>
      <c r="Q1449" s="531"/>
    </row>
    <row r="1450" spans="13:17" ht="12.75">
      <c r="M1450" s="531"/>
      <c r="Q1450" s="531"/>
    </row>
    <row r="1451" spans="13:17" ht="12.75">
      <c r="M1451" s="531"/>
      <c r="Q1451" s="531"/>
    </row>
    <row r="1452" spans="13:17" ht="12.75">
      <c r="M1452" s="531"/>
      <c r="Q1452" s="531"/>
    </row>
    <row r="1453" spans="13:17" ht="12.75">
      <c r="M1453" s="531"/>
      <c r="Q1453" s="531"/>
    </row>
    <row r="1454" spans="13:17" ht="12.75">
      <c r="M1454" s="531"/>
      <c r="Q1454" s="531"/>
    </row>
    <row r="1455" spans="13:17" ht="12.75">
      <c r="M1455" s="531"/>
      <c r="Q1455" s="531"/>
    </row>
    <row r="1456" spans="13:17" ht="12.75">
      <c r="M1456" s="531"/>
      <c r="Q1456" s="531"/>
    </row>
    <row r="1457" spans="13:17" ht="12.75">
      <c r="M1457" s="531"/>
      <c r="Q1457" s="531"/>
    </row>
    <row r="1458" spans="13:17" ht="12.75">
      <c r="M1458" s="531"/>
      <c r="Q1458" s="531"/>
    </row>
    <row r="1459" spans="13:17" ht="12.75">
      <c r="M1459" s="531"/>
      <c r="Q1459" s="531"/>
    </row>
    <row r="1460" spans="13:17" ht="12.75">
      <c r="M1460" s="531"/>
      <c r="Q1460" s="531"/>
    </row>
    <row r="1461" spans="13:17" ht="12.75">
      <c r="M1461" s="531"/>
      <c r="Q1461" s="531"/>
    </row>
    <row r="1462" spans="13:17" ht="12.75">
      <c r="M1462" s="531"/>
      <c r="Q1462" s="531"/>
    </row>
    <row r="1463" spans="13:17" ht="12.75">
      <c r="M1463" s="531"/>
      <c r="Q1463" s="531"/>
    </row>
    <row r="1464" spans="13:17" ht="12.75">
      <c r="M1464" s="531"/>
      <c r="Q1464" s="531"/>
    </row>
    <row r="1465" spans="13:17" ht="12.75">
      <c r="M1465" s="531"/>
      <c r="Q1465" s="531"/>
    </row>
    <row r="1466" spans="13:17" ht="12.75">
      <c r="M1466" s="531"/>
      <c r="Q1466" s="531"/>
    </row>
    <row r="1467" spans="13:17" ht="12.75">
      <c r="M1467" s="531"/>
      <c r="Q1467" s="531"/>
    </row>
    <row r="1468" spans="13:17" ht="12.75">
      <c r="M1468" s="531"/>
      <c r="Q1468" s="531"/>
    </row>
    <row r="1469" spans="13:17" ht="12.75">
      <c r="M1469" s="531"/>
      <c r="Q1469" s="531"/>
    </row>
    <row r="1470" spans="13:17" ht="12.75">
      <c r="M1470" s="531"/>
      <c r="Q1470" s="531"/>
    </row>
    <row r="1471" spans="13:17" ht="12.75">
      <c r="M1471" s="531"/>
      <c r="Q1471" s="531"/>
    </row>
    <row r="1472" spans="13:17" ht="12.75">
      <c r="M1472" s="531"/>
      <c r="Q1472" s="531"/>
    </row>
    <row r="1473" spans="13:17" ht="12.75">
      <c r="M1473" s="531"/>
      <c r="Q1473" s="531"/>
    </row>
    <row r="1474" spans="13:17" ht="12.75">
      <c r="M1474" s="531"/>
      <c r="Q1474" s="531"/>
    </row>
    <row r="1475" spans="13:17" ht="12.75">
      <c r="M1475" s="531"/>
      <c r="Q1475" s="531"/>
    </row>
    <row r="1476" spans="13:17" ht="12.75">
      <c r="M1476" s="531"/>
      <c r="Q1476" s="531"/>
    </row>
    <row r="1477" spans="13:17" ht="12.75">
      <c r="M1477" s="531"/>
      <c r="Q1477" s="531"/>
    </row>
    <row r="1478" spans="13:17" ht="12.75">
      <c r="M1478" s="531"/>
      <c r="Q1478" s="531"/>
    </row>
    <row r="1479" spans="13:17" ht="12.75">
      <c r="M1479" s="531"/>
      <c r="Q1479" s="531"/>
    </row>
    <row r="1480" spans="13:17" ht="12.75">
      <c r="M1480" s="531"/>
      <c r="Q1480" s="531"/>
    </row>
    <row r="1481" spans="13:17" ht="12.75">
      <c r="M1481" s="531"/>
      <c r="Q1481" s="531"/>
    </row>
    <row r="1482" spans="13:17" ht="12.75">
      <c r="M1482" s="531"/>
      <c r="Q1482" s="531"/>
    </row>
    <row r="1483" spans="13:17" ht="12.75">
      <c r="M1483" s="531"/>
      <c r="Q1483" s="531"/>
    </row>
    <row r="1484" spans="13:17" ht="12.75">
      <c r="M1484" s="531"/>
      <c r="Q1484" s="531"/>
    </row>
    <row r="1485" spans="13:17" ht="12.75">
      <c r="M1485" s="531"/>
      <c r="Q1485" s="531"/>
    </row>
    <row r="1486" spans="13:17" ht="12.75">
      <c r="M1486" s="531"/>
      <c r="Q1486" s="531"/>
    </row>
    <row r="1487" spans="13:17" ht="12.75">
      <c r="M1487" s="531"/>
      <c r="Q1487" s="531"/>
    </row>
    <row r="1488" spans="13:17" ht="12.75">
      <c r="M1488" s="531"/>
      <c r="Q1488" s="531"/>
    </row>
    <row r="1489" spans="13:17" ht="12.75">
      <c r="M1489" s="531"/>
      <c r="Q1489" s="531"/>
    </row>
    <row r="1490" spans="13:17" ht="12.75">
      <c r="M1490" s="531"/>
      <c r="Q1490" s="531"/>
    </row>
    <row r="1491" spans="13:17" ht="12.75">
      <c r="M1491" s="531"/>
      <c r="Q1491" s="531"/>
    </row>
    <row r="1492" spans="13:17" ht="12.75">
      <c r="M1492" s="531"/>
      <c r="Q1492" s="531"/>
    </row>
    <row r="1493" spans="13:17" ht="12.75">
      <c r="M1493" s="531"/>
      <c r="Q1493" s="531"/>
    </row>
    <row r="1494" spans="13:17" ht="12.75">
      <c r="M1494" s="531"/>
      <c r="Q1494" s="531"/>
    </row>
    <row r="1495" spans="13:17" ht="12.75">
      <c r="M1495" s="531"/>
      <c r="Q1495" s="531"/>
    </row>
    <row r="1496" spans="13:17" ht="12.75">
      <c r="M1496" s="531"/>
      <c r="Q1496" s="531"/>
    </row>
    <row r="1497" spans="13:17" ht="12.75">
      <c r="M1497" s="531"/>
      <c r="Q1497" s="531"/>
    </row>
    <row r="1498" spans="13:17" ht="12.75">
      <c r="M1498" s="531"/>
      <c r="Q1498" s="531"/>
    </row>
    <row r="1499" spans="13:17" ht="12.75">
      <c r="M1499" s="531"/>
      <c r="Q1499" s="531"/>
    </row>
    <row r="1500" spans="13:17" ht="12.75">
      <c r="M1500" s="531"/>
      <c r="Q1500" s="531"/>
    </row>
    <row r="1501" spans="13:17" ht="12.75">
      <c r="M1501" s="531"/>
      <c r="Q1501" s="531"/>
    </row>
    <row r="1502" spans="13:17" ht="12.75">
      <c r="M1502" s="531"/>
      <c r="Q1502" s="531"/>
    </row>
    <row r="1503" spans="13:17" ht="12.75">
      <c r="M1503" s="531"/>
      <c r="Q1503" s="531"/>
    </row>
    <row r="1504" spans="13:17" ht="12.75">
      <c r="M1504" s="531"/>
      <c r="Q1504" s="531"/>
    </row>
    <row r="1505" spans="13:17" ht="12.75">
      <c r="M1505" s="531"/>
      <c r="Q1505" s="531"/>
    </row>
    <row r="1506" spans="13:17" ht="12.75">
      <c r="M1506" s="531"/>
      <c r="Q1506" s="531"/>
    </row>
    <row r="1507" spans="13:17" ht="12.75">
      <c r="M1507" s="531"/>
      <c r="Q1507" s="531"/>
    </row>
    <row r="1508" spans="13:17" ht="12.75">
      <c r="M1508" s="531"/>
      <c r="Q1508" s="531"/>
    </row>
    <row r="1509" spans="13:17" ht="12.75">
      <c r="M1509" s="531"/>
      <c r="Q1509" s="531"/>
    </row>
    <row r="1510" spans="13:17" ht="12.75">
      <c r="M1510" s="531"/>
      <c r="Q1510" s="531"/>
    </row>
    <row r="1511" spans="13:17" ht="12.75">
      <c r="M1511" s="531"/>
      <c r="Q1511" s="531"/>
    </row>
    <row r="1512" spans="13:17" ht="12.75">
      <c r="M1512" s="531"/>
      <c r="Q1512" s="531"/>
    </row>
    <row r="1513" spans="13:17" ht="12.75">
      <c r="M1513" s="531"/>
      <c r="Q1513" s="531"/>
    </row>
    <row r="1514" spans="13:17" ht="12.75">
      <c r="M1514" s="531"/>
      <c r="Q1514" s="531"/>
    </row>
    <row r="1515" spans="13:17" ht="12.75">
      <c r="M1515" s="531"/>
      <c r="Q1515" s="531"/>
    </row>
    <row r="1516" spans="13:17" ht="12.75">
      <c r="M1516" s="531"/>
      <c r="Q1516" s="531"/>
    </row>
    <row r="1517" spans="13:17" ht="12.75">
      <c r="M1517" s="531"/>
      <c r="Q1517" s="531"/>
    </row>
    <row r="1518" spans="13:17" ht="12.75">
      <c r="M1518" s="531"/>
      <c r="Q1518" s="531"/>
    </row>
    <row r="1519" spans="13:17" ht="12.75">
      <c r="M1519" s="531"/>
      <c r="Q1519" s="531"/>
    </row>
    <row r="1520" spans="13:17" ht="12.75">
      <c r="M1520" s="531"/>
      <c r="Q1520" s="531"/>
    </row>
    <row r="1521" spans="13:17" ht="12.75">
      <c r="M1521" s="531"/>
      <c r="Q1521" s="531"/>
    </row>
    <row r="1522" spans="13:17" ht="12.75">
      <c r="M1522" s="531"/>
      <c r="Q1522" s="531"/>
    </row>
    <row r="1523" spans="13:17" ht="12.75">
      <c r="M1523" s="531"/>
      <c r="Q1523" s="531"/>
    </row>
    <row r="1524" spans="13:17" ht="12.75">
      <c r="M1524" s="531"/>
      <c r="Q1524" s="531"/>
    </row>
    <row r="1525" spans="13:17" ht="12.75">
      <c r="M1525" s="531"/>
      <c r="Q1525" s="531"/>
    </row>
    <row r="1526" spans="13:17" ht="12.75">
      <c r="M1526" s="531"/>
      <c r="Q1526" s="531"/>
    </row>
    <row r="1527" spans="13:17" ht="12.75">
      <c r="M1527" s="531"/>
      <c r="Q1527" s="531"/>
    </row>
    <row r="1528" spans="13:17" ht="12.75">
      <c r="M1528" s="531"/>
      <c r="Q1528" s="531"/>
    </row>
    <row r="1529" spans="13:17" ht="12.75">
      <c r="M1529" s="531"/>
      <c r="Q1529" s="531"/>
    </row>
    <row r="1530" spans="13:17" ht="12.75">
      <c r="M1530" s="531"/>
      <c r="Q1530" s="531"/>
    </row>
    <row r="1531" spans="13:17" ht="12.75">
      <c r="M1531" s="531"/>
      <c r="Q1531" s="531"/>
    </row>
    <row r="1532" spans="13:17" ht="12.75">
      <c r="M1532" s="531"/>
      <c r="Q1532" s="531"/>
    </row>
    <row r="1533" spans="13:17" ht="12.75">
      <c r="M1533" s="531"/>
      <c r="Q1533" s="531"/>
    </row>
    <row r="1534" spans="13:17" ht="12.75">
      <c r="M1534" s="531"/>
      <c r="Q1534" s="531"/>
    </row>
    <row r="1535" spans="13:17" ht="12.75">
      <c r="M1535" s="531"/>
      <c r="Q1535" s="531"/>
    </row>
    <row r="1536" spans="13:17" ht="12.75">
      <c r="M1536" s="531"/>
      <c r="Q1536" s="531"/>
    </row>
    <row r="1537" spans="13:17" ht="12.75">
      <c r="M1537" s="531"/>
      <c r="Q1537" s="531"/>
    </row>
    <row r="1538" spans="13:17" ht="12.75">
      <c r="M1538" s="531"/>
      <c r="Q1538" s="531"/>
    </row>
    <row r="1539" spans="13:17" ht="12.75">
      <c r="M1539" s="531"/>
      <c r="Q1539" s="531"/>
    </row>
    <row r="1540" spans="13:17" ht="12.75">
      <c r="M1540" s="531"/>
      <c r="Q1540" s="531"/>
    </row>
    <row r="1541" spans="13:17" ht="12.75">
      <c r="M1541" s="531"/>
      <c r="Q1541" s="531"/>
    </row>
    <row r="1542" spans="13:17" ht="12.75">
      <c r="M1542" s="531"/>
      <c r="Q1542" s="531"/>
    </row>
    <row r="1543" spans="13:17" ht="12.75">
      <c r="M1543" s="531"/>
      <c r="Q1543" s="531"/>
    </row>
    <row r="1544" spans="13:17" ht="12.75">
      <c r="M1544" s="531"/>
      <c r="Q1544" s="531"/>
    </row>
    <row r="1545" spans="13:17" ht="12.75">
      <c r="M1545" s="531"/>
      <c r="Q1545" s="531"/>
    </row>
    <row r="1546" spans="13:17" ht="12.75">
      <c r="M1546" s="531"/>
      <c r="Q1546" s="531"/>
    </row>
    <row r="1547" spans="13:17" ht="12.75">
      <c r="M1547" s="531"/>
      <c r="Q1547" s="531"/>
    </row>
    <row r="1548" spans="13:17" ht="12.75">
      <c r="M1548" s="531"/>
      <c r="Q1548" s="531"/>
    </row>
    <row r="1549" spans="13:17" ht="12.75">
      <c r="M1549" s="531"/>
      <c r="Q1549" s="531"/>
    </row>
    <row r="1550" spans="13:17" ht="12.75">
      <c r="M1550" s="531"/>
      <c r="Q1550" s="531"/>
    </row>
    <row r="1551" spans="13:17" ht="12.75">
      <c r="M1551" s="531"/>
      <c r="Q1551" s="531"/>
    </row>
    <row r="1552" spans="13:17" ht="12.75">
      <c r="M1552" s="531"/>
      <c r="Q1552" s="531"/>
    </row>
    <row r="1553" spans="13:17" ht="12.75">
      <c r="M1553" s="531"/>
      <c r="Q1553" s="531"/>
    </row>
    <row r="1554" spans="13:17" ht="12.75">
      <c r="M1554" s="531"/>
      <c r="Q1554" s="531"/>
    </row>
    <row r="1555" spans="13:17" ht="12.75">
      <c r="M1555" s="531"/>
      <c r="Q1555" s="531"/>
    </row>
    <row r="1556" spans="13:17" ht="12.75">
      <c r="M1556" s="531"/>
      <c r="Q1556" s="531"/>
    </row>
    <row r="1557" spans="13:17" ht="12.75">
      <c r="M1557" s="531"/>
      <c r="Q1557" s="531"/>
    </row>
    <row r="1558" spans="13:17" ht="12.75">
      <c r="M1558" s="531"/>
      <c r="Q1558" s="531"/>
    </row>
    <row r="1559" spans="13:17" ht="12.75">
      <c r="M1559" s="531"/>
      <c r="Q1559" s="531"/>
    </row>
    <row r="1560" spans="13:17" ht="12.75">
      <c r="M1560" s="531"/>
      <c r="Q1560" s="531"/>
    </row>
    <row r="1561" spans="13:17" ht="12.75">
      <c r="M1561" s="531"/>
      <c r="Q1561" s="531"/>
    </row>
    <row r="1562" spans="13:17" ht="12.75">
      <c r="M1562" s="531"/>
      <c r="Q1562" s="531"/>
    </row>
    <row r="1563" spans="13:17" ht="12.75">
      <c r="M1563" s="531"/>
      <c r="Q1563" s="531"/>
    </row>
    <row r="1564" spans="13:17" ht="12.75">
      <c r="M1564" s="531"/>
      <c r="Q1564" s="531"/>
    </row>
    <row r="1565" spans="13:17" ht="12.75">
      <c r="M1565" s="531"/>
      <c r="Q1565" s="531"/>
    </row>
    <row r="1566" spans="13:17" ht="12.75">
      <c r="M1566" s="531"/>
      <c r="Q1566" s="531"/>
    </row>
    <row r="1567" spans="13:17" ht="12.75">
      <c r="M1567" s="531"/>
      <c r="Q1567" s="531"/>
    </row>
    <row r="1568" spans="13:17" ht="12.75">
      <c r="M1568" s="531"/>
      <c r="Q1568" s="531"/>
    </row>
    <row r="1569" spans="13:17" ht="12.75">
      <c r="M1569" s="531"/>
      <c r="Q1569" s="531"/>
    </row>
    <row r="1570" spans="13:17" ht="12.75">
      <c r="M1570" s="531"/>
      <c r="Q1570" s="531"/>
    </row>
    <row r="1571" spans="13:17" ht="12.75">
      <c r="M1571" s="531"/>
      <c r="Q1571" s="531"/>
    </row>
    <row r="1572" spans="13:17" ht="12.75">
      <c r="M1572" s="531"/>
      <c r="Q1572" s="531"/>
    </row>
    <row r="1573" spans="13:17" ht="12.75">
      <c r="M1573" s="531"/>
      <c r="Q1573" s="531"/>
    </row>
    <row r="1574" spans="13:17" ht="12.75">
      <c r="M1574" s="531"/>
      <c r="Q1574" s="531"/>
    </row>
    <row r="1575" spans="13:17" ht="12.75">
      <c r="M1575" s="531"/>
      <c r="Q1575" s="531"/>
    </row>
    <row r="1576" spans="13:17" ht="12.75">
      <c r="M1576" s="531"/>
      <c r="Q1576" s="531"/>
    </row>
    <row r="1577" spans="13:17" ht="12.75">
      <c r="M1577" s="531"/>
      <c r="Q1577" s="531"/>
    </row>
    <row r="1578" spans="13:17" ht="12.75">
      <c r="M1578" s="531"/>
      <c r="Q1578" s="531"/>
    </row>
    <row r="1579" spans="13:17" ht="12.75">
      <c r="M1579" s="531"/>
      <c r="Q1579" s="531"/>
    </row>
    <row r="1580" spans="13:17" ht="12.75">
      <c r="M1580" s="531"/>
      <c r="Q1580" s="531"/>
    </row>
    <row r="1581" spans="13:17" ht="12.75">
      <c r="M1581" s="531"/>
      <c r="Q1581" s="531"/>
    </row>
    <row r="1582" spans="13:17" ht="12.75">
      <c r="M1582" s="531"/>
      <c r="Q1582" s="531"/>
    </row>
    <row r="1583" spans="13:17" ht="12.75">
      <c r="M1583" s="531"/>
      <c r="Q1583" s="531"/>
    </row>
    <row r="1584" spans="13:17" ht="12.75">
      <c r="M1584" s="531"/>
      <c r="Q1584" s="531"/>
    </row>
    <row r="1585" spans="13:17" ht="12.75">
      <c r="M1585" s="531"/>
      <c r="Q1585" s="531"/>
    </row>
    <row r="1586" spans="13:17" ht="12.75">
      <c r="M1586" s="531"/>
      <c r="Q1586" s="531"/>
    </row>
    <row r="1587" spans="13:17" ht="12.75">
      <c r="M1587" s="531"/>
      <c r="Q1587" s="531"/>
    </row>
    <row r="1588" spans="13:17" ht="12.75">
      <c r="M1588" s="531"/>
      <c r="Q1588" s="531"/>
    </row>
    <row r="1589" spans="13:17" ht="12.75">
      <c r="M1589" s="531"/>
      <c r="Q1589" s="531"/>
    </row>
    <row r="1590" spans="13:17" ht="12.75">
      <c r="M1590" s="531"/>
      <c r="Q1590" s="531"/>
    </row>
    <row r="1591" spans="13:17" ht="12.75">
      <c r="M1591" s="531"/>
      <c r="Q1591" s="531"/>
    </row>
    <row r="1592" spans="13:17" ht="12.75">
      <c r="M1592" s="531"/>
      <c r="Q1592" s="531"/>
    </row>
    <row r="1593" spans="13:17" ht="12.75">
      <c r="M1593" s="531"/>
      <c r="Q1593" s="531"/>
    </row>
    <row r="1594" spans="13:17" ht="12.75">
      <c r="M1594" s="531"/>
      <c r="Q1594" s="531"/>
    </row>
    <row r="1595" spans="13:17" ht="12.75">
      <c r="M1595" s="531"/>
      <c r="Q1595" s="531"/>
    </row>
    <row r="1596" spans="13:17" ht="12.75">
      <c r="M1596" s="531"/>
      <c r="Q1596" s="531"/>
    </row>
    <row r="1597" spans="13:17" ht="12.75">
      <c r="M1597" s="531"/>
      <c r="Q1597" s="531"/>
    </row>
    <row r="1598" spans="13:17" ht="12.75">
      <c r="M1598" s="531"/>
      <c r="Q1598" s="531"/>
    </row>
    <row r="1599" spans="13:17" ht="12.75">
      <c r="M1599" s="531"/>
      <c r="Q1599" s="531"/>
    </row>
    <row r="1600" spans="13:17" ht="12.75">
      <c r="M1600" s="531"/>
      <c r="Q1600" s="531"/>
    </row>
    <row r="1601" spans="13:17" ht="12.75">
      <c r="M1601" s="531"/>
      <c r="Q1601" s="531"/>
    </row>
    <row r="1602" spans="13:17" ht="12.75">
      <c r="M1602" s="531"/>
      <c r="Q1602" s="531"/>
    </row>
    <row r="1603" spans="13:17" ht="12.75">
      <c r="M1603" s="531"/>
      <c r="Q1603" s="531"/>
    </row>
    <row r="1604" spans="13:17" ht="12.75">
      <c r="M1604" s="531"/>
      <c r="Q1604" s="531"/>
    </row>
    <row r="1605" spans="13:17" ht="12.75">
      <c r="M1605" s="531"/>
      <c r="Q1605" s="531"/>
    </row>
    <row r="1606" spans="13:17" ht="12.75">
      <c r="M1606" s="531"/>
      <c r="Q1606" s="531"/>
    </row>
    <row r="1607" spans="13:17" ht="12.75">
      <c r="M1607" s="531"/>
      <c r="Q1607" s="531"/>
    </row>
    <row r="1608" spans="13:17" ht="12.75">
      <c r="M1608" s="531"/>
      <c r="Q1608" s="531"/>
    </row>
    <row r="1609" spans="13:17" ht="12.75">
      <c r="M1609" s="531"/>
      <c r="Q1609" s="531"/>
    </row>
    <row r="1610" spans="13:17" ht="12.75">
      <c r="M1610" s="531"/>
      <c r="Q1610" s="531"/>
    </row>
    <row r="1611" spans="13:17" ht="12.75">
      <c r="M1611" s="531"/>
      <c r="Q1611" s="531"/>
    </row>
    <row r="1612" spans="13:17" ht="12.75">
      <c r="M1612" s="531"/>
      <c r="Q1612" s="531"/>
    </row>
    <row r="1613" spans="13:17" ht="12.75">
      <c r="M1613" s="531"/>
      <c r="Q1613" s="531"/>
    </row>
    <row r="1614" spans="13:17" ht="12.75">
      <c r="M1614" s="531"/>
      <c r="Q1614" s="531"/>
    </row>
    <row r="1615" spans="13:17" ht="12.75">
      <c r="M1615" s="531"/>
      <c r="Q1615" s="531"/>
    </row>
    <row r="1616" spans="13:17" ht="12.75">
      <c r="M1616" s="531"/>
      <c r="Q1616" s="531"/>
    </row>
    <row r="1617" spans="13:17" ht="12.75">
      <c r="M1617" s="531"/>
      <c r="Q1617" s="531"/>
    </row>
    <row r="1618" spans="13:17" ht="12.75">
      <c r="M1618" s="531"/>
      <c r="Q1618" s="531"/>
    </row>
    <row r="1619" spans="13:17" ht="12.75">
      <c r="M1619" s="531"/>
      <c r="Q1619" s="531"/>
    </row>
    <row r="1620" spans="13:17" ht="12.75">
      <c r="M1620" s="531"/>
      <c r="Q1620" s="531"/>
    </row>
    <row r="1621" spans="13:17" ht="12.75">
      <c r="M1621" s="531"/>
      <c r="Q1621" s="531"/>
    </row>
    <row r="1622" spans="13:17" ht="12.75">
      <c r="M1622" s="531"/>
      <c r="Q1622" s="531"/>
    </row>
    <row r="1623" spans="13:17" ht="12.75">
      <c r="M1623" s="531"/>
      <c r="Q1623" s="531"/>
    </row>
    <row r="1624" spans="13:17" ht="12.75">
      <c r="M1624" s="531"/>
      <c r="Q1624" s="531"/>
    </row>
    <row r="1625" spans="13:17" ht="12.75">
      <c r="M1625" s="531"/>
      <c r="Q1625" s="531"/>
    </row>
    <row r="1626" spans="13:17" ht="12.75">
      <c r="M1626" s="531"/>
      <c r="Q1626" s="531"/>
    </row>
    <row r="1627" spans="13:17" ht="12.75">
      <c r="M1627" s="531"/>
      <c r="Q1627" s="531"/>
    </row>
    <row r="1628" spans="13:17" ht="12.75">
      <c r="M1628" s="531"/>
      <c r="Q1628" s="531"/>
    </row>
    <row r="1629" spans="13:17" ht="12.75">
      <c r="M1629" s="531"/>
      <c r="Q1629" s="531"/>
    </row>
    <row r="1630" spans="13:17" ht="12.75">
      <c r="M1630" s="531"/>
      <c r="Q1630" s="531"/>
    </row>
    <row r="1631" spans="13:17" ht="12.75">
      <c r="M1631" s="531"/>
      <c r="Q1631" s="531"/>
    </row>
    <row r="1632" spans="13:17" ht="12.75">
      <c r="M1632" s="531"/>
      <c r="Q1632" s="531"/>
    </row>
    <row r="1633" spans="13:17" ht="12.75">
      <c r="M1633" s="531"/>
      <c r="Q1633" s="531"/>
    </row>
    <row r="1634" spans="13:17" ht="12.75">
      <c r="M1634" s="531"/>
      <c r="Q1634" s="531"/>
    </row>
    <row r="1635" spans="13:17" ht="12.75">
      <c r="M1635" s="531"/>
      <c r="Q1635" s="531"/>
    </row>
    <row r="1636" spans="13:17" ht="12.75">
      <c r="M1636" s="531"/>
      <c r="Q1636" s="531"/>
    </row>
    <row r="1637" spans="13:17" ht="12.75">
      <c r="M1637" s="531"/>
      <c r="Q1637" s="531"/>
    </row>
    <row r="1638" spans="13:17" ht="12.75">
      <c r="M1638" s="531"/>
      <c r="Q1638" s="531"/>
    </row>
    <row r="1639" spans="13:17" ht="12.75">
      <c r="M1639" s="531"/>
      <c r="Q1639" s="531"/>
    </row>
    <row r="1640" spans="13:17" ht="12.75">
      <c r="M1640" s="531"/>
      <c r="Q1640" s="531"/>
    </row>
    <row r="1641" spans="13:17" ht="12.75">
      <c r="M1641" s="531"/>
      <c r="Q1641" s="531"/>
    </row>
    <row r="1642" spans="13:17" ht="12.75">
      <c r="M1642" s="531"/>
      <c r="Q1642" s="531"/>
    </row>
    <row r="1643" spans="13:17" ht="12.75">
      <c r="M1643" s="531"/>
      <c r="Q1643" s="531"/>
    </row>
    <row r="1644" spans="13:17" ht="12.75">
      <c r="M1644" s="531"/>
      <c r="Q1644" s="531"/>
    </row>
    <row r="1645" spans="13:17" ht="12.75">
      <c r="M1645" s="531"/>
      <c r="Q1645" s="531"/>
    </row>
    <row r="1646" spans="13:17" ht="12.75">
      <c r="M1646" s="531"/>
      <c r="Q1646" s="531"/>
    </row>
    <row r="1647" spans="13:17" ht="12.75">
      <c r="M1647" s="531"/>
      <c r="Q1647" s="531"/>
    </row>
    <row r="1648" spans="13:17" ht="12.75">
      <c r="M1648" s="531"/>
      <c r="Q1648" s="531"/>
    </row>
    <row r="1649" spans="13:17" ht="12.75">
      <c r="M1649" s="531"/>
      <c r="Q1649" s="531"/>
    </row>
    <row r="1650" spans="13:17" ht="12.75">
      <c r="M1650" s="531"/>
      <c r="Q1650" s="531"/>
    </row>
    <row r="1651" spans="13:17" ht="12.75">
      <c r="M1651" s="531"/>
      <c r="Q1651" s="531"/>
    </row>
    <row r="1652" spans="13:17" ht="12.75">
      <c r="M1652" s="531"/>
      <c r="Q1652" s="531"/>
    </row>
    <row r="1653" spans="13:17" ht="12.75">
      <c r="M1653" s="531"/>
      <c r="Q1653" s="531"/>
    </row>
    <row r="1654" spans="13:17" ht="12.75">
      <c r="M1654" s="531"/>
      <c r="Q1654" s="531"/>
    </row>
    <row r="1655" spans="13:17" ht="12.75">
      <c r="M1655" s="531"/>
      <c r="Q1655" s="531"/>
    </row>
    <row r="1656" spans="13:17" ht="12.75">
      <c r="M1656" s="531"/>
      <c r="Q1656" s="531"/>
    </row>
    <row r="1657" spans="13:17" ht="12.75">
      <c r="M1657" s="531"/>
      <c r="Q1657" s="531"/>
    </row>
    <row r="1658" spans="13:17" ht="12.75">
      <c r="M1658" s="531"/>
      <c r="Q1658" s="531"/>
    </row>
    <row r="1659" spans="13:17" ht="12.75">
      <c r="M1659" s="531"/>
      <c r="Q1659" s="531"/>
    </row>
    <row r="1660" spans="13:17" ht="12.75">
      <c r="M1660" s="531"/>
      <c r="Q1660" s="531"/>
    </row>
    <row r="1661" spans="13:17" ht="12.75">
      <c r="M1661" s="531"/>
      <c r="Q1661" s="531"/>
    </row>
    <row r="1662" spans="13:17" ht="12.75">
      <c r="M1662" s="531"/>
      <c r="Q1662" s="531"/>
    </row>
    <row r="1663" spans="13:17" ht="12.75">
      <c r="M1663" s="531"/>
      <c r="Q1663" s="531"/>
    </row>
    <row r="1664" spans="13:17" ht="12.75">
      <c r="M1664" s="531"/>
      <c r="Q1664" s="531"/>
    </row>
    <row r="1665" spans="13:17" ht="12.75">
      <c r="M1665" s="531"/>
      <c r="Q1665" s="531"/>
    </row>
    <row r="1666" spans="13:17" ht="12.75">
      <c r="M1666" s="531"/>
      <c r="Q1666" s="531"/>
    </row>
    <row r="1667" spans="13:17" ht="12.75">
      <c r="M1667" s="531"/>
      <c r="Q1667" s="531"/>
    </row>
    <row r="1668" spans="13:17" ht="12.75">
      <c r="M1668" s="531"/>
      <c r="Q1668" s="531"/>
    </row>
    <row r="1669" spans="13:17" ht="12.75">
      <c r="M1669" s="531"/>
      <c r="Q1669" s="531"/>
    </row>
    <row r="1670" spans="13:17" ht="12.75">
      <c r="M1670" s="531"/>
      <c r="Q1670" s="531"/>
    </row>
    <row r="1671" spans="13:17" ht="12.75">
      <c r="M1671" s="531"/>
      <c r="Q1671" s="531"/>
    </row>
    <row r="1672" spans="13:17" ht="12.75">
      <c r="M1672" s="531"/>
      <c r="Q1672" s="531"/>
    </row>
    <row r="1673" spans="13:17" ht="12.75">
      <c r="M1673" s="531"/>
      <c r="Q1673" s="531"/>
    </row>
    <row r="1674" spans="13:17" ht="12.75">
      <c r="M1674" s="531"/>
      <c r="Q1674" s="531"/>
    </row>
    <row r="1675" spans="13:17" ht="12.75">
      <c r="M1675" s="531"/>
      <c r="Q1675" s="531"/>
    </row>
    <row r="1676" spans="13:17" ht="12.75">
      <c r="M1676" s="531"/>
      <c r="Q1676" s="531"/>
    </row>
    <row r="1677" spans="13:17" ht="12.75">
      <c r="M1677" s="531"/>
      <c r="Q1677" s="531"/>
    </row>
    <row r="1678" spans="13:17" ht="12.75">
      <c r="M1678" s="531"/>
      <c r="Q1678" s="531"/>
    </row>
    <row r="1679" spans="13:17" ht="12.75">
      <c r="M1679" s="531"/>
      <c r="Q1679" s="531"/>
    </row>
    <row r="1680" spans="13:17" ht="12.75">
      <c r="M1680" s="531"/>
      <c r="Q1680" s="531"/>
    </row>
    <row r="1681" spans="13:17" ht="12.75">
      <c r="M1681" s="531"/>
      <c r="Q1681" s="531"/>
    </row>
    <row r="1682" spans="13:17" ht="12.75">
      <c r="M1682" s="531"/>
      <c r="Q1682" s="531"/>
    </row>
    <row r="1683" spans="13:17" ht="12.75">
      <c r="M1683" s="531"/>
      <c r="Q1683" s="531"/>
    </row>
    <row r="1684" spans="13:17" ht="12.75">
      <c r="M1684" s="531"/>
      <c r="Q1684" s="531"/>
    </row>
    <row r="1685" spans="13:17" ht="12.75">
      <c r="M1685" s="531"/>
      <c r="Q1685" s="531"/>
    </row>
    <row r="1686" spans="13:17" ht="12.75">
      <c r="M1686" s="531"/>
      <c r="Q1686" s="531"/>
    </row>
    <row r="1687" spans="13:17" ht="12.75">
      <c r="M1687" s="531"/>
      <c r="Q1687" s="531"/>
    </row>
    <row r="1688" spans="13:17" ht="12.75">
      <c r="M1688" s="531"/>
      <c r="Q1688" s="531"/>
    </row>
    <row r="1689" spans="13:17" ht="12.75">
      <c r="M1689" s="531"/>
      <c r="Q1689" s="531"/>
    </row>
    <row r="1690" spans="13:17" ht="12.75">
      <c r="M1690" s="531"/>
      <c r="Q1690" s="531"/>
    </row>
    <row r="1691" spans="13:17" ht="12.75">
      <c r="M1691" s="531"/>
      <c r="Q1691" s="531"/>
    </row>
    <row r="1692" spans="13:17" ht="12.75">
      <c r="M1692" s="531"/>
      <c r="Q1692" s="531"/>
    </row>
    <row r="1693" spans="13:17" ht="12.75">
      <c r="M1693" s="531"/>
      <c r="Q1693" s="531"/>
    </row>
    <row r="1694" spans="13:17" ht="12.75">
      <c r="M1694" s="531"/>
      <c r="Q1694" s="531"/>
    </row>
    <row r="1695" spans="13:17" ht="12.75">
      <c r="M1695" s="531"/>
      <c r="Q1695" s="531"/>
    </row>
    <row r="1696" spans="13:17" ht="12.75">
      <c r="M1696" s="531"/>
      <c r="Q1696" s="531"/>
    </row>
    <row r="1697" spans="13:17" ht="12.75">
      <c r="M1697" s="531"/>
      <c r="Q1697" s="531"/>
    </row>
    <row r="1698" spans="13:17" ht="12.75">
      <c r="M1698" s="531"/>
      <c r="Q1698" s="531"/>
    </row>
    <row r="1699" spans="13:17" ht="12.75">
      <c r="M1699" s="531"/>
      <c r="Q1699" s="531"/>
    </row>
    <row r="1700" spans="13:17" ht="12.75">
      <c r="M1700" s="531"/>
      <c r="Q1700" s="531"/>
    </row>
    <row r="1701" spans="13:17" ht="12.75">
      <c r="M1701" s="531"/>
      <c r="Q1701" s="531"/>
    </row>
    <row r="1702" spans="13:17" ht="12.75">
      <c r="M1702" s="531"/>
      <c r="Q1702" s="531"/>
    </row>
    <row r="1703" spans="13:17" ht="12.75">
      <c r="M1703" s="531"/>
      <c r="Q1703" s="531"/>
    </row>
    <row r="1704" spans="13:17" ht="12.75">
      <c r="M1704" s="531"/>
      <c r="Q1704" s="531"/>
    </row>
    <row r="1705" spans="13:17" ht="12.75">
      <c r="M1705" s="531"/>
      <c r="Q1705" s="531"/>
    </row>
    <row r="1706" spans="13:17" ht="12.75">
      <c r="M1706" s="531"/>
      <c r="Q1706" s="531"/>
    </row>
    <row r="1707" spans="13:17" ht="12.75">
      <c r="M1707" s="531"/>
      <c r="Q1707" s="531"/>
    </row>
    <row r="1708" spans="13:17" ht="12.75">
      <c r="M1708" s="531"/>
      <c r="Q1708" s="531"/>
    </row>
    <row r="1709" spans="13:17" ht="12.75">
      <c r="M1709" s="531"/>
      <c r="Q1709" s="531"/>
    </row>
    <row r="1710" spans="13:17" ht="12.75">
      <c r="M1710" s="531"/>
      <c r="Q1710" s="531"/>
    </row>
    <row r="1711" spans="13:17" ht="12.75">
      <c r="M1711" s="531"/>
      <c r="Q1711" s="531"/>
    </row>
    <row r="1712" spans="13:17" ht="12.75">
      <c r="M1712" s="531"/>
      <c r="Q1712" s="531"/>
    </row>
    <row r="1713" spans="13:17" ht="12.75">
      <c r="M1713" s="531"/>
      <c r="Q1713" s="531"/>
    </row>
    <row r="1714" spans="13:17" ht="12.75">
      <c r="M1714" s="531"/>
      <c r="Q1714" s="531"/>
    </row>
    <row r="1715" spans="13:17" ht="12.75">
      <c r="M1715" s="531"/>
      <c r="Q1715" s="531"/>
    </row>
    <row r="1716" spans="13:17" ht="12.75">
      <c r="M1716" s="531"/>
      <c r="Q1716" s="531"/>
    </row>
    <row r="1717" spans="13:17" ht="12.75">
      <c r="M1717" s="531"/>
      <c r="Q1717" s="531"/>
    </row>
    <row r="1718" spans="13:17" ht="12.75">
      <c r="M1718" s="531"/>
      <c r="Q1718" s="531"/>
    </row>
    <row r="1719" spans="13:17" ht="12.75">
      <c r="M1719" s="531"/>
      <c r="Q1719" s="531"/>
    </row>
    <row r="1720" spans="13:17" ht="12.75">
      <c r="M1720" s="531"/>
      <c r="Q1720" s="531"/>
    </row>
    <row r="1721" spans="13:17" ht="12.75">
      <c r="M1721" s="531"/>
      <c r="Q1721" s="531"/>
    </row>
    <row r="1722" spans="13:17" ht="12.75">
      <c r="M1722" s="531"/>
      <c r="Q1722" s="531"/>
    </row>
    <row r="1723" spans="13:17" ht="12.75">
      <c r="M1723" s="531"/>
      <c r="Q1723" s="531"/>
    </row>
    <row r="1724" spans="13:17" ht="12.75">
      <c r="M1724" s="531"/>
      <c r="Q1724" s="531"/>
    </row>
    <row r="1725" spans="13:17" ht="12.75">
      <c r="M1725" s="531"/>
      <c r="Q1725" s="531"/>
    </row>
    <row r="1726" spans="13:17" ht="12.75">
      <c r="M1726" s="531"/>
      <c r="Q1726" s="531"/>
    </row>
    <row r="1727" spans="13:17" ht="12.75">
      <c r="M1727" s="531"/>
      <c r="Q1727" s="531"/>
    </row>
    <row r="1728" spans="13:17" ht="12.75">
      <c r="M1728" s="531"/>
      <c r="Q1728" s="531"/>
    </row>
    <row r="1729" spans="13:17" ht="12.75">
      <c r="M1729" s="531"/>
      <c r="Q1729" s="531"/>
    </row>
    <row r="1730" spans="13:17" ht="12.75">
      <c r="M1730" s="531"/>
      <c r="Q1730" s="531"/>
    </row>
    <row r="1731" spans="13:17" ht="12.75">
      <c r="M1731" s="531"/>
      <c r="Q1731" s="531"/>
    </row>
    <row r="1732" spans="13:17" ht="12.75">
      <c r="M1732" s="531"/>
      <c r="Q1732" s="531"/>
    </row>
    <row r="1733" spans="13:17" ht="12.75">
      <c r="M1733" s="531"/>
      <c r="Q1733" s="531"/>
    </row>
    <row r="1734" spans="13:17" ht="12.75">
      <c r="M1734" s="531"/>
      <c r="Q1734" s="531"/>
    </row>
    <row r="1735" spans="13:17" ht="12.75">
      <c r="M1735" s="531"/>
      <c r="Q1735" s="531"/>
    </row>
    <row r="1736" spans="13:17" ht="12.75">
      <c r="M1736" s="531"/>
      <c r="Q1736" s="531"/>
    </row>
    <row r="1737" spans="13:17" ht="12.75">
      <c r="M1737" s="531"/>
      <c r="Q1737" s="531"/>
    </row>
    <row r="1738" spans="13:17" ht="12.75">
      <c r="M1738" s="531"/>
      <c r="Q1738" s="531"/>
    </row>
    <row r="1739" spans="13:17" ht="12.75">
      <c r="M1739" s="531"/>
      <c r="Q1739" s="531"/>
    </row>
    <row r="1740" spans="13:17" ht="12.75">
      <c r="M1740" s="531"/>
      <c r="Q1740" s="531"/>
    </row>
    <row r="1741" spans="13:17" ht="12.75">
      <c r="M1741" s="531"/>
      <c r="Q1741" s="531"/>
    </row>
    <row r="1742" spans="13:17" ht="12.75">
      <c r="M1742" s="531"/>
      <c r="Q1742" s="531"/>
    </row>
    <row r="1743" spans="13:17" ht="12.75">
      <c r="M1743" s="531"/>
      <c r="Q1743" s="531"/>
    </row>
    <row r="1744" spans="13:17" ht="12.75">
      <c r="M1744" s="531"/>
      <c r="Q1744" s="531"/>
    </row>
    <row r="1745" spans="13:17" ht="12.75">
      <c r="M1745" s="531"/>
      <c r="Q1745" s="531"/>
    </row>
    <row r="1746" spans="13:17" ht="12.75">
      <c r="M1746" s="531"/>
      <c r="Q1746" s="531"/>
    </row>
    <row r="1747" spans="13:17" ht="12.75">
      <c r="M1747" s="531"/>
      <c r="Q1747" s="531"/>
    </row>
    <row r="1748" spans="13:17" ht="12.75">
      <c r="M1748" s="531"/>
      <c r="Q1748" s="531"/>
    </row>
    <row r="1749" spans="13:17" ht="12.75">
      <c r="M1749" s="531"/>
      <c r="Q1749" s="531"/>
    </row>
    <row r="1750" spans="13:17" ht="12.75">
      <c r="M1750" s="531"/>
      <c r="Q1750" s="531"/>
    </row>
    <row r="1751" spans="13:17" ht="12.75">
      <c r="M1751" s="531"/>
      <c r="Q1751" s="531"/>
    </row>
    <row r="1752" spans="13:17" ht="12.75">
      <c r="M1752" s="531"/>
      <c r="Q1752" s="531"/>
    </row>
    <row r="1753" spans="13:17" ht="12.75">
      <c r="M1753" s="531"/>
      <c r="Q1753" s="531"/>
    </row>
    <row r="1754" spans="13:17" ht="12.75">
      <c r="M1754" s="531"/>
      <c r="Q1754" s="531"/>
    </row>
    <row r="1755" spans="13:17" ht="12.75">
      <c r="M1755" s="531"/>
      <c r="Q1755" s="531"/>
    </row>
    <row r="1756" spans="13:17" ht="12.75">
      <c r="M1756" s="531"/>
      <c r="Q1756" s="531"/>
    </row>
    <row r="1757" spans="13:17" ht="12.75">
      <c r="M1757" s="531"/>
      <c r="Q1757" s="531"/>
    </row>
    <row r="1758" spans="13:17" ht="12.75">
      <c r="M1758" s="531"/>
      <c r="Q1758" s="531"/>
    </row>
    <row r="1759" spans="13:17" ht="12.75">
      <c r="M1759" s="531"/>
      <c r="Q1759" s="531"/>
    </row>
    <row r="1760" spans="13:17" ht="12.75">
      <c r="M1760" s="531"/>
      <c r="Q1760" s="531"/>
    </row>
    <row r="1761" spans="13:17" ht="12.75">
      <c r="M1761" s="531"/>
      <c r="Q1761" s="531"/>
    </row>
    <row r="1762" spans="13:17" ht="12.75">
      <c r="M1762" s="531"/>
      <c r="Q1762" s="531"/>
    </row>
    <row r="1763" spans="13:17" ht="12.75">
      <c r="M1763" s="531"/>
      <c r="Q1763" s="531"/>
    </row>
    <row r="1764" spans="13:17" ht="12.75">
      <c r="M1764" s="531"/>
      <c r="Q1764" s="531"/>
    </row>
    <row r="1765" spans="13:17" ht="12.75">
      <c r="M1765" s="531"/>
      <c r="Q1765" s="531"/>
    </row>
    <row r="1766" spans="13:17" ht="12.75">
      <c r="M1766" s="531"/>
      <c r="Q1766" s="531"/>
    </row>
    <row r="1767" spans="13:17" ht="12.75">
      <c r="M1767" s="531"/>
      <c r="Q1767" s="531"/>
    </row>
    <row r="1768" spans="13:17" ht="12.75">
      <c r="M1768" s="531"/>
      <c r="Q1768" s="531"/>
    </row>
    <row r="1769" spans="13:17" ht="12.75">
      <c r="M1769" s="531"/>
      <c r="Q1769" s="531"/>
    </row>
    <row r="1770" spans="13:17" ht="12.75">
      <c r="M1770" s="531"/>
      <c r="Q1770" s="531"/>
    </row>
    <row r="1771" spans="13:17" ht="12.75">
      <c r="M1771" s="531"/>
      <c r="Q1771" s="531"/>
    </row>
    <row r="1772" spans="13:17" ht="12.75">
      <c r="M1772" s="531"/>
      <c r="Q1772" s="531"/>
    </row>
    <row r="1773" spans="13:17" ht="12.75">
      <c r="M1773" s="531"/>
      <c r="Q1773" s="531"/>
    </row>
    <row r="1774" spans="13:17" ht="12.75">
      <c r="M1774" s="531"/>
      <c r="Q1774" s="531"/>
    </row>
    <row r="1775" spans="13:17" ht="12.75">
      <c r="M1775" s="531"/>
      <c r="Q1775" s="531"/>
    </row>
    <row r="1776" spans="13:17" ht="12.75">
      <c r="M1776" s="531"/>
      <c r="Q1776" s="531"/>
    </row>
    <row r="1777" spans="13:17" ht="12.75">
      <c r="M1777" s="531"/>
      <c r="Q1777" s="531"/>
    </row>
    <row r="1778" spans="13:17" ht="12.75">
      <c r="M1778" s="531"/>
      <c r="Q1778" s="531"/>
    </row>
    <row r="1779" spans="13:17" ht="12.75">
      <c r="M1779" s="531"/>
      <c r="Q1779" s="531"/>
    </row>
    <row r="1780" spans="13:17" ht="12.75">
      <c r="M1780" s="531"/>
      <c r="Q1780" s="531"/>
    </row>
    <row r="1781" spans="13:17" ht="12.75">
      <c r="M1781" s="531"/>
      <c r="Q1781" s="531"/>
    </row>
    <row r="1782" spans="13:17" ht="12.75">
      <c r="M1782" s="531"/>
      <c r="Q1782" s="531"/>
    </row>
    <row r="1783" spans="13:17" ht="12.75">
      <c r="M1783" s="531"/>
      <c r="Q1783" s="531"/>
    </row>
    <row r="1784" spans="13:17" ht="12.75">
      <c r="M1784" s="531"/>
      <c r="Q1784" s="531"/>
    </row>
    <row r="1785" spans="13:17" ht="12.75">
      <c r="M1785" s="531"/>
      <c r="Q1785" s="531"/>
    </row>
    <row r="1786" spans="13:17" ht="12.75">
      <c r="M1786" s="531"/>
      <c r="Q1786" s="531"/>
    </row>
    <row r="1787" spans="13:17" ht="12.75">
      <c r="M1787" s="531"/>
      <c r="Q1787" s="531"/>
    </row>
    <row r="1788" spans="13:17" ht="12.75">
      <c r="M1788" s="531"/>
      <c r="Q1788" s="531"/>
    </row>
    <row r="1789" spans="13:17" ht="12.75">
      <c r="M1789" s="531"/>
      <c r="Q1789" s="531"/>
    </row>
    <row r="1790" spans="13:17" ht="12.75">
      <c r="M1790" s="531"/>
      <c r="Q1790" s="531"/>
    </row>
    <row r="1791" spans="13:17" ht="12.75">
      <c r="M1791" s="531"/>
      <c r="Q1791" s="531"/>
    </row>
    <row r="1792" spans="13:17" ht="12.75">
      <c r="M1792" s="531"/>
      <c r="Q1792" s="531"/>
    </row>
    <row r="1793" spans="13:17" ht="12.75">
      <c r="M1793" s="531"/>
      <c r="Q1793" s="531"/>
    </row>
    <row r="1794" spans="13:17" ht="12.75">
      <c r="M1794" s="531"/>
      <c r="Q1794" s="531"/>
    </row>
    <row r="1795" spans="13:17" ht="12.75">
      <c r="M1795" s="531"/>
      <c r="Q1795" s="531"/>
    </row>
    <row r="1796" spans="13:17" ht="12.75">
      <c r="M1796" s="531"/>
      <c r="Q1796" s="531"/>
    </row>
    <row r="1797" spans="13:17" ht="12.75">
      <c r="M1797" s="531"/>
      <c r="Q1797" s="531"/>
    </row>
    <row r="1798" spans="13:17" ht="12.75">
      <c r="M1798" s="531"/>
      <c r="Q1798" s="531"/>
    </row>
    <row r="1799" spans="13:17" ht="12.75">
      <c r="M1799" s="531"/>
      <c r="Q1799" s="531"/>
    </row>
    <row r="1800" spans="13:17" ht="12.75">
      <c r="M1800" s="531"/>
      <c r="Q1800" s="531"/>
    </row>
    <row r="1801" spans="13:17" ht="12.75">
      <c r="M1801" s="531"/>
      <c r="Q1801" s="531"/>
    </row>
    <row r="1802" spans="13:17" ht="12.75">
      <c r="M1802" s="531"/>
      <c r="Q1802" s="531"/>
    </row>
    <row r="1803" spans="13:17" ht="12.75">
      <c r="M1803" s="531"/>
      <c r="Q1803" s="531"/>
    </row>
    <row r="1804" spans="13:17" ht="12.75">
      <c r="M1804" s="531"/>
      <c r="Q1804" s="531"/>
    </row>
    <row r="1805" spans="13:17" ht="12.75">
      <c r="M1805" s="531"/>
      <c r="Q1805" s="531"/>
    </row>
    <row r="1806" spans="13:17" ht="12.75">
      <c r="M1806" s="531"/>
      <c r="Q1806" s="531"/>
    </row>
    <row r="1807" spans="13:17" ht="12.75">
      <c r="M1807" s="531"/>
      <c r="Q1807" s="531"/>
    </row>
    <row r="1808" spans="13:17" ht="12.75">
      <c r="M1808" s="531"/>
      <c r="Q1808" s="531"/>
    </row>
    <row r="1809" spans="13:17" ht="12.75">
      <c r="M1809" s="531"/>
      <c r="Q1809" s="531"/>
    </row>
    <row r="1810" spans="13:17" ht="12.75">
      <c r="M1810" s="531"/>
      <c r="Q1810" s="531"/>
    </row>
    <row r="1811" spans="13:17" ht="12.75">
      <c r="M1811" s="531"/>
      <c r="Q1811" s="531"/>
    </row>
    <row r="1812" spans="13:17" ht="12.75">
      <c r="M1812" s="531"/>
      <c r="Q1812" s="531"/>
    </row>
    <row r="1813" spans="13:17" ht="12.75">
      <c r="M1813" s="531"/>
      <c r="Q1813" s="531"/>
    </row>
    <row r="1814" spans="13:17" ht="12.75">
      <c r="M1814" s="531"/>
      <c r="Q1814" s="531"/>
    </row>
    <row r="1815" spans="13:17" ht="12.75">
      <c r="M1815" s="531"/>
      <c r="Q1815" s="531"/>
    </row>
    <row r="1816" spans="13:17" ht="12.75">
      <c r="M1816" s="531"/>
      <c r="Q1816" s="531"/>
    </row>
    <row r="1817" spans="13:17" ht="12.75">
      <c r="M1817" s="531"/>
      <c r="Q1817" s="531"/>
    </row>
    <row r="1818" spans="13:17" ht="12.75">
      <c r="M1818" s="531"/>
      <c r="Q1818" s="531"/>
    </row>
    <row r="1819" spans="13:17" ht="12.75">
      <c r="M1819" s="531"/>
      <c r="Q1819" s="531"/>
    </row>
    <row r="1820" spans="13:17" ht="12.75">
      <c r="M1820" s="531"/>
      <c r="Q1820" s="531"/>
    </row>
    <row r="1821" spans="13:17" ht="12.75">
      <c r="M1821" s="531"/>
      <c r="Q1821" s="531"/>
    </row>
    <row r="1822" spans="13:17" ht="12.75">
      <c r="M1822" s="531"/>
      <c r="Q1822" s="531"/>
    </row>
    <row r="1823" spans="13:17" ht="12.75">
      <c r="M1823" s="531"/>
      <c r="Q1823" s="531"/>
    </row>
    <row r="1824" spans="13:17" ht="12.75">
      <c r="M1824" s="531"/>
      <c r="Q1824" s="531"/>
    </row>
    <row r="1825" spans="13:17" ht="12.75">
      <c r="M1825" s="531"/>
      <c r="Q1825" s="531"/>
    </row>
    <row r="1826" spans="13:17" ht="12.75">
      <c r="M1826" s="531"/>
      <c r="Q1826" s="531"/>
    </row>
    <row r="1827" spans="13:17" ht="12.75">
      <c r="M1827" s="531"/>
      <c r="Q1827" s="531"/>
    </row>
    <row r="1828" spans="13:17" ht="12.75">
      <c r="M1828" s="531"/>
      <c r="Q1828" s="531"/>
    </row>
    <row r="1829" spans="13:17" ht="12.75">
      <c r="M1829" s="531"/>
      <c r="Q1829" s="531"/>
    </row>
    <row r="1830" spans="13:17" ht="12.75">
      <c r="M1830" s="531"/>
      <c r="Q1830" s="531"/>
    </row>
    <row r="1831" spans="13:17" ht="12.75">
      <c r="M1831" s="531"/>
      <c r="Q1831" s="531"/>
    </row>
    <row r="1832" spans="13:17" ht="12.75">
      <c r="M1832" s="531"/>
      <c r="Q1832" s="531"/>
    </row>
    <row r="1833" spans="13:17" ht="12.75">
      <c r="M1833" s="531"/>
      <c r="Q1833" s="531"/>
    </row>
    <row r="1834" spans="13:17" ht="12.75">
      <c r="M1834" s="531"/>
      <c r="Q1834" s="531"/>
    </row>
    <row r="1835" spans="13:17" ht="12.75">
      <c r="M1835" s="531"/>
      <c r="Q1835" s="531"/>
    </row>
    <row r="1836" spans="13:17" ht="12.75">
      <c r="M1836" s="531"/>
      <c r="Q1836" s="531"/>
    </row>
    <row r="1837" spans="13:17" ht="12.75">
      <c r="M1837" s="531"/>
      <c r="Q1837" s="531"/>
    </row>
    <row r="1838" spans="13:17" ht="12.75">
      <c r="M1838" s="531"/>
      <c r="Q1838" s="531"/>
    </row>
    <row r="1839" spans="13:17" ht="12.75">
      <c r="M1839" s="531"/>
      <c r="Q1839" s="531"/>
    </row>
    <row r="1840" spans="13:17" ht="12.75">
      <c r="M1840" s="531"/>
      <c r="Q1840" s="531"/>
    </row>
    <row r="1841" spans="13:17" ht="12.75">
      <c r="M1841" s="531"/>
      <c r="Q1841" s="531"/>
    </row>
    <row r="1842" spans="13:17" ht="12.75">
      <c r="M1842" s="531"/>
      <c r="Q1842" s="531"/>
    </row>
    <row r="1843" spans="13:17" ht="12.75">
      <c r="M1843" s="531"/>
      <c r="Q1843" s="531"/>
    </row>
    <row r="1844" spans="13:17" ht="12.75">
      <c r="M1844" s="531"/>
      <c r="Q1844" s="531"/>
    </row>
    <row r="1845" spans="13:17" ht="12.75">
      <c r="M1845" s="531"/>
      <c r="Q1845" s="531"/>
    </row>
    <row r="1846" spans="13:17" ht="12.75">
      <c r="M1846" s="531"/>
      <c r="Q1846" s="531"/>
    </row>
    <row r="1847" spans="13:17" ht="12.75">
      <c r="M1847" s="531"/>
      <c r="Q1847" s="531"/>
    </row>
    <row r="1848" spans="13:17" ht="12.75">
      <c r="M1848" s="531"/>
      <c r="Q1848" s="531"/>
    </row>
    <row r="1849" spans="13:17" ht="12.75">
      <c r="M1849" s="531"/>
      <c r="Q1849" s="531"/>
    </row>
    <row r="1850" spans="13:17" ht="12.75">
      <c r="M1850" s="531"/>
      <c r="Q1850" s="531"/>
    </row>
    <row r="1851" spans="13:17" ht="12.75">
      <c r="M1851" s="531"/>
      <c r="Q1851" s="531"/>
    </row>
    <row r="1852" spans="13:17" ht="12.75">
      <c r="M1852" s="531"/>
      <c r="Q1852" s="531"/>
    </row>
    <row r="1853" spans="13:17" ht="12.75">
      <c r="M1853" s="531"/>
      <c r="Q1853" s="531"/>
    </row>
    <row r="1854" spans="13:17" ht="12.75">
      <c r="M1854" s="531"/>
      <c r="Q1854" s="531"/>
    </row>
    <row r="1855" spans="13:17" ht="12.75">
      <c r="M1855" s="531"/>
      <c r="Q1855" s="531"/>
    </row>
    <row r="1856" spans="13:17" ht="12.75">
      <c r="M1856" s="531"/>
      <c r="Q1856" s="531"/>
    </row>
    <row r="1857" spans="13:17" ht="12.75">
      <c r="M1857" s="531"/>
      <c r="Q1857" s="531"/>
    </row>
    <row r="1858" spans="13:17" ht="12.75">
      <c r="M1858" s="531"/>
      <c r="Q1858" s="531"/>
    </row>
    <row r="1859" spans="13:17" ht="12.75">
      <c r="M1859" s="531"/>
      <c r="Q1859" s="531"/>
    </row>
    <row r="1860" spans="13:17" ht="12.75">
      <c r="M1860" s="531"/>
      <c r="Q1860" s="531"/>
    </row>
    <row r="1861" spans="13:17" ht="12.75">
      <c r="M1861" s="531"/>
      <c r="Q1861" s="531"/>
    </row>
    <row r="1862" spans="13:17" ht="12.75">
      <c r="M1862" s="531"/>
      <c r="Q1862" s="531"/>
    </row>
    <row r="1863" spans="13:17" ht="12.75">
      <c r="M1863" s="531"/>
      <c r="Q1863" s="531"/>
    </row>
    <row r="1864" spans="13:17" ht="12.75">
      <c r="M1864" s="531"/>
      <c r="Q1864" s="531"/>
    </row>
    <row r="1865" spans="13:17" ht="12.75">
      <c r="M1865" s="531"/>
      <c r="Q1865" s="531"/>
    </row>
    <row r="1866" spans="13:17" ht="12.75">
      <c r="M1866" s="531"/>
      <c r="Q1866" s="531"/>
    </row>
    <row r="1867" spans="13:17" ht="12.75">
      <c r="M1867" s="531"/>
      <c r="Q1867" s="531"/>
    </row>
    <row r="1868" spans="13:17" ht="12.75">
      <c r="M1868" s="531"/>
      <c r="Q1868" s="531"/>
    </row>
    <row r="1869" spans="13:17" ht="12.75">
      <c r="M1869" s="531"/>
      <c r="Q1869" s="531"/>
    </row>
    <row r="1870" spans="13:17" ht="12.75">
      <c r="M1870" s="531"/>
      <c r="Q1870" s="531"/>
    </row>
    <row r="1871" spans="13:17" ht="12.75">
      <c r="M1871" s="531"/>
      <c r="Q1871" s="531"/>
    </row>
    <row r="1872" spans="13:17" ht="12.75">
      <c r="M1872" s="531"/>
      <c r="Q1872" s="531"/>
    </row>
    <row r="1873" spans="13:17" ht="12.75">
      <c r="M1873" s="531"/>
      <c r="Q1873" s="531"/>
    </row>
    <row r="1874" spans="13:17" ht="12.75">
      <c r="M1874" s="531"/>
      <c r="Q1874" s="531"/>
    </row>
    <row r="1875" spans="13:17" ht="12.75">
      <c r="M1875" s="531"/>
      <c r="Q1875" s="531"/>
    </row>
    <row r="1876" spans="13:17" ht="12.75">
      <c r="M1876" s="531"/>
      <c r="Q1876" s="531"/>
    </row>
    <row r="1877" spans="13:17" ht="12.75">
      <c r="M1877" s="531"/>
      <c r="Q1877" s="531"/>
    </row>
    <row r="1878" spans="13:17" ht="12.75">
      <c r="M1878" s="531"/>
      <c r="Q1878" s="531"/>
    </row>
    <row r="1879" spans="13:17" ht="12.75">
      <c r="M1879" s="531"/>
      <c r="Q1879" s="531"/>
    </row>
    <row r="1880" spans="13:17" ht="12.75">
      <c r="M1880" s="531"/>
      <c r="Q1880" s="531"/>
    </row>
    <row r="1881" spans="13:17" ht="12.75">
      <c r="M1881" s="531"/>
      <c r="Q1881" s="531"/>
    </row>
    <row r="1882" spans="13:17" ht="12.75">
      <c r="M1882" s="531"/>
      <c r="Q1882" s="531"/>
    </row>
    <row r="1883" spans="13:17" ht="12.75">
      <c r="M1883" s="531"/>
      <c r="Q1883" s="531"/>
    </row>
    <row r="1884" spans="13:17" ht="12.75">
      <c r="M1884" s="531"/>
      <c r="Q1884" s="531"/>
    </row>
    <row r="1885" spans="13:17" ht="12.75">
      <c r="M1885" s="531"/>
      <c r="Q1885" s="531"/>
    </row>
    <row r="1886" spans="13:17" ht="12.75">
      <c r="M1886" s="531"/>
      <c r="Q1886" s="531"/>
    </row>
    <row r="1887" spans="13:17" ht="12.75">
      <c r="M1887" s="531"/>
      <c r="Q1887" s="531"/>
    </row>
    <row r="1888" spans="13:17" ht="12.75">
      <c r="M1888" s="531"/>
      <c r="Q1888" s="531"/>
    </row>
    <row r="1889" spans="13:17" ht="12.75">
      <c r="M1889" s="531"/>
      <c r="Q1889" s="531"/>
    </row>
    <row r="1890" spans="13:17" ht="12.75">
      <c r="M1890" s="531"/>
      <c r="Q1890" s="531"/>
    </row>
    <row r="1891" spans="13:17" ht="12.75">
      <c r="M1891" s="531"/>
      <c r="Q1891" s="531"/>
    </row>
    <row r="1892" spans="13:17" ht="12.75">
      <c r="M1892" s="531"/>
      <c r="Q1892" s="531"/>
    </row>
    <row r="1893" spans="13:17" ht="12.75">
      <c r="M1893" s="531"/>
      <c r="Q1893" s="531"/>
    </row>
    <row r="1894" spans="13:17" ht="12.75">
      <c r="M1894" s="531"/>
      <c r="Q1894" s="531"/>
    </row>
    <row r="1895" spans="13:17" ht="12.75">
      <c r="M1895" s="531"/>
      <c r="Q1895" s="531"/>
    </row>
    <row r="1896" spans="13:17" ht="12.75">
      <c r="M1896" s="531"/>
      <c r="Q1896" s="531"/>
    </row>
    <row r="1897" spans="13:17" ht="12.75">
      <c r="M1897" s="531"/>
      <c r="Q1897" s="531"/>
    </row>
    <row r="1898" spans="13:17" ht="12.75">
      <c r="M1898" s="531"/>
      <c r="Q1898" s="531"/>
    </row>
    <row r="1899" spans="13:17" ht="12.75">
      <c r="M1899" s="531"/>
      <c r="Q1899" s="531"/>
    </row>
    <row r="1900" spans="13:17" ht="12.75">
      <c r="M1900" s="531"/>
      <c r="Q1900" s="531"/>
    </row>
    <row r="1901" spans="13:17" ht="12.75">
      <c r="M1901" s="531"/>
      <c r="Q1901" s="531"/>
    </row>
    <row r="1902" spans="13:17" ht="12.75">
      <c r="M1902" s="531"/>
      <c r="Q1902" s="531"/>
    </row>
    <row r="1903" spans="13:17" ht="12.75">
      <c r="M1903" s="531"/>
      <c r="Q1903" s="531"/>
    </row>
    <row r="1904" spans="13:17" ht="12.75">
      <c r="M1904" s="531"/>
      <c r="Q1904" s="531"/>
    </row>
    <row r="1905" spans="13:17" ht="12.75">
      <c r="M1905" s="531"/>
      <c r="Q1905" s="531"/>
    </row>
    <row r="1906" spans="13:17" ht="12.75">
      <c r="M1906" s="531"/>
      <c r="Q1906" s="531"/>
    </row>
    <row r="1907" spans="13:17" ht="12.75">
      <c r="M1907" s="531"/>
      <c r="Q1907" s="531"/>
    </row>
    <row r="1908" spans="13:17" ht="12.75">
      <c r="M1908" s="531"/>
      <c r="Q1908" s="531"/>
    </row>
    <row r="1909" spans="13:17" ht="12.75">
      <c r="M1909" s="531"/>
      <c r="Q1909" s="531"/>
    </row>
    <row r="1910" spans="13:17" ht="12.75">
      <c r="M1910" s="531"/>
      <c r="Q1910" s="531"/>
    </row>
    <row r="1911" spans="13:17" ht="12.75">
      <c r="M1911" s="531"/>
      <c r="Q1911" s="531"/>
    </row>
    <row r="1912" spans="13:17" ht="12.75">
      <c r="M1912" s="531"/>
      <c r="Q1912" s="531"/>
    </row>
    <row r="1913" spans="13:17" ht="12.75">
      <c r="M1913" s="531"/>
      <c r="Q1913" s="531"/>
    </row>
    <row r="1914" spans="13:17" ht="12.75">
      <c r="M1914" s="531"/>
      <c r="Q1914" s="531"/>
    </row>
    <row r="1915" spans="13:17" ht="12.75">
      <c r="M1915" s="531"/>
      <c r="Q1915" s="531"/>
    </row>
    <row r="1916" spans="13:17" ht="12.75">
      <c r="M1916" s="531"/>
      <c r="Q1916" s="531"/>
    </row>
    <row r="1917" spans="13:17" ht="12.75">
      <c r="M1917" s="531"/>
      <c r="Q1917" s="531"/>
    </row>
    <row r="1918" spans="13:17" ht="12.75">
      <c r="M1918" s="531"/>
      <c r="Q1918" s="531"/>
    </row>
    <row r="1919" spans="13:17" ht="12.75">
      <c r="M1919" s="531"/>
      <c r="Q1919" s="531"/>
    </row>
    <row r="1920" spans="13:17" ht="12.75">
      <c r="M1920" s="531"/>
      <c r="Q1920" s="531"/>
    </row>
    <row r="1921" spans="13:17" ht="12.75">
      <c r="M1921" s="531"/>
      <c r="Q1921" s="531"/>
    </row>
    <row r="1922" spans="13:17" ht="12.75">
      <c r="M1922" s="531"/>
      <c r="Q1922" s="531"/>
    </row>
    <row r="1923" spans="13:17" ht="12.75">
      <c r="M1923" s="531"/>
      <c r="Q1923" s="531"/>
    </row>
    <row r="1924" spans="13:17" ht="12.75">
      <c r="M1924" s="531"/>
      <c r="Q1924" s="531"/>
    </row>
    <row r="1925" spans="13:17" ht="12.75">
      <c r="M1925" s="531"/>
      <c r="Q1925" s="531"/>
    </row>
    <row r="1926" spans="13:17" ht="12.75">
      <c r="M1926" s="531"/>
      <c r="Q1926" s="531"/>
    </row>
    <row r="1927" spans="13:17" ht="12.75">
      <c r="M1927" s="531"/>
      <c r="Q1927" s="531"/>
    </row>
    <row r="1928" spans="13:17" ht="12.75">
      <c r="M1928" s="531"/>
      <c r="Q1928" s="531"/>
    </row>
    <row r="1929" spans="13:17" ht="12.75">
      <c r="M1929" s="531"/>
      <c r="Q1929" s="531"/>
    </row>
    <row r="1930" spans="13:17" ht="12.75">
      <c r="M1930" s="531"/>
      <c r="Q1930" s="531"/>
    </row>
    <row r="1931" spans="13:17" ht="12.75">
      <c r="M1931" s="531"/>
      <c r="Q1931" s="531"/>
    </row>
    <row r="1932" spans="13:17" ht="12.75">
      <c r="M1932" s="531"/>
      <c r="Q1932" s="531"/>
    </row>
    <row r="1933" spans="13:17" ht="12.75">
      <c r="M1933" s="531"/>
      <c r="Q1933" s="531"/>
    </row>
    <row r="1934" spans="13:17" ht="12.75">
      <c r="M1934" s="531"/>
      <c r="Q1934" s="531"/>
    </row>
    <row r="1935" spans="13:17" ht="12.75">
      <c r="M1935" s="531"/>
      <c r="Q1935" s="531"/>
    </row>
    <row r="1936" spans="13:17" ht="12.75">
      <c r="M1936" s="531"/>
      <c r="Q1936" s="531"/>
    </row>
    <row r="1937" spans="13:17" ht="12.75">
      <c r="M1937" s="531"/>
      <c r="Q1937" s="531"/>
    </row>
    <row r="1938" spans="13:17" ht="12.75">
      <c r="M1938" s="531"/>
      <c r="Q1938" s="531"/>
    </row>
    <row r="1939" spans="13:17" ht="12.75">
      <c r="M1939" s="531"/>
      <c r="Q1939" s="531"/>
    </row>
    <row r="1940" spans="13:17" ht="12.75">
      <c r="M1940" s="531"/>
      <c r="Q1940" s="531"/>
    </row>
    <row r="1941" spans="13:17" ht="12.75">
      <c r="M1941" s="531"/>
      <c r="Q1941" s="531"/>
    </row>
    <row r="1942" spans="13:17" ht="12.75">
      <c r="M1942" s="531"/>
      <c r="Q1942" s="531"/>
    </row>
    <row r="1943" spans="13:17" ht="12.75">
      <c r="M1943" s="531"/>
      <c r="Q1943" s="531"/>
    </row>
    <row r="1944" spans="13:17" ht="12.75">
      <c r="M1944" s="531"/>
      <c r="Q1944" s="531"/>
    </row>
    <row r="1945" spans="13:17" ht="12.75">
      <c r="M1945" s="531"/>
      <c r="Q1945" s="531"/>
    </row>
    <row r="1946" spans="13:17" ht="12.75">
      <c r="M1946" s="531"/>
      <c r="Q1946" s="531"/>
    </row>
    <row r="1947" spans="13:17" ht="12.75">
      <c r="M1947" s="531"/>
      <c r="Q1947" s="531"/>
    </row>
    <row r="1948" spans="13:17" ht="12.75">
      <c r="M1948" s="531"/>
      <c r="Q1948" s="531"/>
    </row>
    <row r="1949" spans="13:17" ht="12.75">
      <c r="M1949" s="531"/>
      <c r="Q1949" s="531"/>
    </row>
    <row r="1950" spans="13:17" ht="12.75">
      <c r="M1950" s="531"/>
      <c r="Q1950" s="531"/>
    </row>
    <row r="1951" spans="13:17" ht="12.75">
      <c r="M1951" s="531"/>
      <c r="Q1951" s="531"/>
    </row>
    <row r="1952" spans="13:17" ht="12.75">
      <c r="M1952" s="531"/>
      <c r="Q1952" s="531"/>
    </row>
    <row r="1953" spans="13:17" ht="12.75">
      <c r="M1953" s="531"/>
      <c r="Q1953" s="531"/>
    </row>
    <row r="1954" spans="13:17" ht="12.75">
      <c r="M1954" s="531"/>
      <c r="Q1954" s="531"/>
    </row>
    <row r="1955" spans="13:17" ht="12.75">
      <c r="M1955" s="531"/>
      <c r="Q1955" s="531"/>
    </row>
    <row r="1956" spans="13:17" ht="12.75">
      <c r="M1956" s="531"/>
      <c r="Q1956" s="531"/>
    </row>
    <row r="1957" spans="13:17" ht="12.75">
      <c r="M1957" s="531"/>
      <c r="Q1957" s="531"/>
    </row>
    <row r="1958" spans="13:17" ht="12.75">
      <c r="M1958" s="531"/>
      <c r="Q1958" s="531"/>
    </row>
    <row r="1959" spans="13:17" ht="12.75">
      <c r="M1959" s="531"/>
      <c r="Q1959" s="531"/>
    </row>
    <row r="1960" spans="13:17" ht="12.75">
      <c r="M1960" s="531"/>
      <c r="Q1960" s="531"/>
    </row>
    <row r="1961" spans="13:17" ht="12.75">
      <c r="M1961" s="531"/>
      <c r="Q1961" s="531"/>
    </row>
    <row r="1962" spans="13:17" ht="12.75">
      <c r="M1962" s="531"/>
      <c r="Q1962" s="531"/>
    </row>
    <row r="1963" spans="13:17" ht="12.75">
      <c r="M1963" s="531"/>
      <c r="Q1963" s="531"/>
    </row>
    <row r="1964" spans="13:17" ht="12.75">
      <c r="M1964" s="531"/>
      <c r="Q1964" s="531"/>
    </row>
    <row r="1965" spans="13:17" ht="12.75">
      <c r="M1965" s="531"/>
      <c r="Q1965" s="531"/>
    </row>
    <row r="1966" spans="13:17" ht="12.75">
      <c r="M1966" s="531"/>
      <c r="Q1966" s="531"/>
    </row>
    <row r="1967" spans="13:17" ht="12.75">
      <c r="M1967" s="531"/>
      <c r="Q1967" s="531"/>
    </row>
    <row r="1968" spans="13:17" ht="12.75">
      <c r="M1968" s="531"/>
      <c r="Q1968" s="531"/>
    </row>
    <row r="1969" spans="13:17" ht="12.75">
      <c r="M1969" s="531"/>
      <c r="Q1969" s="531"/>
    </row>
    <row r="1970" spans="13:17" ht="12.75">
      <c r="M1970" s="531"/>
      <c r="Q1970" s="531"/>
    </row>
    <row r="1971" spans="13:17" ht="12.75">
      <c r="M1971" s="531"/>
      <c r="Q1971" s="531"/>
    </row>
    <row r="1972" spans="13:17" ht="12.75">
      <c r="M1972" s="531"/>
      <c r="Q1972" s="531"/>
    </row>
    <row r="1973" spans="13:17" ht="12.75">
      <c r="M1973" s="531"/>
      <c r="Q1973" s="531"/>
    </row>
    <row r="1974" spans="13:17" ht="12.75">
      <c r="M1974" s="531"/>
      <c r="Q1974" s="531"/>
    </row>
    <row r="1975" spans="13:17" ht="12.75">
      <c r="M1975" s="531"/>
      <c r="Q1975" s="531"/>
    </row>
    <row r="1976" spans="13:17" ht="12.75">
      <c r="M1976" s="531"/>
      <c r="Q1976" s="531"/>
    </row>
    <row r="1977" spans="13:17" ht="12.75">
      <c r="M1977" s="531"/>
      <c r="Q1977" s="531"/>
    </row>
    <row r="1978" spans="13:17" ht="12.75">
      <c r="M1978" s="531"/>
      <c r="Q1978" s="531"/>
    </row>
    <row r="1979" spans="13:17" ht="12.75">
      <c r="M1979" s="531"/>
      <c r="Q1979" s="531"/>
    </row>
    <row r="1980" spans="13:17" ht="12.75">
      <c r="M1980" s="531"/>
      <c r="Q1980" s="531"/>
    </row>
    <row r="1981" spans="13:17" ht="12.75">
      <c r="M1981" s="531"/>
      <c r="Q1981" s="531"/>
    </row>
    <row r="1982" spans="13:17" ht="12.75">
      <c r="M1982" s="531"/>
      <c r="Q1982" s="531"/>
    </row>
    <row r="1983" spans="13:17" ht="12.75">
      <c r="M1983" s="531"/>
      <c r="Q1983" s="531"/>
    </row>
    <row r="1984" spans="13:17" ht="12.75">
      <c r="M1984" s="531"/>
      <c r="Q1984" s="531"/>
    </row>
    <row r="1985" spans="13:17" ht="12.75">
      <c r="M1985" s="531"/>
      <c r="Q1985" s="531"/>
    </row>
    <row r="1986" spans="13:17" ht="12.75">
      <c r="M1986" s="531"/>
      <c r="Q1986" s="531"/>
    </row>
    <row r="1987" spans="13:17" ht="12.75">
      <c r="M1987" s="531"/>
      <c r="Q1987" s="531"/>
    </row>
    <row r="1988" spans="13:17" ht="12.75">
      <c r="M1988" s="531"/>
      <c r="Q1988" s="531"/>
    </row>
    <row r="1989" spans="13:17" ht="12.75">
      <c r="M1989" s="531"/>
      <c r="Q1989" s="531"/>
    </row>
    <row r="1990" spans="13:17" ht="12.75">
      <c r="M1990" s="531"/>
      <c r="Q1990" s="531"/>
    </row>
    <row r="1991" spans="13:17" ht="12.75">
      <c r="M1991" s="531"/>
      <c r="Q1991" s="531"/>
    </row>
    <row r="1992" spans="13:17" ht="12.75">
      <c r="M1992" s="531"/>
      <c r="Q1992" s="531"/>
    </row>
    <row r="1993" spans="13:17" ht="12.75">
      <c r="M1993" s="531"/>
      <c r="Q1993" s="531"/>
    </row>
    <row r="1994" spans="13:17" ht="12.75">
      <c r="M1994" s="531"/>
      <c r="Q1994" s="531"/>
    </row>
    <row r="1995" spans="13:17" ht="12.75">
      <c r="M1995" s="531"/>
      <c r="Q1995" s="531"/>
    </row>
    <row r="1996" spans="13:17" ht="12.75">
      <c r="M1996" s="531"/>
      <c r="Q1996" s="531"/>
    </row>
    <row r="1997" spans="13:17" ht="12.75">
      <c r="M1997" s="531"/>
      <c r="Q1997" s="531"/>
    </row>
    <row r="1998" spans="13:17" ht="12.75">
      <c r="M1998" s="531"/>
      <c r="Q1998" s="531"/>
    </row>
    <row r="1999" spans="13:17" ht="12.75">
      <c r="M1999" s="531"/>
      <c r="Q1999" s="531"/>
    </row>
    <row r="2000" spans="13:17" ht="12.75">
      <c r="M2000" s="531"/>
      <c r="Q2000" s="531"/>
    </row>
    <row r="2001" spans="13:17" ht="12.75">
      <c r="M2001" s="531"/>
      <c r="Q2001" s="531"/>
    </row>
    <row r="2002" spans="13:17" ht="12.75">
      <c r="M2002" s="531"/>
      <c r="Q2002" s="531"/>
    </row>
    <row r="2003" spans="13:17" ht="12.75">
      <c r="M2003" s="531"/>
      <c r="Q2003" s="531"/>
    </row>
    <row r="2004" spans="13:17" ht="12.75">
      <c r="M2004" s="531"/>
      <c r="Q2004" s="531"/>
    </row>
    <row r="2005" spans="13:17" ht="12.75">
      <c r="M2005" s="531"/>
      <c r="Q2005" s="531"/>
    </row>
    <row r="2006" spans="13:17" ht="12.75">
      <c r="M2006" s="531"/>
      <c r="Q2006" s="531"/>
    </row>
    <row r="2007" spans="13:17" ht="12.75">
      <c r="M2007" s="531"/>
      <c r="Q2007" s="531"/>
    </row>
    <row r="2008" spans="13:17" ht="12.75">
      <c r="M2008" s="531"/>
      <c r="Q2008" s="531"/>
    </row>
    <row r="2009" spans="13:17" ht="12.75">
      <c r="M2009" s="531"/>
      <c r="Q2009" s="531"/>
    </row>
    <row r="2010" spans="13:17" ht="12.75">
      <c r="M2010" s="531"/>
      <c r="Q2010" s="531"/>
    </row>
    <row r="2011" spans="13:17" ht="12.75">
      <c r="M2011" s="531"/>
      <c r="Q2011" s="531"/>
    </row>
    <row r="2012" spans="13:17" ht="12.75">
      <c r="M2012" s="531"/>
      <c r="Q2012" s="531"/>
    </row>
    <row r="2013" spans="13:17" ht="12.75">
      <c r="M2013" s="531"/>
      <c r="Q2013" s="531"/>
    </row>
    <row r="2014" spans="13:17" ht="12.75">
      <c r="M2014" s="531"/>
      <c r="Q2014" s="531"/>
    </row>
    <row r="2015" spans="13:17" ht="12.75">
      <c r="M2015" s="531"/>
      <c r="Q2015" s="531"/>
    </row>
    <row r="2016" spans="13:17" ht="12.75">
      <c r="M2016" s="531"/>
      <c r="Q2016" s="531"/>
    </row>
    <row r="2017" spans="13:17" ht="12.75">
      <c r="M2017" s="531"/>
      <c r="Q2017" s="531"/>
    </row>
    <row r="2018" spans="13:17" ht="12.75">
      <c r="M2018" s="531"/>
      <c r="Q2018" s="531"/>
    </row>
    <row r="2019" spans="13:17" ht="12.75">
      <c r="M2019" s="531"/>
      <c r="Q2019" s="531"/>
    </row>
    <row r="2020" spans="13:17" ht="12.75">
      <c r="M2020" s="531"/>
      <c r="Q2020" s="531"/>
    </row>
    <row r="2021" spans="13:17" ht="12.75">
      <c r="M2021" s="531"/>
      <c r="Q2021" s="531"/>
    </row>
    <row r="2022" spans="13:17" ht="12.75">
      <c r="M2022" s="531"/>
      <c r="Q2022" s="531"/>
    </row>
    <row r="2023" spans="13:17" ht="12.75">
      <c r="M2023" s="531"/>
      <c r="Q2023" s="531"/>
    </row>
    <row r="2024" spans="13:17" ht="12.75">
      <c r="M2024" s="531"/>
      <c r="Q2024" s="531"/>
    </row>
    <row r="2025" spans="13:17" ht="12.75">
      <c r="M2025" s="531"/>
      <c r="Q2025" s="531"/>
    </row>
    <row r="2026" spans="13:17" ht="12.75">
      <c r="M2026" s="531"/>
      <c r="Q2026" s="531"/>
    </row>
    <row r="2027" spans="13:17" ht="12.75">
      <c r="M2027" s="531"/>
      <c r="Q2027" s="531"/>
    </row>
    <row r="2028" spans="13:17" ht="12.75">
      <c r="M2028" s="531"/>
      <c r="Q2028" s="531"/>
    </row>
    <row r="2029" spans="13:17" ht="12.75">
      <c r="M2029" s="531"/>
      <c r="Q2029" s="531"/>
    </row>
    <row r="2030" spans="13:17" ht="12.75">
      <c r="M2030" s="531"/>
      <c r="Q2030" s="531"/>
    </row>
    <row r="2031" spans="13:17" ht="12.75">
      <c r="M2031" s="531"/>
      <c r="Q2031" s="531"/>
    </row>
    <row r="2032" spans="13:17" ht="12.75">
      <c r="M2032" s="531"/>
      <c r="Q2032" s="531"/>
    </row>
    <row r="2033" spans="13:17" ht="12.75">
      <c r="M2033" s="531"/>
      <c r="Q2033" s="531"/>
    </row>
    <row r="2034" spans="13:17" ht="12.75">
      <c r="M2034" s="531"/>
      <c r="Q2034" s="531"/>
    </row>
    <row r="2035" spans="13:17" ht="12.75">
      <c r="M2035" s="531"/>
      <c r="Q2035" s="531"/>
    </row>
    <row r="2036" spans="13:17" ht="12.75">
      <c r="M2036" s="531"/>
      <c r="Q2036" s="531"/>
    </row>
    <row r="2037" spans="13:17" ht="12.75">
      <c r="M2037" s="531"/>
      <c r="Q2037" s="531"/>
    </row>
    <row r="2038" spans="13:17" ht="12.75">
      <c r="M2038" s="531"/>
      <c r="Q2038" s="531"/>
    </row>
    <row r="2039" spans="13:17" ht="12.75">
      <c r="M2039" s="531"/>
      <c r="Q2039" s="531"/>
    </row>
    <row r="2040" spans="13:17" ht="12.75">
      <c r="M2040" s="531"/>
      <c r="Q2040" s="531"/>
    </row>
    <row r="2041" spans="13:17" ht="12.75">
      <c r="M2041" s="531"/>
      <c r="Q2041" s="531"/>
    </row>
    <row r="2042" spans="13:17" ht="12.75">
      <c r="M2042" s="531"/>
      <c r="Q2042" s="531"/>
    </row>
    <row r="2043" spans="13:17" ht="12.75">
      <c r="M2043" s="531"/>
      <c r="Q2043" s="531"/>
    </row>
    <row r="2044" spans="13:17" ht="12.75">
      <c r="M2044" s="531"/>
      <c r="Q2044" s="531"/>
    </row>
    <row r="2045" spans="13:17" ht="12.75">
      <c r="M2045" s="531"/>
      <c r="Q2045" s="531"/>
    </row>
    <row r="2046" spans="13:17" ht="12.75">
      <c r="M2046" s="531"/>
      <c r="Q2046" s="531"/>
    </row>
    <row r="2047" spans="13:17" ht="12.75">
      <c r="M2047" s="531"/>
      <c r="Q2047" s="531"/>
    </row>
    <row r="2048" spans="13:17" ht="12.75">
      <c r="M2048" s="531"/>
      <c r="Q2048" s="531"/>
    </row>
    <row r="2049" spans="13:17" ht="12.75">
      <c r="M2049" s="531"/>
      <c r="Q2049" s="531"/>
    </row>
    <row r="2050" spans="13:17" ht="12.75">
      <c r="M2050" s="531"/>
      <c r="Q2050" s="531"/>
    </row>
    <row r="2051" spans="13:17" ht="12.75">
      <c r="M2051" s="531"/>
      <c r="Q2051" s="531"/>
    </row>
    <row r="2052" spans="13:17" ht="12.75">
      <c r="M2052" s="531"/>
      <c r="Q2052" s="531"/>
    </row>
    <row r="2053" spans="13:17" ht="12.75">
      <c r="M2053" s="531"/>
      <c r="Q2053" s="531"/>
    </row>
    <row r="2054" spans="13:17" ht="12.75">
      <c r="M2054" s="531"/>
      <c r="Q2054" s="531"/>
    </row>
    <row r="2055" spans="13:17" ht="12.75">
      <c r="M2055" s="531"/>
      <c r="Q2055" s="531"/>
    </row>
    <row r="2056" spans="13:17" ht="12.75">
      <c r="M2056" s="531"/>
      <c r="Q2056" s="531"/>
    </row>
    <row r="2057" spans="13:17" ht="12.75">
      <c r="M2057" s="531"/>
      <c r="Q2057" s="531"/>
    </row>
    <row r="2058" spans="13:17" ht="12.75">
      <c r="M2058" s="531"/>
      <c r="Q2058" s="531"/>
    </row>
    <row r="2059" spans="13:17" ht="12.75">
      <c r="M2059" s="531"/>
      <c r="Q2059" s="531"/>
    </row>
    <row r="2060" spans="13:17" ht="12.75">
      <c r="M2060" s="531"/>
      <c r="Q2060" s="531"/>
    </row>
    <row r="2061" spans="13:17" ht="12.75">
      <c r="M2061" s="531"/>
      <c r="Q2061" s="531"/>
    </row>
    <row r="2062" spans="13:17" ht="12.75">
      <c r="M2062" s="531"/>
      <c r="Q2062" s="531"/>
    </row>
    <row r="2063" spans="13:17" ht="12.75">
      <c r="M2063" s="531"/>
      <c r="Q2063" s="531"/>
    </row>
    <row r="2064" spans="13:17" ht="12.75">
      <c r="M2064" s="531"/>
      <c r="Q2064" s="531"/>
    </row>
    <row r="2065" spans="13:17" ht="12.75">
      <c r="M2065" s="531"/>
      <c r="Q2065" s="531"/>
    </row>
    <row r="2066" spans="13:17" ht="12.75">
      <c r="M2066" s="531"/>
      <c r="Q2066" s="531"/>
    </row>
    <row r="2067" spans="13:17" ht="12.75">
      <c r="M2067" s="531"/>
      <c r="Q2067" s="531"/>
    </row>
    <row r="2068" spans="13:17" ht="12.75">
      <c r="M2068" s="531"/>
      <c r="Q2068" s="531"/>
    </row>
    <row r="2069" spans="13:17" ht="12.75">
      <c r="M2069" s="531"/>
      <c r="Q2069" s="531"/>
    </row>
    <row r="2070" spans="13:17" ht="12.75">
      <c r="M2070" s="531"/>
      <c r="Q2070" s="531"/>
    </row>
    <row r="2071" spans="13:17" ht="12.75">
      <c r="M2071" s="531"/>
      <c r="Q2071" s="531"/>
    </row>
    <row r="2072" spans="13:17" ht="12.75">
      <c r="M2072" s="531"/>
      <c r="Q2072" s="531"/>
    </row>
    <row r="2073" spans="13:17" ht="12.75">
      <c r="M2073" s="531"/>
      <c r="Q2073" s="531"/>
    </row>
    <row r="2074" spans="13:17" ht="12.75">
      <c r="M2074" s="531"/>
      <c r="Q2074" s="531"/>
    </row>
    <row r="2075" spans="13:17" ht="12.75">
      <c r="M2075" s="531"/>
      <c r="Q2075" s="531"/>
    </row>
    <row r="2076" spans="13:17" ht="12.75">
      <c r="M2076" s="531"/>
      <c r="Q2076" s="531"/>
    </row>
    <row r="2077" spans="13:17" ht="12.75">
      <c r="M2077" s="531"/>
      <c r="Q2077" s="531"/>
    </row>
    <row r="2078" spans="13:17" ht="12.75">
      <c r="M2078" s="531"/>
      <c r="Q2078" s="531"/>
    </row>
    <row r="2079" spans="13:17" ht="12.75">
      <c r="M2079" s="531"/>
      <c r="Q2079" s="531"/>
    </row>
    <row r="2080" spans="13:17" ht="12.75">
      <c r="M2080" s="531"/>
      <c r="Q2080" s="531"/>
    </row>
    <row r="2081" spans="13:17" ht="12.75">
      <c r="M2081" s="531"/>
      <c r="Q2081" s="531"/>
    </row>
    <row r="2082" spans="13:17" ht="12.75">
      <c r="M2082" s="531"/>
      <c r="Q2082" s="531"/>
    </row>
    <row r="2083" spans="13:17" ht="12.75">
      <c r="M2083" s="531"/>
      <c r="Q2083" s="531"/>
    </row>
    <row r="2084" spans="13:17" ht="12.75">
      <c r="M2084" s="531"/>
      <c r="Q2084" s="531"/>
    </row>
    <row r="2085" spans="13:17" ht="12.75">
      <c r="M2085" s="531"/>
      <c r="Q2085" s="531"/>
    </row>
    <row r="2086" spans="13:17" ht="12.75">
      <c r="M2086" s="531"/>
      <c r="Q2086" s="531"/>
    </row>
    <row r="2087" spans="13:17" ht="12.75">
      <c r="M2087" s="531"/>
      <c r="Q2087" s="531"/>
    </row>
    <row r="2088" spans="13:17" ht="12.75">
      <c r="M2088" s="531"/>
      <c r="Q2088" s="531"/>
    </row>
    <row r="2089" spans="13:17" ht="12.75">
      <c r="M2089" s="531"/>
      <c r="Q2089" s="531"/>
    </row>
    <row r="2090" spans="13:17" ht="12.75">
      <c r="M2090" s="531"/>
      <c r="Q2090" s="531"/>
    </row>
    <row r="2091" spans="13:17" ht="12.75">
      <c r="M2091" s="531"/>
      <c r="Q2091" s="531"/>
    </row>
    <row r="2092" spans="13:17" ht="12.75">
      <c r="M2092" s="531"/>
      <c r="Q2092" s="531"/>
    </row>
    <row r="2093" spans="13:17" ht="12.75">
      <c r="M2093" s="531"/>
      <c r="Q2093" s="531"/>
    </row>
    <row r="2094" spans="13:17" ht="12.75">
      <c r="M2094" s="531"/>
      <c r="Q2094" s="531"/>
    </row>
    <row r="2095" spans="13:17" ht="12.75">
      <c r="M2095" s="531"/>
      <c r="Q2095" s="531"/>
    </row>
    <row r="2096" spans="13:17" ht="12.75">
      <c r="M2096" s="531"/>
      <c r="Q2096" s="531"/>
    </row>
    <row r="2097" spans="13:17" ht="12.75">
      <c r="M2097" s="531"/>
      <c r="Q2097" s="531"/>
    </row>
    <row r="2098" spans="13:17" ht="12.75">
      <c r="M2098" s="531"/>
      <c r="Q2098" s="531"/>
    </row>
    <row r="2099" spans="13:17" ht="12.75">
      <c r="M2099" s="531"/>
      <c r="Q2099" s="531"/>
    </row>
    <row r="2100" spans="13:17" ht="12.75">
      <c r="M2100" s="531"/>
      <c r="Q2100" s="531"/>
    </row>
    <row r="2101" spans="13:17" ht="12.75">
      <c r="M2101" s="531"/>
      <c r="Q2101" s="531"/>
    </row>
    <row r="2102" spans="13:17" ht="12.75">
      <c r="M2102" s="531"/>
      <c r="Q2102" s="531"/>
    </row>
    <row r="2103" spans="13:17" ht="12.75">
      <c r="M2103" s="531"/>
      <c r="Q2103" s="531"/>
    </row>
    <row r="2104" spans="13:17" ht="12.75">
      <c r="M2104" s="531"/>
      <c r="Q2104" s="531"/>
    </row>
    <row r="2105" spans="13:17" ht="12.75">
      <c r="M2105" s="531"/>
      <c r="Q2105" s="531"/>
    </row>
    <row r="2106" spans="13:17" ht="12.75">
      <c r="M2106" s="531"/>
      <c r="Q2106" s="531"/>
    </row>
    <row r="2107" spans="13:17" ht="12.75">
      <c r="M2107" s="531"/>
      <c r="Q2107" s="531"/>
    </row>
    <row r="2108" spans="13:17" ht="12.75">
      <c r="M2108" s="531"/>
      <c r="Q2108" s="531"/>
    </row>
    <row r="2109" spans="13:17" ht="12.75">
      <c r="M2109" s="531"/>
      <c r="Q2109" s="531"/>
    </row>
    <row r="2110" spans="13:17" ht="12.75">
      <c r="M2110" s="531"/>
      <c r="Q2110" s="531"/>
    </row>
    <row r="2111" spans="13:17" ht="12.75">
      <c r="M2111" s="531"/>
      <c r="Q2111" s="531"/>
    </row>
    <row r="2112" spans="13:17" ht="12.75">
      <c r="M2112" s="531"/>
      <c r="Q2112" s="531"/>
    </row>
    <row r="2113" spans="13:17" ht="12.75">
      <c r="M2113" s="531"/>
      <c r="Q2113" s="531"/>
    </row>
    <row r="2114" spans="13:17" ht="12.75">
      <c r="M2114" s="531"/>
      <c r="Q2114" s="531"/>
    </row>
    <row r="2115" spans="13:17" ht="12.75">
      <c r="M2115" s="531"/>
      <c r="Q2115" s="531"/>
    </row>
    <row r="2116" spans="13:17" ht="12.75">
      <c r="M2116" s="531"/>
      <c r="Q2116" s="531"/>
    </row>
    <row r="2117" spans="13:17" ht="12.75">
      <c r="M2117" s="531"/>
      <c r="Q2117" s="531"/>
    </row>
    <row r="2118" spans="13:17" ht="12.75">
      <c r="M2118" s="531"/>
      <c r="Q2118" s="531"/>
    </row>
    <row r="2119" spans="13:17" ht="12.75">
      <c r="M2119" s="531"/>
      <c r="Q2119" s="531"/>
    </row>
    <row r="2120" spans="13:17" ht="12.75">
      <c r="M2120" s="531"/>
      <c r="Q2120" s="531"/>
    </row>
    <row r="2121" spans="13:17" ht="12.75">
      <c r="M2121" s="531"/>
      <c r="Q2121" s="531"/>
    </row>
    <row r="2122" spans="13:17" ht="12.75">
      <c r="M2122" s="531"/>
      <c r="Q2122" s="531"/>
    </row>
    <row r="2123" spans="13:17" ht="12.75">
      <c r="M2123" s="531"/>
      <c r="Q2123" s="531"/>
    </row>
    <row r="2124" spans="13:17" ht="12.75">
      <c r="M2124" s="531"/>
      <c r="Q2124" s="531"/>
    </row>
    <row r="2125" spans="13:17" ht="12.75">
      <c r="M2125" s="531"/>
      <c r="Q2125" s="531"/>
    </row>
    <row r="2126" spans="13:17" ht="12.75">
      <c r="M2126" s="531"/>
      <c r="Q2126" s="531"/>
    </row>
    <row r="2127" spans="13:17" ht="12.75">
      <c r="M2127" s="531"/>
      <c r="Q2127" s="531"/>
    </row>
    <row r="2128" spans="13:17" ht="12.75">
      <c r="M2128" s="531"/>
      <c r="Q2128" s="531"/>
    </row>
    <row r="2129" spans="13:17" ht="12.75">
      <c r="M2129" s="531"/>
      <c r="Q2129" s="531"/>
    </row>
    <row r="2130" spans="13:17" ht="12.75">
      <c r="M2130" s="531"/>
      <c r="Q2130" s="531"/>
    </row>
    <row r="2131" spans="13:17" ht="12.75">
      <c r="M2131" s="531"/>
      <c r="Q2131" s="531"/>
    </row>
    <row r="2132" spans="13:17" ht="12.75">
      <c r="M2132" s="531"/>
      <c r="Q2132" s="531"/>
    </row>
    <row r="2133" spans="13:17" ht="12.75">
      <c r="M2133" s="531"/>
      <c r="Q2133" s="531"/>
    </row>
    <row r="2134" spans="13:17" ht="12.75">
      <c r="M2134" s="531"/>
      <c r="Q2134" s="531"/>
    </row>
    <row r="2135" spans="13:17" ht="12.75">
      <c r="M2135" s="531"/>
      <c r="Q2135" s="531"/>
    </row>
    <row r="2136" spans="13:17" ht="12.75">
      <c r="M2136" s="531"/>
      <c r="Q2136" s="531"/>
    </row>
    <row r="2137" spans="13:17" ht="12.75">
      <c r="M2137" s="531"/>
      <c r="Q2137" s="531"/>
    </row>
    <row r="2138" spans="13:17" ht="12.75">
      <c r="M2138" s="531"/>
      <c r="Q2138" s="531"/>
    </row>
    <row r="2139" spans="13:17" ht="12.75">
      <c r="M2139" s="531"/>
      <c r="Q2139" s="531"/>
    </row>
    <row r="2140" spans="13:17" ht="12.75">
      <c r="M2140" s="531"/>
      <c r="Q2140" s="531"/>
    </row>
    <row r="2141" spans="13:17" ht="12.75">
      <c r="M2141" s="531"/>
      <c r="Q2141" s="531"/>
    </row>
    <row r="2142" spans="13:17" ht="12.75">
      <c r="M2142" s="531"/>
      <c r="Q2142" s="531"/>
    </row>
    <row r="2143" spans="13:17" ht="12.75">
      <c r="M2143" s="531"/>
      <c r="Q2143" s="531"/>
    </row>
    <row r="2144" spans="13:17" ht="12.75">
      <c r="M2144" s="531"/>
      <c r="Q2144" s="531"/>
    </row>
    <row r="2145" spans="13:17" ht="12.75">
      <c r="M2145" s="531"/>
      <c r="Q2145" s="531"/>
    </row>
    <row r="2146" spans="13:17" ht="12.75">
      <c r="M2146" s="531"/>
      <c r="Q2146" s="531"/>
    </row>
    <row r="2147" spans="13:17" ht="12.75">
      <c r="M2147" s="531"/>
      <c r="Q2147" s="531"/>
    </row>
    <row r="2148" spans="13:17" ht="12.75">
      <c r="M2148" s="531"/>
      <c r="Q2148" s="531"/>
    </row>
    <row r="2149" spans="13:17" ht="12.75">
      <c r="M2149" s="531"/>
      <c r="Q2149" s="531"/>
    </row>
    <row r="2150" spans="13:17" ht="12.75">
      <c r="M2150" s="531"/>
      <c r="Q2150" s="531"/>
    </row>
    <row r="2151" spans="13:17" ht="12.75">
      <c r="M2151" s="531"/>
      <c r="Q2151" s="531"/>
    </row>
    <row r="2152" spans="13:17" ht="12.75">
      <c r="M2152" s="531"/>
      <c r="Q2152" s="531"/>
    </row>
    <row r="2153" spans="13:17" ht="12.75">
      <c r="M2153" s="531"/>
      <c r="Q2153" s="531"/>
    </row>
    <row r="2154" spans="13:17" ht="12.75">
      <c r="M2154" s="531"/>
      <c r="Q2154" s="531"/>
    </row>
    <row r="2155" spans="13:17" ht="12.75">
      <c r="M2155" s="531"/>
      <c r="Q2155" s="531"/>
    </row>
    <row r="2156" spans="13:17" ht="12.75">
      <c r="M2156" s="531"/>
      <c r="Q2156" s="531"/>
    </row>
    <row r="2157" spans="13:17" ht="12.75">
      <c r="M2157" s="531"/>
      <c r="Q2157" s="531"/>
    </row>
    <row r="2158" spans="13:17" ht="12.75">
      <c r="M2158" s="531"/>
      <c r="Q2158" s="531"/>
    </row>
    <row r="2159" spans="13:17" ht="12.75">
      <c r="M2159" s="531"/>
      <c r="Q2159" s="531"/>
    </row>
    <row r="2160" spans="13:17" ht="12.75">
      <c r="M2160" s="531"/>
      <c r="Q2160" s="531"/>
    </row>
    <row r="2161" spans="13:17" ht="12.75">
      <c r="M2161" s="531"/>
      <c r="Q2161" s="531"/>
    </row>
    <row r="2162" spans="13:17" ht="12.75">
      <c r="M2162" s="531"/>
      <c r="Q2162" s="531"/>
    </row>
    <row r="2163" spans="13:17" ht="12.75">
      <c r="M2163" s="531"/>
      <c r="Q2163" s="531"/>
    </row>
    <row r="2164" spans="13:17" ht="12.75">
      <c r="M2164" s="531"/>
      <c r="Q2164" s="531"/>
    </row>
    <row r="2165" spans="13:17" ht="12.75">
      <c r="M2165" s="531"/>
      <c r="Q2165" s="531"/>
    </row>
    <row r="2166" spans="13:17" ht="12.75">
      <c r="M2166" s="531"/>
      <c r="Q2166" s="531"/>
    </row>
    <row r="2167" spans="13:17" ht="12.75">
      <c r="M2167" s="531"/>
      <c r="Q2167" s="531"/>
    </row>
    <row r="2168" spans="13:17" ht="12.75">
      <c r="M2168" s="531"/>
      <c r="Q2168" s="531"/>
    </row>
    <row r="2169" spans="13:17" ht="12.75">
      <c r="M2169" s="531"/>
      <c r="Q2169" s="531"/>
    </row>
    <row r="2170" spans="13:17" ht="12.75">
      <c r="M2170" s="531"/>
      <c r="Q2170" s="531"/>
    </row>
    <row r="2171" spans="13:17" ht="12.75">
      <c r="M2171" s="531"/>
      <c r="Q2171" s="531"/>
    </row>
    <row r="2172" spans="13:17" ht="12.75">
      <c r="M2172" s="531"/>
      <c r="Q2172" s="531"/>
    </row>
    <row r="2173" spans="13:17" ht="12.75">
      <c r="M2173" s="531"/>
      <c r="Q2173" s="531"/>
    </row>
    <row r="2174" spans="13:17" ht="12.75">
      <c r="M2174" s="531"/>
      <c r="Q2174" s="531"/>
    </row>
    <row r="2175" spans="13:17" ht="12.75">
      <c r="M2175" s="531"/>
      <c r="Q2175" s="531"/>
    </row>
    <row r="2176" spans="13:17" ht="12.75">
      <c r="M2176" s="531"/>
      <c r="Q2176" s="531"/>
    </row>
    <row r="2177" spans="13:17" ht="12.75">
      <c r="M2177" s="531"/>
      <c r="Q2177" s="531"/>
    </row>
    <row r="2178" spans="13:17" ht="12.75">
      <c r="M2178" s="531"/>
      <c r="Q2178" s="531"/>
    </row>
    <row r="2179" spans="13:17" ht="12.75">
      <c r="M2179" s="531"/>
      <c r="Q2179" s="531"/>
    </row>
    <row r="2180" spans="13:17" ht="12.75">
      <c r="M2180" s="531"/>
      <c r="Q2180" s="531"/>
    </row>
    <row r="2181" spans="13:17" ht="12.75">
      <c r="M2181" s="531"/>
      <c r="Q2181" s="531"/>
    </row>
    <row r="2182" spans="13:17" ht="12.75">
      <c r="M2182" s="531"/>
      <c r="Q2182" s="531"/>
    </row>
    <row r="2183" spans="13:17" ht="12.75">
      <c r="M2183" s="531"/>
      <c r="Q2183" s="531"/>
    </row>
    <row r="2184" spans="13:17" ht="12.75">
      <c r="M2184" s="531"/>
      <c r="Q2184" s="531"/>
    </row>
    <row r="2185" spans="13:17" ht="12.75">
      <c r="M2185" s="531"/>
      <c r="Q2185" s="531"/>
    </row>
    <row r="2186" spans="13:17" ht="12.75">
      <c r="M2186" s="531"/>
      <c r="Q2186" s="531"/>
    </row>
    <row r="2187" spans="13:17" ht="12.75">
      <c r="M2187" s="531"/>
      <c r="Q2187" s="531"/>
    </row>
    <row r="2188" spans="13:17" ht="12.75">
      <c r="M2188" s="531"/>
      <c r="Q2188" s="531"/>
    </row>
    <row r="2189" spans="13:17" ht="12.75">
      <c r="M2189" s="531"/>
      <c r="Q2189" s="531"/>
    </row>
    <row r="2190" spans="13:17" ht="12.75">
      <c r="M2190" s="531"/>
      <c r="Q2190" s="531"/>
    </row>
    <row r="2191" spans="13:17" ht="12.75">
      <c r="M2191" s="531"/>
      <c r="Q2191" s="531"/>
    </row>
    <row r="2192" spans="13:17" ht="12.75">
      <c r="M2192" s="531"/>
      <c r="Q2192" s="531"/>
    </row>
    <row r="2193" spans="13:17" ht="12.75">
      <c r="M2193" s="531"/>
      <c r="Q2193" s="531"/>
    </row>
    <row r="2194" spans="13:17" ht="12.75">
      <c r="M2194" s="531"/>
      <c r="Q2194" s="531"/>
    </row>
    <row r="2195" spans="13:17" ht="12.75">
      <c r="M2195" s="531"/>
      <c r="Q2195" s="531"/>
    </row>
    <row r="2196" spans="13:17" ht="12.75">
      <c r="M2196" s="531"/>
      <c r="Q2196" s="531"/>
    </row>
    <row r="2197" spans="13:17" ht="12.75">
      <c r="M2197" s="531"/>
      <c r="Q2197" s="531"/>
    </row>
    <row r="2198" spans="13:17" ht="12.75">
      <c r="M2198" s="531"/>
      <c r="Q2198" s="531"/>
    </row>
    <row r="2199" spans="13:17" ht="12.75">
      <c r="M2199" s="531"/>
      <c r="Q2199" s="531"/>
    </row>
    <row r="2200" spans="13:17" ht="12.75">
      <c r="M2200" s="531"/>
      <c r="Q2200" s="531"/>
    </row>
    <row r="2201" spans="13:17" ht="12.75">
      <c r="M2201" s="531"/>
      <c r="Q2201" s="531"/>
    </row>
    <row r="2202" spans="13:17" ht="12.75">
      <c r="M2202" s="531"/>
      <c r="Q2202" s="531"/>
    </row>
    <row r="2203" spans="13:17" ht="12.75">
      <c r="M2203" s="531"/>
      <c r="Q2203" s="531"/>
    </row>
    <row r="2204" spans="13:17" ht="12.75">
      <c r="M2204" s="531"/>
      <c r="Q2204" s="531"/>
    </row>
    <row r="2205" spans="13:17" ht="12.75">
      <c r="M2205" s="531"/>
      <c r="Q2205" s="531"/>
    </row>
    <row r="2206" spans="13:17" ht="12.75">
      <c r="M2206" s="531"/>
      <c r="Q2206" s="531"/>
    </row>
    <row r="2207" spans="13:17" ht="12.75">
      <c r="M2207" s="531"/>
      <c r="Q2207" s="531"/>
    </row>
    <row r="2208" spans="13:17" ht="12.75">
      <c r="M2208" s="531"/>
      <c r="Q2208" s="531"/>
    </row>
    <row r="2209" spans="13:17" ht="12.75">
      <c r="M2209" s="531"/>
      <c r="Q2209" s="531"/>
    </row>
    <row r="2210" spans="13:17" ht="12.75">
      <c r="M2210" s="531"/>
      <c r="Q2210" s="531"/>
    </row>
    <row r="2211" spans="13:17" ht="12.75">
      <c r="M2211" s="531"/>
      <c r="Q2211" s="531"/>
    </row>
    <row r="2212" spans="13:17" ht="12.75">
      <c r="M2212" s="531"/>
      <c r="Q2212" s="531"/>
    </row>
    <row r="2213" spans="13:17" ht="12.75">
      <c r="M2213" s="531"/>
      <c r="Q2213" s="531"/>
    </row>
    <row r="2214" spans="13:17" ht="12.75">
      <c r="M2214" s="531"/>
      <c r="Q2214" s="531"/>
    </row>
    <row r="2215" spans="13:17" ht="12.75">
      <c r="M2215" s="531"/>
      <c r="Q2215" s="531"/>
    </row>
    <row r="2216" spans="13:17" ht="12.75">
      <c r="M2216" s="531"/>
      <c r="Q2216" s="531"/>
    </row>
    <row r="2217" spans="13:17" ht="12.75">
      <c r="M2217" s="531"/>
      <c r="Q2217" s="531"/>
    </row>
    <row r="2218" spans="13:17" ht="12.75">
      <c r="M2218" s="531"/>
      <c r="Q2218" s="531"/>
    </row>
    <row r="2219" spans="13:17" ht="12.75">
      <c r="M2219" s="531"/>
      <c r="Q2219" s="531"/>
    </row>
    <row r="2220" spans="13:17" ht="12.75">
      <c r="M2220" s="531"/>
      <c r="Q2220" s="531"/>
    </row>
    <row r="2221" spans="13:17" ht="12.75">
      <c r="M2221" s="531"/>
      <c r="Q2221" s="531"/>
    </row>
    <row r="2222" spans="13:17" ht="12.75">
      <c r="M2222" s="531"/>
      <c r="Q2222" s="531"/>
    </row>
    <row r="2223" spans="13:17" ht="12.75">
      <c r="M2223" s="531"/>
      <c r="Q2223" s="531"/>
    </row>
    <row r="2224" spans="13:17" ht="12.75">
      <c r="M2224" s="531"/>
      <c r="Q2224" s="531"/>
    </row>
    <row r="2225" spans="13:17" ht="12.75">
      <c r="M2225" s="531"/>
      <c r="Q2225" s="531"/>
    </row>
    <row r="2226" spans="13:17" ht="12.75">
      <c r="M2226" s="531"/>
      <c r="Q2226" s="531"/>
    </row>
    <row r="2227" spans="13:17" ht="12.75">
      <c r="M2227" s="531"/>
      <c r="Q2227" s="531"/>
    </row>
    <row r="2228" spans="13:17" ht="12.75">
      <c r="M2228" s="531"/>
      <c r="Q2228" s="531"/>
    </row>
    <row r="2229" spans="13:17" ht="12.75">
      <c r="M2229" s="531"/>
      <c r="Q2229" s="531"/>
    </row>
    <row r="2230" spans="13:17" ht="12.75">
      <c r="M2230" s="531"/>
      <c r="Q2230" s="531"/>
    </row>
    <row r="2231" spans="13:17" ht="12.75">
      <c r="M2231" s="531"/>
      <c r="Q2231" s="531"/>
    </row>
    <row r="2232" spans="13:17" ht="12.75">
      <c r="M2232" s="531"/>
      <c r="Q2232" s="531"/>
    </row>
    <row r="2233" spans="13:17" ht="12.75">
      <c r="M2233" s="531"/>
      <c r="Q2233" s="531"/>
    </row>
    <row r="2234" spans="13:17" ht="12.75">
      <c r="M2234" s="531"/>
      <c r="Q2234" s="531"/>
    </row>
    <row r="2235" spans="13:17" ht="12.75">
      <c r="M2235" s="531"/>
      <c r="Q2235" s="531"/>
    </row>
    <row r="2236" spans="13:17" ht="12.75">
      <c r="M2236" s="531"/>
      <c r="Q2236" s="531"/>
    </row>
    <row r="2237" spans="13:17" ht="12.75">
      <c r="M2237" s="531"/>
      <c r="Q2237" s="531"/>
    </row>
    <row r="2238" spans="13:17" ht="12.75">
      <c r="M2238" s="531"/>
      <c r="Q2238" s="531"/>
    </row>
    <row r="2239" spans="13:17" ht="12.75">
      <c r="M2239" s="531"/>
      <c r="Q2239" s="531"/>
    </row>
    <row r="2240" spans="13:17" ht="12.75">
      <c r="M2240" s="531"/>
      <c r="Q2240" s="531"/>
    </row>
    <row r="2241" spans="13:17" ht="12.75">
      <c r="M2241" s="531"/>
      <c r="Q2241" s="531"/>
    </row>
    <row r="2242" spans="13:17" ht="12.75">
      <c r="M2242" s="531"/>
      <c r="Q2242" s="531"/>
    </row>
    <row r="2243" spans="13:17" ht="12.75">
      <c r="M2243" s="531"/>
      <c r="Q2243" s="531"/>
    </row>
    <row r="2244" spans="13:17" ht="12.75">
      <c r="M2244" s="531"/>
      <c r="Q2244" s="531"/>
    </row>
    <row r="2245" spans="13:17" ht="12.75">
      <c r="M2245" s="531"/>
      <c r="Q2245" s="531"/>
    </row>
    <row r="2246" spans="13:17" ht="12.75">
      <c r="M2246" s="531"/>
      <c r="Q2246" s="531"/>
    </row>
    <row r="2247" spans="13:17" ht="12.75">
      <c r="M2247" s="531"/>
      <c r="Q2247" s="531"/>
    </row>
    <row r="2248" spans="13:17" ht="12.75">
      <c r="M2248" s="531"/>
      <c r="Q2248" s="531"/>
    </row>
    <row r="2249" spans="13:17" ht="12.75">
      <c r="M2249" s="531"/>
      <c r="Q2249" s="531"/>
    </row>
    <row r="2250" spans="13:17" ht="12.75">
      <c r="M2250" s="531"/>
      <c r="Q2250" s="531"/>
    </row>
    <row r="2251" spans="13:17" ht="12.75">
      <c r="M2251" s="531"/>
      <c r="Q2251" s="531"/>
    </row>
    <row r="2252" spans="13:17" ht="12.75">
      <c r="M2252" s="531"/>
      <c r="Q2252" s="531"/>
    </row>
    <row r="2253" spans="13:17" ht="12.75">
      <c r="M2253" s="531"/>
      <c r="Q2253" s="531"/>
    </row>
    <row r="2254" spans="13:17" ht="12.75">
      <c r="M2254" s="531"/>
      <c r="Q2254" s="531"/>
    </row>
    <row r="2255" spans="13:17" ht="12.75">
      <c r="M2255" s="531"/>
      <c r="Q2255" s="531"/>
    </row>
    <row r="2256" spans="13:17" ht="12.75">
      <c r="M2256" s="531"/>
      <c r="Q2256" s="531"/>
    </row>
    <row r="2257" spans="13:17" ht="12.75">
      <c r="M2257" s="531"/>
      <c r="Q2257" s="531"/>
    </row>
    <row r="2258" spans="13:17" ht="12.75">
      <c r="M2258" s="531"/>
      <c r="Q2258" s="531"/>
    </row>
    <row r="2259" spans="13:17" ht="12.75">
      <c r="M2259" s="531"/>
      <c r="Q2259" s="531"/>
    </row>
    <row r="2260" spans="13:17" ht="12.75">
      <c r="M2260" s="531"/>
      <c r="Q2260" s="531"/>
    </row>
    <row r="2261" spans="13:17" ht="12.75">
      <c r="M2261" s="531"/>
      <c r="Q2261" s="531"/>
    </row>
    <row r="2262" spans="13:17" ht="12.75">
      <c r="M2262" s="531"/>
      <c r="Q2262" s="531"/>
    </row>
    <row r="2263" spans="13:17" ht="12.75">
      <c r="M2263" s="531"/>
      <c r="Q2263" s="531"/>
    </row>
    <row r="2264" spans="13:17" ht="12.75">
      <c r="M2264" s="531"/>
      <c r="Q2264" s="531"/>
    </row>
    <row r="2265" spans="13:17" ht="12.75">
      <c r="M2265" s="531"/>
      <c r="Q2265" s="531"/>
    </row>
    <row r="2266" spans="13:17" ht="12.75">
      <c r="M2266" s="531"/>
      <c r="Q2266" s="531"/>
    </row>
    <row r="2267" spans="13:17" ht="12.75">
      <c r="M2267" s="531"/>
      <c r="Q2267" s="531"/>
    </row>
    <row r="2268" spans="13:17" ht="12.75">
      <c r="M2268" s="531"/>
      <c r="Q2268" s="531"/>
    </row>
    <row r="2269" spans="13:17" ht="12.75">
      <c r="M2269" s="531"/>
      <c r="Q2269" s="531"/>
    </row>
    <row r="2270" spans="13:17" ht="12.75">
      <c r="M2270" s="531"/>
      <c r="Q2270" s="531"/>
    </row>
    <row r="2271" spans="13:17" ht="12.75">
      <c r="M2271" s="531"/>
      <c r="Q2271" s="531"/>
    </row>
    <row r="2272" spans="13:17" ht="12.75">
      <c r="M2272" s="531"/>
      <c r="Q2272" s="531"/>
    </row>
    <row r="2273" spans="13:17" ht="12.75">
      <c r="M2273" s="531"/>
      <c r="Q2273" s="531"/>
    </row>
    <row r="2274" spans="13:17" ht="12.75">
      <c r="M2274" s="531"/>
      <c r="Q2274" s="531"/>
    </row>
    <row r="2275" spans="13:17" ht="12.75">
      <c r="M2275" s="531"/>
      <c r="Q2275" s="531"/>
    </row>
    <row r="2276" spans="13:17" ht="12.75">
      <c r="M2276" s="531"/>
      <c r="Q2276" s="531"/>
    </row>
    <row r="2277" spans="13:17" ht="12.75">
      <c r="M2277" s="531"/>
      <c r="Q2277" s="531"/>
    </row>
    <row r="2278" spans="13:17" ht="12.75">
      <c r="M2278" s="531"/>
      <c r="Q2278" s="531"/>
    </row>
    <row r="2279" spans="13:17" ht="12.75">
      <c r="M2279" s="531"/>
      <c r="Q2279" s="531"/>
    </row>
    <row r="2280" spans="13:17" ht="12.75">
      <c r="M2280" s="531"/>
      <c r="Q2280" s="531"/>
    </row>
    <row r="2281" spans="13:17" ht="12.75">
      <c r="M2281" s="531"/>
      <c r="Q2281" s="531"/>
    </row>
    <row r="2282" spans="13:17" ht="12.75">
      <c r="M2282" s="531"/>
      <c r="Q2282" s="531"/>
    </row>
    <row r="2283" spans="13:17" ht="12.75">
      <c r="M2283" s="531"/>
      <c r="Q2283" s="531"/>
    </row>
    <row r="2284" spans="13:17" ht="12.75">
      <c r="M2284" s="531"/>
      <c r="Q2284" s="531"/>
    </row>
    <row r="2285" spans="13:17" ht="12.75">
      <c r="M2285" s="531"/>
      <c r="Q2285" s="531"/>
    </row>
    <row r="2286" spans="13:17" ht="12.75">
      <c r="M2286" s="531"/>
      <c r="Q2286" s="531"/>
    </row>
    <row r="2287" spans="13:17" ht="12.75">
      <c r="M2287" s="531"/>
      <c r="Q2287" s="531"/>
    </row>
    <row r="2288" spans="13:17" ht="12.75">
      <c r="M2288" s="531"/>
      <c r="Q2288" s="531"/>
    </row>
    <row r="2289" spans="13:17" ht="12.75">
      <c r="M2289" s="531"/>
      <c r="Q2289" s="531"/>
    </row>
    <row r="2290" spans="13:17" ht="12.75">
      <c r="M2290" s="531"/>
      <c r="Q2290" s="531"/>
    </row>
    <row r="2291" spans="13:17" ht="12.75">
      <c r="M2291" s="531"/>
      <c r="Q2291" s="531"/>
    </row>
    <row r="2292" spans="13:17" ht="12.75">
      <c r="M2292" s="531"/>
      <c r="Q2292" s="531"/>
    </row>
    <row r="2293" spans="13:17" ht="12.75">
      <c r="M2293" s="531"/>
      <c r="Q2293" s="531"/>
    </row>
    <row r="2294" spans="13:17" ht="12.75">
      <c r="M2294" s="531"/>
      <c r="Q2294" s="531"/>
    </row>
    <row r="2295" spans="13:17" ht="12.75">
      <c r="M2295" s="531"/>
      <c r="Q2295" s="531"/>
    </row>
    <row r="2296" spans="13:17" ht="12.75">
      <c r="M2296" s="531"/>
      <c r="Q2296" s="531"/>
    </row>
    <row r="2297" spans="13:17" ht="12.75">
      <c r="M2297" s="531"/>
      <c r="Q2297" s="531"/>
    </row>
    <row r="2298" spans="13:17" ht="12.75">
      <c r="M2298" s="531"/>
      <c r="Q2298" s="531"/>
    </row>
    <row r="2299" spans="13:17" ht="12.75">
      <c r="M2299" s="531"/>
      <c r="Q2299" s="531"/>
    </row>
    <row r="2300" spans="13:17" ht="12.75">
      <c r="M2300" s="531"/>
      <c r="Q2300" s="531"/>
    </row>
    <row r="2301" spans="13:17" ht="12.75">
      <c r="M2301" s="531"/>
      <c r="Q2301" s="531"/>
    </row>
    <row r="2302" spans="13:17" ht="12.75">
      <c r="M2302" s="531"/>
      <c r="Q2302" s="531"/>
    </row>
    <row r="2303" spans="13:17" ht="12.75">
      <c r="M2303" s="531"/>
      <c r="Q2303" s="531"/>
    </row>
    <row r="2304" spans="13:17" ht="12.75">
      <c r="M2304" s="531"/>
      <c r="Q2304" s="531"/>
    </row>
    <row r="2305" spans="13:17" ht="12.75">
      <c r="M2305" s="531"/>
      <c r="Q2305" s="531"/>
    </row>
    <row r="2306" spans="13:17" ht="12.75">
      <c r="M2306" s="531"/>
      <c r="Q2306" s="531"/>
    </row>
    <row r="2307" spans="13:17" ht="12.75">
      <c r="M2307" s="531"/>
      <c r="Q2307" s="531"/>
    </row>
    <row r="2308" spans="13:17" ht="12.75">
      <c r="M2308" s="531"/>
      <c r="Q2308" s="531"/>
    </row>
    <row r="2309" spans="13:17" ht="12.75">
      <c r="M2309" s="531"/>
      <c r="Q2309" s="531"/>
    </row>
    <row r="2310" spans="13:17" ht="12.75">
      <c r="M2310" s="531"/>
      <c r="Q2310" s="531"/>
    </row>
    <row r="2311" spans="13:17" ht="12.75">
      <c r="M2311" s="531"/>
      <c r="Q2311" s="531"/>
    </row>
    <row r="2312" spans="13:17" ht="12.75">
      <c r="M2312" s="531"/>
      <c r="Q2312" s="531"/>
    </row>
    <row r="2313" spans="13:17" ht="12.75">
      <c r="M2313" s="531"/>
      <c r="Q2313" s="531"/>
    </row>
    <row r="2314" spans="13:17" ht="12.75">
      <c r="M2314" s="531"/>
      <c r="Q2314" s="531"/>
    </row>
    <row r="2315" spans="13:17" ht="12.75">
      <c r="M2315" s="531"/>
      <c r="Q2315" s="531"/>
    </row>
    <row r="2316" spans="13:17" ht="12.75">
      <c r="M2316" s="531"/>
      <c r="Q2316" s="531"/>
    </row>
    <row r="2317" spans="13:17" ht="12.75">
      <c r="M2317" s="531"/>
      <c r="Q2317" s="531"/>
    </row>
    <row r="2318" spans="13:17" ht="12.75">
      <c r="M2318" s="531"/>
      <c r="Q2318" s="531"/>
    </row>
    <row r="2319" spans="13:17" ht="12.75">
      <c r="M2319" s="531"/>
      <c r="Q2319" s="531"/>
    </row>
    <row r="2320" spans="13:17" ht="12.75">
      <c r="M2320" s="531"/>
      <c r="Q2320" s="531"/>
    </row>
    <row r="2321" spans="13:17" ht="12.75">
      <c r="M2321" s="531"/>
      <c r="Q2321" s="531"/>
    </row>
    <row r="2322" spans="13:17" ht="12.75">
      <c r="M2322" s="531"/>
      <c r="Q2322" s="531"/>
    </row>
    <row r="2323" spans="13:17" ht="12.75">
      <c r="M2323" s="531"/>
      <c r="Q2323" s="531"/>
    </row>
    <row r="2324" spans="13:17" ht="12.75">
      <c r="M2324" s="531"/>
      <c r="Q2324" s="531"/>
    </row>
    <row r="2325" spans="13:17" ht="12.75">
      <c r="M2325" s="531"/>
      <c r="Q2325" s="531"/>
    </row>
    <row r="2326" spans="13:17" ht="12.75">
      <c r="M2326" s="531"/>
      <c r="Q2326" s="531"/>
    </row>
    <row r="2327" spans="13:17" ht="12.75">
      <c r="M2327" s="531"/>
      <c r="Q2327" s="531"/>
    </row>
    <row r="2328" spans="13:17" ht="12.75">
      <c r="M2328" s="531"/>
      <c r="Q2328" s="531"/>
    </row>
    <row r="2329" spans="13:17" ht="12.75">
      <c r="M2329" s="531"/>
      <c r="Q2329" s="531"/>
    </row>
    <row r="2330" spans="13:17" ht="12.75">
      <c r="M2330" s="531"/>
      <c r="Q2330" s="531"/>
    </row>
    <row r="2331" spans="13:17" ht="12.75">
      <c r="M2331" s="531"/>
      <c r="Q2331" s="531"/>
    </row>
    <row r="2332" spans="13:17" ht="12.75">
      <c r="M2332" s="531"/>
      <c r="Q2332" s="531"/>
    </row>
    <row r="2333" spans="13:17" ht="12.75">
      <c r="M2333" s="531"/>
      <c r="Q2333" s="531"/>
    </row>
    <row r="2334" spans="13:17" ht="12.75">
      <c r="M2334" s="531"/>
      <c r="Q2334" s="531"/>
    </row>
    <row r="2335" spans="13:17" ht="12.75">
      <c r="M2335" s="531"/>
      <c r="Q2335" s="531"/>
    </row>
    <row r="2336" spans="13:17" ht="12.75">
      <c r="M2336" s="531"/>
      <c r="Q2336" s="531"/>
    </row>
    <row r="2337" spans="13:17" ht="12.75">
      <c r="M2337" s="531"/>
      <c r="Q2337" s="531"/>
    </row>
    <row r="2338" spans="13:17" ht="12.75">
      <c r="M2338" s="531"/>
      <c r="Q2338" s="531"/>
    </row>
    <row r="2339" spans="13:17" ht="12.75">
      <c r="M2339" s="531"/>
      <c r="Q2339" s="531"/>
    </row>
    <row r="2340" spans="13:17" ht="12.75">
      <c r="M2340" s="531"/>
      <c r="Q2340" s="531"/>
    </row>
    <row r="2341" spans="13:17" ht="12.75">
      <c r="M2341" s="531"/>
      <c r="Q2341" s="531"/>
    </row>
    <row r="2342" spans="13:17" ht="12.75">
      <c r="M2342" s="531"/>
      <c r="Q2342" s="531"/>
    </row>
    <row r="2343" spans="13:17" ht="12.75">
      <c r="M2343" s="531"/>
      <c r="Q2343" s="531"/>
    </row>
    <row r="2344" spans="13:17" ht="12.75">
      <c r="M2344" s="531"/>
      <c r="Q2344" s="531"/>
    </row>
    <row r="2345" spans="13:17" ht="12.75">
      <c r="M2345" s="531"/>
      <c r="Q2345" s="531"/>
    </row>
    <row r="2346" spans="13:17" ht="12.75">
      <c r="M2346" s="531"/>
      <c r="Q2346" s="531"/>
    </row>
    <row r="2347" spans="13:17" ht="12.75">
      <c r="M2347" s="531"/>
      <c r="Q2347" s="531"/>
    </row>
    <row r="2348" spans="13:17" ht="12.75">
      <c r="M2348" s="531"/>
      <c r="Q2348" s="531"/>
    </row>
    <row r="2349" spans="13:17" ht="12.75">
      <c r="M2349" s="531"/>
      <c r="Q2349" s="531"/>
    </row>
    <row r="2350" spans="13:17" ht="12.75">
      <c r="M2350" s="531"/>
      <c r="Q2350" s="531"/>
    </row>
    <row r="2351" spans="13:17" ht="12.75">
      <c r="M2351" s="531"/>
      <c r="Q2351" s="531"/>
    </row>
    <row r="2352" spans="13:17" ht="12.75">
      <c r="M2352" s="531"/>
      <c r="Q2352" s="531"/>
    </row>
    <row r="2353" spans="13:17" ht="12.75">
      <c r="M2353" s="531"/>
      <c r="Q2353" s="531"/>
    </row>
    <row r="2354" spans="13:17" ht="12.75">
      <c r="M2354" s="531"/>
      <c r="Q2354" s="531"/>
    </row>
    <row r="2355" spans="13:17" ht="12.75">
      <c r="M2355" s="531"/>
      <c r="Q2355" s="531"/>
    </row>
    <row r="2356" spans="13:17" ht="12.75">
      <c r="M2356" s="531"/>
      <c r="Q2356" s="531"/>
    </row>
    <row r="2357" spans="13:17" ht="12.75">
      <c r="M2357" s="531"/>
      <c r="Q2357" s="531"/>
    </row>
    <row r="2358" spans="13:17" ht="12.75">
      <c r="M2358" s="531"/>
      <c r="Q2358" s="531"/>
    </row>
    <row r="2359" spans="13:17" ht="12.75">
      <c r="M2359" s="531"/>
      <c r="Q2359" s="531"/>
    </row>
    <row r="2360" spans="13:17" ht="12.75">
      <c r="M2360" s="531"/>
      <c r="Q2360" s="531"/>
    </row>
    <row r="2361" spans="13:17" ht="12.75">
      <c r="M2361" s="531"/>
      <c r="Q2361" s="531"/>
    </row>
    <row r="2362" spans="13:17" ht="12.75">
      <c r="M2362" s="531"/>
      <c r="Q2362" s="531"/>
    </row>
    <row r="2363" spans="13:17" ht="12.75">
      <c r="M2363" s="531"/>
      <c r="Q2363" s="531"/>
    </row>
    <row r="2364" spans="13:17" ht="12.75">
      <c r="M2364" s="531"/>
      <c r="Q2364" s="531"/>
    </row>
    <row r="2365" spans="13:17" ht="12.75">
      <c r="M2365" s="531"/>
      <c r="Q2365" s="531"/>
    </row>
    <row r="2366" spans="13:17" ht="12.75">
      <c r="M2366" s="531"/>
      <c r="Q2366" s="531"/>
    </row>
    <row r="2367" spans="13:17" ht="12.75">
      <c r="M2367" s="531"/>
      <c r="Q2367" s="531"/>
    </row>
    <row r="2368" spans="13:17" ht="12.75">
      <c r="M2368" s="531"/>
      <c r="Q2368" s="531"/>
    </row>
    <row r="2369" spans="13:17" ht="12.75">
      <c r="M2369" s="531"/>
      <c r="Q2369" s="531"/>
    </row>
    <row r="2370" spans="13:17" ht="12.75">
      <c r="M2370" s="531"/>
      <c r="Q2370" s="531"/>
    </row>
    <row r="2371" spans="13:17" ht="12.75">
      <c r="M2371" s="531"/>
      <c r="Q2371" s="531"/>
    </row>
    <row r="2372" spans="13:17" ht="12.75">
      <c r="M2372" s="531"/>
      <c r="Q2372" s="531"/>
    </row>
    <row r="2373" spans="13:17" ht="12.75">
      <c r="M2373" s="531"/>
      <c r="Q2373" s="531"/>
    </row>
    <row r="2374" spans="13:17" ht="12.75">
      <c r="M2374" s="531"/>
      <c r="Q2374" s="531"/>
    </row>
    <row r="2375" spans="13:17" ht="12.75">
      <c r="M2375" s="531"/>
      <c r="Q2375" s="531"/>
    </row>
    <row r="2376" spans="13:17" ht="12.75">
      <c r="M2376" s="531"/>
      <c r="Q2376" s="531"/>
    </row>
    <row r="2377" spans="13:17" ht="12.75">
      <c r="M2377" s="531"/>
      <c r="Q2377" s="531"/>
    </row>
    <row r="2378" spans="13:17" ht="12.75">
      <c r="M2378" s="531"/>
      <c r="Q2378" s="531"/>
    </row>
    <row r="2379" spans="13:17" ht="12.75">
      <c r="M2379" s="531"/>
      <c r="Q2379" s="531"/>
    </row>
    <row r="2380" spans="13:17" ht="12.75">
      <c r="M2380" s="531"/>
      <c r="Q2380" s="531"/>
    </row>
    <row r="2381" spans="13:17" ht="12.75">
      <c r="M2381" s="531"/>
      <c r="Q2381" s="531"/>
    </row>
    <row r="2382" spans="13:17" ht="12.75">
      <c r="M2382" s="531"/>
      <c r="Q2382" s="531"/>
    </row>
    <row r="2383" spans="13:17" ht="12.75">
      <c r="M2383" s="531"/>
      <c r="Q2383" s="531"/>
    </row>
    <row r="2384" spans="13:17" ht="12.75">
      <c r="M2384" s="531"/>
      <c r="Q2384" s="531"/>
    </row>
    <row r="2385" spans="13:17" ht="12.75">
      <c r="M2385" s="531"/>
      <c r="Q2385" s="531"/>
    </row>
    <row r="2386" spans="13:17" ht="12.75">
      <c r="M2386" s="531"/>
      <c r="Q2386" s="531"/>
    </row>
    <row r="2387" spans="13:17" ht="12.75">
      <c r="M2387" s="531"/>
      <c r="Q2387" s="531"/>
    </row>
    <row r="2388" spans="13:17" ht="12.75">
      <c r="M2388" s="531"/>
      <c r="Q2388" s="531"/>
    </row>
    <row r="2389" spans="13:17" ht="12.75">
      <c r="M2389" s="531"/>
      <c r="Q2389" s="531"/>
    </row>
    <row r="2390" spans="13:17" ht="12.75">
      <c r="M2390" s="531"/>
      <c r="Q2390" s="531"/>
    </row>
    <row r="2391" spans="13:17" ht="12.75">
      <c r="M2391" s="531"/>
      <c r="Q2391" s="531"/>
    </row>
    <row r="2392" spans="13:17" ht="12.75">
      <c r="M2392" s="531"/>
      <c r="Q2392" s="531"/>
    </row>
    <row r="2393" spans="13:17" ht="12.75">
      <c r="M2393" s="531"/>
      <c r="Q2393" s="531"/>
    </row>
    <row r="2394" spans="13:17" ht="12.75">
      <c r="M2394" s="531"/>
      <c r="Q2394" s="531"/>
    </row>
    <row r="2395" spans="13:17" ht="12.75">
      <c r="M2395" s="531"/>
      <c r="Q2395" s="531"/>
    </row>
    <row r="2396" spans="13:17" ht="12.75">
      <c r="M2396" s="531"/>
      <c r="Q2396" s="531"/>
    </row>
    <row r="2397" spans="13:17" ht="12.75">
      <c r="M2397" s="531"/>
      <c r="Q2397" s="531"/>
    </row>
    <row r="2398" spans="13:17" ht="12.75">
      <c r="M2398" s="531"/>
      <c r="Q2398" s="531"/>
    </row>
    <row r="2399" spans="13:17" ht="12.75">
      <c r="M2399" s="531"/>
      <c r="Q2399" s="531"/>
    </row>
    <row r="2400" spans="13:17" ht="12.75">
      <c r="M2400" s="531"/>
      <c r="Q2400" s="531"/>
    </row>
    <row r="2401" spans="13:17" ht="12.75">
      <c r="M2401" s="531"/>
      <c r="Q2401" s="531"/>
    </row>
    <row r="2402" spans="13:17" ht="12.75">
      <c r="M2402" s="531"/>
      <c r="Q2402" s="531"/>
    </row>
    <row r="2403" spans="13:17" ht="12.75">
      <c r="M2403" s="531"/>
      <c r="Q2403" s="531"/>
    </row>
    <row r="2404" spans="13:17" ht="12.75">
      <c r="M2404" s="531"/>
      <c r="Q2404" s="531"/>
    </row>
    <row r="2405" spans="13:17" ht="12.75">
      <c r="M2405" s="531"/>
      <c r="Q2405" s="531"/>
    </row>
    <row r="2406" spans="13:17" ht="12.75">
      <c r="M2406" s="531"/>
      <c r="Q2406" s="531"/>
    </row>
    <row r="2407" spans="13:17" ht="12.75">
      <c r="M2407" s="531"/>
      <c r="Q2407" s="531"/>
    </row>
    <row r="2408" spans="13:17" ht="12.75">
      <c r="M2408" s="531"/>
      <c r="Q2408" s="531"/>
    </row>
    <row r="2409" spans="13:17" ht="12.75">
      <c r="M2409" s="531"/>
      <c r="Q2409" s="531"/>
    </row>
    <row r="2410" spans="13:17" ht="12.75">
      <c r="M2410" s="531"/>
      <c r="Q2410" s="531"/>
    </row>
    <row r="2411" spans="13:17" ht="12.75">
      <c r="M2411" s="531"/>
      <c r="Q2411" s="531"/>
    </row>
    <row r="2412" spans="13:17" ht="12.75">
      <c r="M2412" s="531"/>
      <c r="Q2412" s="531"/>
    </row>
    <row r="2413" spans="13:17" ht="12.75">
      <c r="M2413" s="531"/>
      <c r="Q2413" s="531"/>
    </row>
    <row r="2414" spans="13:17" ht="12.75">
      <c r="M2414" s="531"/>
      <c r="Q2414" s="531"/>
    </row>
    <row r="2415" spans="13:17" ht="12.75">
      <c r="M2415" s="531"/>
      <c r="Q2415" s="531"/>
    </row>
    <row r="2416" spans="13:17" ht="12.75">
      <c r="M2416" s="531"/>
      <c r="Q2416" s="531"/>
    </row>
    <row r="2417" spans="13:17" ht="12.75">
      <c r="M2417" s="531"/>
      <c r="Q2417" s="531"/>
    </row>
    <row r="2418" spans="13:17" ht="12.75">
      <c r="M2418" s="531"/>
      <c r="Q2418" s="531"/>
    </row>
    <row r="2419" spans="13:17" ht="12.75">
      <c r="M2419" s="531"/>
      <c r="Q2419" s="531"/>
    </row>
    <row r="2420" spans="13:17" ht="12.75">
      <c r="M2420" s="531"/>
      <c r="Q2420" s="531"/>
    </row>
    <row r="2421" spans="13:17" ht="12.75">
      <c r="M2421" s="531"/>
      <c r="Q2421" s="531"/>
    </row>
    <row r="2422" spans="13:17" ht="12.75">
      <c r="M2422" s="531"/>
      <c r="Q2422" s="531"/>
    </row>
    <row r="2423" spans="13:17" ht="12.75">
      <c r="M2423" s="531"/>
      <c r="Q2423" s="531"/>
    </row>
    <row r="2424" spans="13:17" ht="12.75">
      <c r="M2424" s="531"/>
      <c r="Q2424" s="531"/>
    </row>
    <row r="2425" spans="13:17" ht="12.75">
      <c r="M2425" s="531"/>
      <c r="Q2425" s="531"/>
    </row>
    <row r="2426" spans="13:17" ht="12.75">
      <c r="M2426" s="531"/>
      <c r="Q2426" s="531"/>
    </row>
    <row r="2427" spans="13:17" ht="12.75">
      <c r="M2427" s="531"/>
      <c r="Q2427" s="531"/>
    </row>
    <row r="2428" spans="13:17" ht="12.75">
      <c r="M2428" s="531"/>
      <c r="Q2428" s="531"/>
    </row>
    <row r="2429" spans="13:17" ht="12.75">
      <c r="M2429" s="531"/>
      <c r="Q2429" s="531"/>
    </row>
    <row r="2430" spans="13:17" ht="12.75">
      <c r="M2430" s="531"/>
      <c r="Q2430" s="531"/>
    </row>
    <row r="2431" spans="13:17" ht="12.75">
      <c r="M2431" s="531"/>
      <c r="Q2431" s="531"/>
    </row>
    <row r="2432" spans="13:17" ht="12.75">
      <c r="M2432" s="531"/>
      <c r="Q2432" s="531"/>
    </row>
    <row r="2433" spans="13:17" ht="12.75">
      <c r="M2433" s="531"/>
      <c r="Q2433" s="531"/>
    </row>
    <row r="2434" spans="13:17" ht="12.75">
      <c r="M2434" s="531"/>
      <c r="Q2434" s="531"/>
    </row>
    <row r="2435" spans="13:17" ht="12.75">
      <c r="M2435" s="531"/>
      <c r="Q2435" s="531"/>
    </row>
    <row r="2436" spans="13:17" ht="12.75">
      <c r="M2436" s="531"/>
      <c r="Q2436" s="531"/>
    </row>
    <row r="2437" spans="13:17" ht="12.75">
      <c r="M2437" s="531"/>
      <c r="Q2437" s="531"/>
    </row>
    <row r="2438" spans="13:17" ht="12.75">
      <c r="M2438" s="531"/>
      <c r="Q2438" s="531"/>
    </row>
    <row r="2439" spans="13:17" ht="12.75">
      <c r="M2439" s="531"/>
      <c r="Q2439" s="531"/>
    </row>
    <row r="2440" spans="13:17" ht="12.75">
      <c r="M2440" s="531"/>
      <c r="Q2440" s="531"/>
    </row>
    <row r="2441" spans="13:17" ht="12.75">
      <c r="M2441" s="531"/>
      <c r="Q2441" s="531"/>
    </row>
    <row r="2442" spans="13:17" ht="12.75">
      <c r="M2442" s="531"/>
      <c r="Q2442" s="531"/>
    </row>
    <row r="2443" spans="13:17" ht="12.75">
      <c r="M2443" s="531"/>
      <c r="Q2443" s="531"/>
    </row>
    <row r="2444" spans="13:17" ht="12.75">
      <c r="M2444" s="531"/>
      <c r="Q2444" s="531"/>
    </row>
    <row r="2445" spans="13:17" ht="12.75">
      <c r="M2445" s="531"/>
      <c r="Q2445" s="531"/>
    </row>
    <row r="2446" spans="13:17" ht="12.75">
      <c r="M2446" s="531"/>
      <c r="Q2446" s="531"/>
    </row>
    <row r="2447" spans="13:17" ht="12.75">
      <c r="M2447" s="531"/>
      <c r="Q2447" s="531"/>
    </row>
    <row r="2448" spans="13:17" ht="12.75">
      <c r="M2448" s="531"/>
      <c r="Q2448" s="531"/>
    </row>
    <row r="2449" spans="13:17" ht="12.75">
      <c r="M2449" s="531"/>
      <c r="Q2449" s="531"/>
    </row>
    <row r="2450" spans="13:17" ht="12.75">
      <c r="M2450" s="531"/>
      <c r="Q2450" s="531"/>
    </row>
    <row r="2451" spans="13:17" ht="12.75">
      <c r="M2451" s="531"/>
      <c r="Q2451" s="531"/>
    </row>
    <row r="2452" spans="13:17" ht="12.75">
      <c r="M2452" s="531"/>
      <c r="Q2452" s="531"/>
    </row>
    <row r="2453" spans="13:17" ht="12.75">
      <c r="M2453" s="531"/>
      <c r="Q2453" s="531"/>
    </row>
    <row r="2454" spans="13:17" ht="12.75">
      <c r="M2454" s="531"/>
      <c r="Q2454" s="531"/>
    </row>
    <row r="2455" spans="13:17" ht="12.75">
      <c r="M2455" s="531"/>
      <c r="Q2455" s="531"/>
    </row>
    <row r="2456" spans="13:17" ht="12.75">
      <c r="M2456" s="531"/>
      <c r="Q2456" s="531"/>
    </row>
    <row r="2457" spans="13:17" ht="12.75">
      <c r="M2457" s="531"/>
      <c r="Q2457" s="531"/>
    </row>
    <row r="2458" spans="13:17" ht="12.75">
      <c r="M2458" s="531"/>
      <c r="Q2458" s="531"/>
    </row>
    <row r="2459" spans="13:17" ht="12.75">
      <c r="M2459" s="531"/>
      <c r="Q2459" s="531"/>
    </row>
    <row r="2460" spans="13:17" ht="12.75">
      <c r="M2460" s="531"/>
      <c r="Q2460" s="531"/>
    </row>
    <row r="2461" spans="13:17" ht="12.75">
      <c r="M2461" s="531"/>
      <c r="Q2461" s="531"/>
    </row>
    <row r="2462" spans="13:17" ht="12.75">
      <c r="M2462" s="531"/>
      <c r="Q2462" s="531"/>
    </row>
    <row r="2463" spans="13:17" ht="12.75">
      <c r="M2463" s="531"/>
      <c r="Q2463" s="531"/>
    </row>
    <row r="2464" spans="13:17" ht="12.75">
      <c r="M2464" s="531"/>
      <c r="Q2464" s="531"/>
    </row>
    <row r="2465" spans="13:17" ht="12.75">
      <c r="M2465" s="531"/>
      <c r="Q2465" s="531"/>
    </row>
    <row r="2466" spans="13:17" ht="12.75">
      <c r="M2466" s="531"/>
      <c r="Q2466" s="531"/>
    </row>
    <row r="2467" spans="13:17" ht="12.75">
      <c r="M2467" s="531"/>
      <c r="Q2467" s="531"/>
    </row>
    <row r="2468" spans="13:17" ht="12.75">
      <c r="M2468" s="531"/>
      <c r="Q2468" s="531"/>
    </row>
    <row r="2469" spans="13:17" ht="12.75">
      <c r="M2469" s="531"/>
      <c r="Q2469" s="531"/>
    </row>
    <row r="2470" spans="13:17" ht="12.75">
      <c r="M2470" s="531"/>
      <c r="Q2470" s="531"/>
    </row>
    <row r="2471" spans="13:17" ht="12.75">
      <c r="M2471" s="531"/>
      <c r="Q2471" s="531"/>
    </row>
    <row r="2472" spans="13:17" ht="12.75">
      <c r="M2472" s="531"/>
      <c r="Q2472" s="531"/>
    </row>
    <row r="2473" spans="13:17" ht="12.75">
      <c r="M2473" s="531"/>
      <c r="Q2473" s="531"/>
    </row>
    <row r="2474" spans="13:17" ht="12.75">
      <c r="M2474" s="531"/>
      <c r="Q2474" s="531"/>
    </row>
    <row r="2475" spans="13:17" ht="12.75">
      <c r="M2475" s="531"/>
      <c r="Q2475" s="531"/>
    </row>
    <row r="2476" spans="13:17" ht="12.75">
      <c r="M2476" s="531"/>
      <c r="Q2476" s="531"/>
    </row>
    <row r="2477" spans="13:17" ht="12.75">
      <c r="M2477" s="531"/>
      <c r="Q2477" s="531"/>
    </row>
    <row r="2478" spans="13:17" ht="12.75">
      <c r="M2478" s="531"/>
      <c r="Q2478" s="531"/>
    </row>
    <row r="2479" spans="13:17" ht="12.75">
      <c r="M2479" s="531"/>
      <c r="Q2479" s="531"/>
    </row>
    <row r="2480" spans="13:17" ht="12.75">
      <c r="M2480" s="531"/>
      <c r="Q2480" s="531"/>
    </row>
    <row r="2481" spans="13:17" ht="12.75">
      <c r="M2481" s="531"/>
      <c r="Q2481" s="531"/>
    </row>
    <row r="2482" spans="13:17" ht="12.75">
      <c r="M2482" s="531"/>
      <c r="Q2482" s="531"/>
    </row>
    <row r="2483" spans="13:17" ht="12.75">
      <c r="M2483" s="531"/>
      <c r="Q2483" s="531"/>
    </row>
    <row r="2484" spans="13:17" ht="12.75">
      <c r="M2484" s="531"/>
      <c r="Q2484" s="531"/>
    </row>
    <row r="2485" spans="13:17" ht="12.75">
      <c r="M2485" s="531"/>
      <c r="Q2485" s="531"/>
    </row>
    <row r="2486" spans="13:17" ht="12.75">
      <c r="M2486" s="531"/>
      <c r="Q2486" s="531"/>
    </row>
    <row r="2487" spans="13:17" ht="12.75">
      <c r="M2487" s="531"/>
      <c r="Q2487" s="531"/>
    </row>
    <row r="2488" spans="13:17" ht="12.75">
      <c r="M2488" s="531"/>
      <c r="Q2488" s="531"/>
    </row>
    <row r="2489" spans="13:17" ht="12.75">
      <c r="M2489" s="531"/>
      <c r="Q2489" s="531"/>
    </row>
    <row r="2490" spans="13:17" ht="12.75">
      <c r="M2490" s="531"/>
      <c r="Q2490" s="531"/>
    </row>
    <row r="2491" spans="13:17" ht="12.75">
      <c r="M2491" s="531"/>
      <c r="Q2491" s="531"/>
    </row>
    <row r="2492" spans="13:17" ht="12.75">
      <c r="M2492" s="531"/>
      <c r="Q2492" s="531"/>
    </row>
    <row r="2493" spans="13:17" ht="12.75">
      <c r="M2493" s="531"/>
      <c r="Q2493" s="531"/>
    </row>
    <row r="2494" spans="13:17" ht="12.75">
      <c r="M2494" s="531"/>
      <c r="Q2494" s="531"/>
    </row>
    <row r="2495" spans="13:17" ht="12.75">
      <c r="M2495" s="531"/>
      <c r="Q2495" s="531"/>
    </row>
    <row r="2496" spans="13:17" ht="12.75">
      <c r="M2496" s="531"/>
      <c r="Q2496" s="531"/>
    </row>
    <row r="2497" spans="13:17" ht="12.75">
      <c r="M2497" s="531"/>
      <c r="Q2497" s="531"/>
    </row>
    <row r="2498" spans="13:17" ht="12.75">
      <c r="M2498" s="531"/>
      <c r="Q2498" s="531"/>
    </row>
    <row r="2499" spans="13:17" ht="12.75">
      <c r="M2499" s="531"/>
      <c r="Q2499" s="531"/>
    </row>
    <row r="2500" spans="13:17" ht="12.75">
      <c r="M2500" s="531"/>
      <c r="Q2500" s="531"/>
    </row>
    <row r="2501" spans="13:17" ht="12.75">
      <c r="M2501" s="531"/>
      <c r="Q2501" s="531"/>
    </row>
    <row r="2502" spans="13:17" ht="12.75">
      <c r="M2502" s="531"/>
      <c r="Q2502" s="531"/>
    </row>
    <row r="2503" spans="13:17" ht="12.75">
      <c r="M2503" s="531"/>
      <c r="Q2503" s="531"/>
    </row>
    <row r="2504" spans="13:17" ht="12.75">
      <c r="M2504" s="531"/>
      <c r="Q2504" s="531"/>
    </row>
    <row r="2505" spans="13:17" ht="12.75">
      <c r="M2505" s="531"/>
      <c r="Q2505" s="531"/>
    </row>
    <row r="2506" spans="13:17" ht="12.75">
      <c r="M2506" s="531"/>
      <c r="Q2506" s="531"/>
    </row>
    <row r="2507" spans="13:17" ht="12.75">
      <c r="M2507" s="531"/>
      <c r="Q2507" s="531"/>
    </row>
    <row r="2508" spans="13:17" ht="12.75">
      <c r="M2508" s="531"/>
      <c r="Q2508" s="531"/>
    </row>
    <row r="2509" spans="13:17" ht="12.75">
      <c r="M2509" s="531"/>
      <c r="Q2509" s="531"/>
    </row>
    <row r="2510" spans="13:17" ht="12.75">
      <c r="M2510" s="531"/>
      <c r="Q2510" s="531"/>
    </row>
    <row r="2511" spans="13:17" ht="12.75">
      <c r="M2511" s="531"/>
      <c r="Q2511" s="531"/>
    </row>
    <row r="2512" spans="13:17" ht="12.75">
      <c r="M2512" s="531"/>
      <c r="Q2512" s="531"/>
    </row>
    <row r="2513" spans="13:17" ht="12.75">
      <c r="M2513" s="531"/>
      <c r="Q2513" s="531"/>
    </row>
    <row r="2514" spans="13:17" ht="12.75">
      <c r="M2514" s="531"/>
      <c r="Q2514" s="531"/>
    </row>
    <row r="2515" spans="13:17" ht="12.75">
      <c r="M2515" s="531"/>
      <c r="Q2515" s="531"/>
    </row>
    <row r="2516" spans="13:17" ht="12.75">
      <c r="M2516" s="531"/>
      <c r="Q2516" s="531"/>
    </row>
    <row r="2517" spans="13:17" ht="12.75">
      <c r="M2517" s="531"/>
      <c r="Q2517" s="531"/>
    </row>
    <row r="2518" spans="13:17" ht="12.75">
      <c r="M2518" s="531"/>
      <c r="Q2518" s="531"/>
    </row>
    <row r="2519" spans="13:17" ht="12.75">
      <c r="M2519" s="531"/>
      <c r="Q2519" s="531"/>
    </row>
    <row r="2520" spans="13:17" ht="12.75">
      <c r="M2520" s="531"/>
      <c r="Q2520" s="531"/>
    </row>
    <row r="2521" spans="13:17" ht="12.75">
      <c r="M2521" s="531"/>
      <c r="Q2521" s="531"/>
    </row>
    <row r="2522" spans="13:17" ht="12.75">
      <c r="M2522" s="531"/>
      <c r="Q2522" s="531"/>
    </row>
    <row r="2523" spans="13:17" ht="12.75">
      <c r="M2523" s="531"/>
      <c r="Q2523" s="531"/>
    </row>
    <row r="2524" spans="13:17" ht="12.75">
      <c r="M2524" s="531"/>
      <c r="Q2524" s="531"/>
    </row>
    <row r="2525" spans="13:17" ht="12.75">
      <c r="M2525" s="531"/>
      <c r="Q2525" s="531"/>
    </row>
    <row r="2526" spans="13:17" ht="12.75">
      <c r="M2526" s="531"/>
      <c r="Q2526" s="531"/>
    </row>
    <row r="2527" spans="13:17" ht="12.75">
      <c r="M2527" s="531"/>
      <c r="Q2527" s="531"/>
    </row>
    <row r="2528" spans="13:17" ht="12.75">
      <c r="M2528" s="531"/>
      <c r="Q2528" s="531"/>
    </row>
    <row r="2529" spans="13:17" ht="12.75">
      <c r="M2529" s="531"/>
      <c r="Q2529" s="531"/>
    </row>
    <row r="2530" spans="13:17" ht="12.75">
      <c r="M2530" s="531"/>
      <c r="Q2530" s="531"/>
    </row>
    <row r="2531" spans="13:17" ht="12.75">
      <c r="M2531" s="531"/>
      <c r="Q2531" s="531"/>
    </row>
    <row r="2532" spans="13:17" ht="12.75">
      <c r="M2532" s="531"/>
      <c r="Q2532" s="531"/>
    </row>
    <row r="2533" spans="13:17" ht="12.75">
      <c r="M2533" s="531"/>
      <c r="Q2533" s="531"/>
    </row>
    <row r="2534" spans="13:17" ht="12.75">
      <c r="M2534" s="531"/>
      <c r="Q2534" s="531"/>
    </row>
    <row r="2535" spans="13:17" ht="12.75">
      <c r="M2535" s="531"/>
      <c r="Q2535" s="531"/>
    </row>
    <row r="2536" spans="13:17" ht="12.75">
      <c r="M2536" s="531"/>
      <c r="Q2536" s="531"/>
    </row>
    <row r="2537" spans="13:17" ht="12.75">
      <c r="M2537" s="531"/>
      <c r="Q2537" s="531"/>
    </row>
    <row r="2538" spans="13:17" ht="12.75">
      <c r="M2538" s="531"/>
      <c r="Q2538" s="531"/>
    </row>
    <row r="2539" spans="13:17" ht="12.75">
      <c r="M2539" s="531"/>
      <c r="Q2539" s="531"/>
    </row>
    <row r="2540" spans="13:17" ht="12.75">
      <c r="M2540" s="531"/>
      <c r="Q2540" s="531"/>
    </row>
    <row r="2541" spans="13:17" ht="12.75">
      <c r="M2541" s="531"/>
      <c r="Q2541" s="531"/>
    </row>
    <row r="2542" spans="13:17" ht="12.75">
      <c r="M2542" s="531"/>
      <c r="Q2542" s="531"/>
    </row>
    <row r="2543" spans="13:17" ht="12.75">
      <c r="M2543" s="531"/>
      <c r="Q2543" s="531"/>
    </row>
    <row r="2544" spans="13:17" ht="12.75">
      <c r="M2544" s="531"/>
      <c r="Q2544" s="531"/>
    </row>
    <row r="2545" spans="13:17" ht="12.75">
      <c r="M2545" s="531"/>
      <c r="Q2545" s="531"/>
    </row>
    <row r="2546" spans="13:17" ht="12.75">
      <c r="M2546" s="531"/>
      <c r="Q2546" s="531"/>
    </row>
    <row r="2547" spans="13:17" ht="12.75">
      <c r="M2547" s="531"/>
      <c r="Q2547" s="531"/>
    </row>
    <row r="2548" spans="13:17" ht="12.75">
      <c r="M2548" s="531"/>
      <c r="Q2548" s="531"/>
    </row>
    <row r="2549" spans="13:17" ht="12.75">
      <c r="M2549" s="531"/>
      <c r="Q2549" s="531"/>
    </row>
    <row r="2550" spans="13:17" ht="12.75">
      <c r="M2550" s="531"/>
      <c r="Q2550" s="531"/>
    </row>
    <row r="2551" spans="13:17" ht="12.75">
      <c r="M2551" s="531"/>
      <c r="Q2551" s="531"/>
    </row>
    <row r="2552" spans="13:17" ht="12.75">
      <c r="M2552" s="531"/>
      <c r="Q2552" s="531"/>
    </row>
    <row r="2553" spans="13:17" ht="12.75">
      <c r="M2553" s="531"/>
      <c r="Q2553" s="531"/>
    </row>
    <row r="2554" spans="13:17" ht="12.75">
      <c r="M2554" s="531"/>
      <c r="Q2554" s="531"/>
    </row>
    <row r="2555" spans="13:17" ht="12.75">
      <c r="M2555" s="531"/>
      <c r="Q2555" s="531"/>
    </row>
    <row r="2556" spans="13:17" ht="12.75">
      <c r="M2556" s="531"/>
      <c r="Q2556" s="531"/>
    </row>
    <row r="2557" spans="13:17" ht="12.75">
      <c r="M2557" s="531"/>
      <c r="Q2557" s="531"/>
    </row>
    <row r="2558" spans="13:17" ht="12.75">
      <c r="M2558" s="531"/>
      <c r="Q2558" s="531"/>
    </row>
    <row r="2559" spans="13:17" ht="12.75">
      <c r="M2559" s="531"/>
      <c r="Q2559" s="531"/>
    </row>
    <row r="2560" spans="13:17" ht="12.75">
      <c r="M2560" s="531"/>
      <c r="Q2560" s="531"/>
    </row>
    <row r="2561" spans="13:17" ht="12.75">
      <c r="M2561" s="531"/>
      <c r="Q2561" s="531"/>
    </row>
    <row r="2562" spans="13:17" ht="12.75">
      <c r="M2562" s="531"/>
      <c r="Q2562" s="531"/>
    </row>
    <row r="2563" spans="13:17" ht="12.75">
      <c r="M2563" s="531"/>
      <c r="Q2563" s="531"/>
    </row>
    <row r="2564" spans="13:17" ht="12.75">
      <c r="M2564" s="531"/>
      <c r="Q2564" s="531"/>
    </row>
    <row r="2565" spans="13:17" ht="12.75">
      <c r="M2565" s="531"/>
      <c r="Q2565" s="531"/>
    </row>
    <row r="2566" spans="13:17" ht="12.75">
      <c r="M2566" s="531"/>
      <c r="Q2566" s="531"/>
    </row>
    <row r="2567" spans="13:17" ht="12.75">
      <c r="M2567" s="531"/>
      <c r="Q2567" s="531"/>
    </row>
    <row r="2568" spans="13:17" ht="12.75">
      <c r="M2568" s="531"/>
      <c r="Q2568" s="531"/>
    </row>
    <row r="2569" spans="13:17" ht="12.75">
      <c r="M2569" s="531"/>
      <c r="Q2569" s="531"/>
    </row>
    <row r="2570" spans="13:17" ht="12.75">
      <c r="M2570" s="531"/>
      <c r="Q2570" s="531"/>
    </row>
    <row r="2571" spans="13:17" ht="12.75">
      <c r="M2571" s="531"/>
      <c r="Q2571" s="531"/>
    </row>
    <row r="2572" spans="13:17" ht="12.75">
      <c r="M2572" s="531"/>
      <c r="Q2572" s="531"/>
    </row>
    <row r="2573" spans="13:17" ht="12.75">
      <c r="M2573" s="531"/>
      <c r="Q2573" s="531"/>
    </row>
    <row r="2574" spans="13:17" ht="12.75">
      <c r="M2574" s="531"/>
      <c r="Q2574" s="531"/>
    </row>
    <row r="2575" spans="13:17" ht="12.75">
      <c r="M2575" s="531"/>
      <c r="Q2575" s="531"/>
    </row>
    <row r="2576" spans="13:17" ht="12.75">
      <c r="M2576" s="531"/>
      <c r="Q2576" s="531"/>
    </row>
    <row r="2577" spans="13:17" ht="12.75">
      <c r="M2577" s="531"/>
      <c r="Q2577" s="531"/>
    </row>
    <row r="2578" spans="13:17" ht="12.75">
      <c r="M2578" s="531"/>
      <c r="Q2578" s="531"/>
    </row>
    <row r="2579" spans="13:17" ht="12.75">
      <c r="M2579" s="531"/>
      <c r="Q2579" s="531"/>
    </row>
    <row r="2580" spans="13:17" ht="12.75">
      <c r="M2580" s="531"/>
      <c r="Q2580" s="531"/>
    </row>
    <row r="2581" spans="13:17" ht="12.75">
      <c r="M2581" s="531"/>
      <c r="Q2581" s="531"/>
    </row>
    <row r="2582" spans="13:17" ht="12.75">
      <c r="M2582" s="531"/>
      <c r="Q2582" s="531"/>
    </row>
    <row r="2583" spans="13:17" ht="12.75">
      <c r="M2583" s="531"/>
      <c r="Q2583" s="531"/>
    </row>
    <row r="2584" spans="13:17" ht="12.75">
      <c r="M2584" s="531"/>
      <c r="Q2584" s="531"/>
    </row>
    <row r="2585" spans="13:17" ht="12.75">
      <c r="M2585" s="531"/>
      <c r="Q2585" s="531"/>
    </row>
    <row r="2586" spans="13:17" ht="12.75">
      <c r="M2586" s="531"/>
      <c r="Q2586" s="531"/>
    </row>
    <row r="2587" spans="13:17" ht="12.75">
      <c r="M2587" s="531"/>
      <c r="Q2587" s="531"/>
    </row>
    <row r="2588" spans="13:17" ht="12.75">
      <c r="M2588" s="531"/>
      <c r="Q2588" s="531"/>
    </row>
    <row r="2589" spans="13:17" ht="12.75">
      <c r="M2589" s="531"/>
      <c r="Q2589" s="531"/>
    </row>
    <row r="2590" spans="13:17" ht="12.75">
      <c r="M2590" s="531"/>
      <c r="Q2590" s="531"/>
    </row>
    <row r="2591" spans="13:17" ht="12.75">
      <c r="M2591" s="531"/>
      <c r="Q2591" s="531"/>
    </row>
    <row r="2592" spans="13:17" ht="12.75">
      <c r="M2592" s="531"/>
      <c r="Q2592" s="531"/>
    </row>
    <row r="2593" spans="13:17" ht="12.75">
      <c r="M2593" s="531"/>
      <c r="Q2593" s="531"/>
    </row>
    <row r="2594" spans="13:17" ht="12.75">
      <c r="M2594" s="531"/>
      <c r="Q2594" s="531"/>
    </row>
    <row r="2595" spans="13:17" ht="12.75">
      <c r="M2595" s="531"/>
      <c r="Q2595" s="531"/>
    </row>
    <row r="2596" spans="13:17" ht="12.75">
      <c r="M2596" s="531"/>
      <c r="Q2596" s="531"/>
    </row>
    <row r="2597" spans="13:17" ht="12.75">
      <c r="M2597" s="531"/>
      <c r="Q2597" s="531"/>
    </row>
    <row r="2598" spans="13:17" ht="12.75">
      <c r="M2598" s="531"/>
      <c r="Q2598" s="531"/>
    </row>
    <row r="2599" spans="13:17" ht="12.75">
      <c r="M2599" s="531"/>
      <c r="Q2599" s="531"/>
    </row>
    <row r="2600" spans="13:17" ht="12.75">
      <c r="M2600" s="531"/>
      <c r="Q2600" s="531"/>
    </row>
    <row r="2601" spans="13:17" ht="12.75">
      <c r="M2601" s="531"/>
      <c r="Q2601" s="531"/>
    </row>
    <row r="2602" spans="13:17" ht="12.75">
      <c r="M2602" s="531"/>
      <c r="Q2602" s="531"/>
    </row>
    <row r="2603" spans="13:17" ht="12.75">
      <c r="M2603" s="531"/>
      <c r="Q2603" s="531"/>
    </row>
    <row r="2604" spans="13:17" ht="12.75">
      <c r="M2604" s="531"/>
      <c r="Q2604" s="531"/>
    </row>
    <row r="2605" spans="13:17" ht="12.75">
      <c r="M2605" s="531"/>
      <c r="Q2605" s="531"/>
    </row>
    <row r="2606" spans="13:17" ht="12.75">
      <c r="M2606" s="531"/>
      <c r="Q2606" s="531"/>
    </row>
    <row r="2607" spans="13:17" ht="12.75">
      <c r="M2607" s="531"/>
      <c r="Q2607" s="531"/>
    </row>
    <row r="2608" spans="13:17" ht="12.75">
      <c r="M2608" s="531"/>
      <c r="Q2608" s="531"/>
    </row>
    <row r="2609" spans="13:17" ht="12.75">
      <c r="M2609" s="531"/>
      <c r="Q2609" s="531"/>
    </row>
    <row r="2610" spans="13:17" ht="12.75">
      <c r="M2610" s="531"/>
      <c r="Q2610" s="531"/>
    </row>
    <row r="2611" spans="13:17" ht="12.75">
      <c r="M2611" s="531"/>
      <c r="Q2611" s="531"/>
    </row>
    <row r="2612" spans="13:17" ht="12.75">
      <c r="M2612" s="531"/>
      <c r="Q2612" s="531"/>
    </row>
    <row r="2613" spans="13:17" ht="12.75">
      <c r="M2613" s="531"/>
      <c r="Q2613" s="531"/>
    </row>
    <row r="2614" spans="13:17" ht="12.75">
      <c r="M2614" s="531"/>
      <c r="Q2614" s="531"/>
    </row>
    <row r="2615" spans="13:17" ht="12.75">
      <c r="M2615" s="531"/>
      <c r="Q2615" s="531"/>
    </row>
    <row r="2616" spans="13:17" ht="12.75">
      <c r="M2616" s="531"/>
      <c r="Q2616" s="531"/>
    </row>
    <row r="2617" spans="13:17" ht="12.75">
      <c r="M2617" s="531"/>
      <c r="Q2617" s="531"/>
    </row>
    <row r="2618" spans="13:17" ht="12.75">
      <c r="M2618" s="531"/>
      <c r="Q2618" s="531"/>
    </row>
    <row r="2619" spans="13:17" ht="12.75">
      <c r="M2619" s="531"/>
      <c r="Q2619" s="531"/>
    </row>
    <row r="2620" spans="13:17" ht="12.75">
      <c r="M2620" s="531"/>
      <c r="Q2620" s="531"/>
    </row>
    <row r="2621" spans="13:17" ht="12.75">
      <c r="M2621" s="531"/>
      <c r="Q2621" s="531"/>
    </row>
    <row r="2622" spans="13:17" ht="12.75">
      <c r="M2622" s="531"/>
      <c r="Q2622" s="531"/>
    </row>
    <row r="2623" spans="13:17" ht="12.75">
      <c r="M2623" s="531"/>
      <c r="Q2623" s="531"/>
    </row>
    <row r="2624" spans="13:17" ht="12.75">
      <c r="M2624" s="531"/>
      <c r="Q2624" s="531"/>
    </row>
    <row r="2625" spans="13:17" ht="12.75">
      <c r="M2625" s="531"/>
      <c r="Q2625" s="531"/>
    </row>
    <row r="2626" spans="13:17" ht="12.75">
      <c r="M2626" s="531"/>
      <c r="Q2626" s="531"/>
    </row>
    <row r="2627" spans="13:17" ht="12.75">
      <c r="M2627" s="531"/>
      <c r="Q2627" s="531"/>
    </row>
    <row r="2628" spans="13:17" ht="12.75">
      <c r="M2628" s="531"/>
      <c r="Q2628" s="531"/>
    </row>
    <row r="2629" spans="13:17" ht="12.75">
      <c r="M2629" s="531"/>
      <c r="Q2629" s="531"/>
    </row>
    <row r="2630" spans="13:17" ht="12.75">
      <c r="M2630" s="531"/>
      <c r="Q2630" s="531"/>
    </row>
    <row r="2631" spans="13:17" ht="12.75">
      <c r="M2631" s="531"/>
      <c r="Q2631" s="531"/>
    </row>
    <row r="2632" spans="13:17" ht="12.75">
      <c r="M2632" s="531"/>
      <c r="Q2632" s="531"/>
    </row>
    <row r="2633" spans="13:17" ht="12.75">
      <c r="M2633" s="531"/>
      <c r="Q2633" s="531"/>
    </row>
    <row r="2634" spans="13:17" ht="12.75">
      <c r="M2634" s="531"/>
      <c r="Q2634" s="531"/>
    </row>
    <row r="2635" spans="13:17" ht="12.75">
      <c r="M2635" s="531"/>
      <c r="Q2635" s="531"/>
    </row>
    <row r="2636" spans="13:17" ht="12.75">
      <c r="M2636" s="531"/>
      <c r="Q2636" s="531"/>
    </row>
    <row r="2637" spans="13:17" ht="12.75">
      <c r="M2637" s="531"/>
      <c r="Q2637" s="531"/>
    </row>
    <row r="2638" spans="13:17" ht="12.75">
      <c r="M2638" s="531"/>
      <c r="Q2638" s="531"/>
    </row>
    <row r="2639" spans="13:17" ht="12.75">
      <c r="M2639" s="531"/>
      <c r="Q2639" s="531"/>
    </row>
    <row r="2640" spans="13:17" ht="12.75">
      <c r="M2640" s="531"/>
      <c r="Q2640" s="531"/>
    </row>
    <row r="2641" spans="13:17" ht="12.75">
      <c r="M2641" s="531"/>
      <c r="Q2641" s="531"/>
    </row>
    <row r="2642" spans="13:17" ht="12.75">
      <c r="M2642" s="531"/>
      <c r="Q2642" s="531"/>
    </row>
    <row r="2643" spans="13:17" ht="12.75">
      <c r="M2643" s="531"/>
      <c r="Q2643" s="531"/>
    </row>
    <row r="2644" spans="13:17" ht="12.75">
      <c r="M2644" s="531"/>
      <c r="Q2644" s="531"/>
    </row>
    <row r="2645" spans="13:17" ht="12.75">
      <c r="M2645" s="531"/>
      <c r="Q2645" s="531"/>
    </row>
    <row r="2646" spans="13:17" ht="12.75">
      <c r="M2646" s="531"/>
      <c r="Q2646" s="531"/>
    </row>
    <row r="2647" spans="13:17" ht="12.75">
      <c r="M2647" s="531"/>
      <c r="Q2647" s="531"/>
    </row>
    <row r="2648" spans="13:17" ht="12.75">
      <c r="M2648" s="531"/>
      <c r="Q2648" s="531"/>
    </row>
    <row r="2649" spans="13:17" ht="12.75">
      <c r="M2649" s="531"/>
      <c r="Q2649" s="531"/>
    </row>
    <row r="2650" spans="13:17" ht="12.75">
      <c r="M2650" s="531"/>
      <c r="Q2650" s="531"/>
    </row>
    <row r="2651" spans="13:17" ht="12.75">
      <c r="M2651" s="531"/>
      <c r="Q2651" s="531"/>
    </row>
    <row r="2652" spans="13:17" ht="12.75">
      <c r="M2652" s="531"/>
      <c r="Q2652" s="531"/>
    </row>
    <row r="2653" spans="13:17" ht="12.75">
      <c r="M2653" s="531"/>
      <c r="Q2653" s="531"/>
    </row>
    <row r="2654" spans="13:17" ht="12.75">
      <c r="M2654" s="531"/>
      <c r="Q2654" s="531"/>
    </row>
    <row r="2655" spans="13:17" ht="12.75">
      <c r="M2655" s="531"/>
      <c r="Q2655" s="531"/>
    </row>
    <row r="2656" spans="13:17" ht="12.75">
      <c r="M2656" s="531"/>
      <c r="Q2656" s="531"/>
    </row>
    <row r="2657" spans="13:17" ht="12.75">
      <c r="M2657" s="531"/>
      <c r="Q2657" s="531"/>
    </row>
    <row r="2658" spans="13:17" ht="12.75">
      <c r="M2658" s="531"/>
      <c r="Q2658" s="531"/>
    </row>
    <row r="2659" spans="13:17" ht="12.75">
      <c r="M2659" s="531"/>
      <c r="Q2659" s="531"/>
    </row>
    <row r="2660" spans="13:17" ht="12.75">
      <c r="M2660" s="531"/>
      <c r="Q2660" s="531"/>
    </row>
    <row r="2661" spans="13:17" ht="12.75">
      <c r="M2661" s="531"/>
      <c r="Q2661" s="531"/>
    </row>
    <row r="2662" spans="13:17" ht="12.75">
      <c r="M2662" s="531"/>
      <c r="Q2662" s="531"/>
    </row>
    <row r="2663" spans="13:17" ht="12.75">
      <c r="M2663" s="531"/>
      <c r="Q2663" s="531"/>
    </row>
    <row r="2664" spans="13:17" ht="12.75">
      <c r="M2664" s="531"/>
      <c r="Q2664" s="531"/>
    </row>
    <row r="2665" spans="13:17" ht="12.75">
      <c r="M2665" s="531"/>
      <c r="Q2665" s="531"/>
    </row>
    <row r="2666" spans="13:17" ht="12.75">
      <c r="M2666" s="531"/>
      <c r="Q2666" s="531"/>
    </row>
    <row r="2667" spans="13:17" ht="12.75">
      <c r="M2667" s="531"/>
      <c r="Q2667" s="531"/>
    </row>
    <row r="2668" spans="13:17" ht="12.75">
      <c r="M2668" s="531"/>
      <c r="Q2668" s="531"/>
    </row>
    <row r="2669" spans="13:17" ht="12.75">
      <c r="M2669" s="531"/>
      <c r="Q2669" s="531"/>
    </row>
    <row r="2670" spans="13:17" ht="12.75">
      <c r="M2670" s="531"/>
      <c r="Q2670" s="531"/>
    </row>
    <row r="2671" spans="13:17" ht="12.75">
      <c r="M2671" s="531"/>
      <c r="Q2671" s="531"/>
    </row>
    <row r="2672" spans="13:17" ht="12.75">
      <c r="M2672" s="531"/>
      <c r="Q2672" s="531"/>
    </row>
    <row r="2673" spans="13:17" ht="12.75">
      <c r="M2673" s="531"/>
      <c r="Q2673" s="531"/>
    </row>
    <row r="2674" spans="13:17" ht="12.75">
      <c r="M2674" s="531"/>
      <c r="Q2674" s="531"/>
    </row>
    <row r="2675" spans="13:17" ht="12.75">
      <c r="M2675" s="531"/>
      <c r="Q2675" s="531"/>
    </row>
    <row r="2676" spans="13:17" ht="12.75">
      <c r="M2676" s="531"/>
      <c r="Q2676" s="531"/>
    </row>
    <row r="2677" spans="13:17" ht="12.75">
      <c r="M2677" s="531"/>
      <c r="Q2677" s="531"/>
    </row>
    <row r="2678" spans="13:17" ht="12.75">
      <c r="M2678" s="531"/>
      <c r="Q2678" s="531"/>
    </row>
    <row r="2679" spans="13:17" ht="12.75">
      <c r="M2679" s="531"/>
      <c r="Q2679" s="531"/>
    </row>
    <row r="2680" spans="13:17" ht="12.75">
      <c r="M2680" s="531"/>
      <c r="Q2680" s="531"/>
    </row>
    <row r="2681" spans="13:17" ht="12.75">
      <c r="M2681" s="531"/>
      <c r="Q2681" s="531"/>
    </row>
    <row r="2682" spans="13:17" ht="12.75">
      <c r="M2682" s="531"/>
      <c r="Q2682" s="531"/>
    </row>
    <row r="2683" spans="13:17" ht="12.75">
      <c r="M2683" s="531"/>
      <c r="Q2683" s="531"/>
    </row>
    <row r="2684" spans="13:17" ht="12.75">
      <c r="M2684" s="531"/>
      <c r="Q2684" s="531"/>
    </row>
    <row r="2685" spans="13:17" ht="12.75">
      <c r="M2685" s="531"/>
      <c r="Q2685" s="531"/>
    </row>
    <row r="2686" spans="13:17" ht="12.75">
      <c r="M2686" s="531"/>
      <c r="Q2686" s="531"/>
    </row>
    <row r="2687" spans="13:17" ht="12.75">
      <c r="M2687" s="531"/>
      <c r="Q2687" s="531"/>
    </row>
    <row r="2688" spans="13:17" ht="12.75">
      <c r="M2688" s="531"/>
      <c r="Q2688" s="531"/>
    </row>
    <row r="2689" spans="13:17" ht="12.75">
      <c r="M2689" s="531"/>
      <c r="Q2689" s="531"/>
    </row>
    <row r="2690" spans="13:17" ht="12.75">
      <c r="M2690" s="531"/>
      <c r="Q2690" s="531"/>
    </row>
    <row r="2691" spans="13:17" ht="12.75">
      <c r="M2691" s="531"/>
      <c r="Q2691" s="531"/>
    </row>
    <row r="2692" spans="13:17" ht="12.75">
      <c r="M2692" s="531"/>
      <c r="Q2692" s="531"/>
    </row>
    <row r="2693" spans="13:17" ht="12.75">
      <c r="M2693" s="531"/>
      <c r="Q2693" s="531"/>
    </row>
    <row r="2694" spans="13:17" ht="12.75">
      <c r="M2694" s="531"/>
      <c r="Q2694" s="531"/>
    </row>
    <row r="2695" spans="13:17" ht="12.75">
      <c r="M2695" s="531"/>
      <c r="Q2695" s="531"/>
    </row>
    <row r="2696" spans="13:17" ht="12.75">
      <c r="M2696" s="531"/>
      <c r="Q2696" s="531"/>
    </row>
    <row r="2697" spans="13:17" ht="12.75">
      <c r="M2697" s="531"/>
      <c r="Q2697" s="531"/>
    </row>
    <row r="2698" spans="13:17" ht="12.75">
      <c r="M2698" s="531"/>
      <c r="Q2698" s="531"/>
    </row>
    <row r="2699" spans="13:17" ht="12.75">
      <c r="M2699" s="531"/>
      <c r="Q2699" s="531"/>
    </row>
    <row r="2700" spans="13:17" ht="12.75">
      <c r="M2700" s="531"/>
      <c r="Q2700" s="531"/>
    </row>
    <row r="2701" spans="13:17" ht="12.75">
      <c r="M2701" s="531"/>
      <c r="Q2701" s="531"/>
    </row>
    <row r="2702" spans="13:17" ht="12.75">
      <c r="M2702" s="531"/>
      <c r="Q2702" s="531"/>
    </row>
    <row r="2703" spans="13:17" ht="12.75">
      <c r="M2703" s="531"/>
      <c r="Q2703" s="531"/>
    </row>
    <row r="2704" spans="13:17" ht="12.75">
      <c r="M2704" s="531"/>
      <c r="Q2704" s="531"/>
    </row>
    <row r="2705" spans="13:17" ht="12.75">
      <c r="M2705" s="531"/>
      <c r="Q2705" s="531"/>
    </row>
    <row r="2706" spans="13:17" ht="12.75">
      <c r="M2706" s="531"/>
      <c r="Q2706" s="531"/>
    </row>
    <row r="2707" spans="13:17" ht="12.75">
      <c r="M2707" s="531"/>
      <c r="Q2707" s="531"/>
    </row>
    <row r="2708" spans="13:17" ht="12.75">
      <c r="M2708" s="531"/>
      <c r="Q2708" s="531"/>
    </row>
    <row r="2709" spans="13:17" ht="12.75">
      <c r="M2709" s="531"/>
      <c r="Q2709" s="531"/>
    </row>
    <row r="2710" spans="13:17" ht="12.75">
      <c r="M2710" s="531"/>
      <c r="Q2710" s="531"/>
    </row>
    <row r="2711" spans="13:17" ht="12.75">
      <c r="M2711" s="531"/>
      <c r="Q2711" s="531"/>
    </row>
    <row r="2712" spans="13:17" ht="12.75">
      <c r="M2712" s="531"/>
      <c r="Q2712" s="531"/>
    </row>
    <row r="2713" spans="13:17" ht="12.75">
      <c r="M2713" s="531"/>
      <c r="Q2713" s="531"/>
    </row>
    <row r="2714" spans="13:17" ht="12.75">
      <c r="M2714" s="531"/>
      <c r="Q2714" s="531"/>
    </row>
    <row r="2715" spans="13:17" ht="12.75">
      <c r="M2715" s="531"/>
      <c r="Q2715" s="531"/>
    </row>
    <row r="2716" spans="13:17" ht="12.75">
      <c r="M2716" s="531"/>
      <c r="Q2716" s="531"/>
    </row>
    <row r="2717" spans="13:17" ht="12.75">
      <c r="M2717" s="531"/>
      <c r="Q2717" s="531"/>
    </row>
    <row r="2718" spans="13:17" ht="12.75">
      <c r="M2718" s="531"/>
      <c r="Q2718" s="531"/>
    </row>
    <row r="2719" spans="13:17" ht="12.75">
      <c r="M2719" s="531"/>
      <c r="Q2719" s="531"/>
    </row>
    <row r="2720" spans="13:17" ht="12.75">
      <c r="M2720" s="531"/>
      <c r="Q2720" s="531"/>
    </row>
    <row r="2721" spans="13:17" ht="12.75">
      <c r="M2721" s="531"/>
      <c r="Q2721" s="531"/>
    </row>
    <row r="2722" spans="13:17" ht="12.75">
      <c r="M2722" s="531"/>
      <c r="Q2722" s="531"/>
    </row>
    <row r="2723" spans="13:17" ht="12.75">
      <c r="M2723" s="531"/>
      <c r="Q2723" s="531"/>
    </row>
    <row r="2724" spans="13:17" ht="12.75">
      <c r="M2724" s="531"/>
      <c r="Q2724" s="531"/>
    </row>
    <row r="2725" spans="13:17" ht="12.75">
      <c r="M2725" s="531"/>
      <c r="Q2725" s="531"/>
    </row>
    <row r="2726" spans="13:17" ht="12.75">
      <c r="M2726" s="531"/>
      <c r="Q2726" s="531"/>
    </row>
    <row r="2727" spans="13:17" ht="12.75">
      <c r="M2727" s="531"/>
      <c r="Q2727" s="531"/>
    </row>
    <row r="2728" spans="13:17" ht="12.75">
      <c r="M2728" s="531"/>
      <c r="Q2728" s="531"/>
    </row>
    <row r="2729" spans="13:17" ht="12.75">
      <c r="M2729" s="531"/>
      <c r="Q2729" s="531"/>
    </row>
    <row r="2730" spans="13:17" ht="12.75">
      <c r="M2730" s="531"/>
      <c r="Q2730" s="531"/>
    </row>
    <row r="2731" spans="13:17" ht="12.75">
      <c r="M2731" s="531"/>
      <c r="Q2731" s="531"/>
    </row>
    <row r="2732" spans="13:17" ht="12.75">
      <c r="M2732" s="531"/>
      <c r="Q2732" s="531"/>
    </row>
    <row r="2733" spans="13:17" ht="12.75">
      <c r="M2733" s="531"/>
      <c r="Q2733" s="531"/>
    </row>
    <row r="2734" spans="13:17" ht="12.75">
      <c r="M2734" s="531"/>
      <c r="Q2734" s="531"/>
    </row>
    <row r="2735" spans="13:17" ht="12.75">
      <c r="M2735" s="531"/>
      <c r="Q2735" s="531"/>
    </row>
    <row r="2736" spans="13:17" ht="12.75">
      <c r="M2736" s="531"/>
      <c r="Q2736" s="531"/>
    </row>
    <row r="2737" spans="13:17" ht="12.75">
      <c r="M2737" s="531"/>
      <c r="Q2737" s="531"/>
    </row>
    <row r="2738" spans="13:17" ht="12.75">
      <c r="M2738" s="531"/>
      <c r="Q2738" s="531"/>
    </row>
    <row r="2739" spans="13:17" ht="12.75">
      <c r="M2739" s="531"/>
      <c r="Q2739" s="531"/>
    </row>
    <row r="2740" spans="13:17" ht="12.75">
      <c r="M2740" s="531"/>
      <c r="Q2740" s="531"/>
    </row>
    <row r="2741" spans="13:17" ht="12.75">
      <c r="M2741" s="531"/>
      <c r="Q2741" s="531"/>
    </row>
    <row r="2742" spans="13:17" ht="12.75">
      <c r="M2742" s="531"/>
      <c r="Q2742" s="531"/>
    </row>
    <row r="2743" spans="13:17" ht="12.75">
      <c r="M2743" s="531"/>
      <c r="Q2743" s="531"/>
    </row>
    <row r="2744" spans="13:17" ht="12.75">
      <c r="M2744" s="531"/>
      <c r="Q2744" s="531"/>
    </row>
    <row r="2745" spans="13:17" ht="12.75">
      <c r="M2745" s="531"/>
      <c r="Q2745" s="531"/>
    </row>
    <row r="2746" spans="13:17" ht="12.75">
      <c r="M2746" s="531"/>
      <c r="Q2746" s="531"/>
    </row>
    <row r="2747" spans="13:17" ht="12.75">
      <c r="M2747" s="531"/>
      <c r="Q2747" s="531"/>
    </row>
    <row r="2748" spans="13:17" ht="12.75">
      <c r="M2748" s="531"/>
      <c r="Q2748" s="531"/>
    </row>
    <row r="2749" spans="13:17" ht="12.75">
      <c r="M2749" s="531"/>
      <c r="Q2749" s="531"/>
    </row>
    <row r="2750" spans="13:17" ht="12.75">
      <c r="M2750" s="531"/>
      <c r="Q2750" s="531"/>
    </row>
    <row r="2751" spans="13:17" ht="12.75">
      <c r="M2751" s="531"/>
      <c r="Q2751" s="531"/>
    </row>
    <row r="2752" spans="13:17" ht="12.75">
      <c r="M2752" s="531"/>
      <c r="Q2752" s="531"/>
    </row>
    <row r="2753" spans="13:17" ht="12.75">
      <c r="M2753" s="531"/>
      <c r="Q2753" s="531"/>
    </row>
    <row r="2754" spans="13:17" ht="12.75">
      <c r="M2754" s="531"/>
      <c r="Q2754" s="531"/>
    </row>
    <row r="2755" spans="13:17" ht="12.75">
      <c r="M2755" s="531"/>
      <c r="Q2755" s="531"/>
    </row>
    <row r="2756" spans="13:17" ht="12.75">
      <c r="M2756" s="531"/>
      <c r="Q2756" s="531"/>
    </row>
    <row r="2757" spans="13:17" ht="12.75">
      <c r="M2757" s="531"/>
      <c r="Q2757" s="531"/>
    </row>
    <row r="2758" spans="13:17" ht="12.75">
      <c r="M2758" s="531"/>
      <c r="Q2758" s="531"/>
    </row>
    <row r="2759" spans="13:17" ht="12.75">
      <c r="M2759" s="531"/>
      <c r="Q2759" s="531"/>
    </row>
    <row r="2760" spans="13:17" ht="12.75">
      <c r="M2760" s="531"/>
      <c r="Q2760" s="531"/>
    </row>
    <row r="2761" spans="13:17" ht="12.75">
      <c r="M2761" s="531"/>
      <c r="Q2761" s="531"/>
    </row>
    <row r="2762" spans="13:17" ht="12.75">
      <c r="M2762" s="531"/>
      <c r="Q2762" s="531"/>
    </row>
    <row r="2763" spans="13:17" ht="12.75">
      <c r="M2763" s="531"/>
      <c r="Q2763" s="531"/>
    </row>
    <row r="2764" spans="13:17" ht="12.75">
      <c r="M2764" s="531"/>
      <c r="Q2764" s="531"/>
    </row>
    <row r="2765" spans="13:17" ht="12.75">
      <c r="M2765" s="531"/>
      <c r="Q2765" s="531"/>
    </row>
    <row r="2766" spans="13:17" ht="12.75">
      <c r="M2766" s="531"/>
      <c r="Q2766" s="531"/>
    </row>
    <row r="2767" spans="13:17" ht="12.75">
      <c r="M2767" s="531"/>
      <c r="Q2767" s="531"/>
    </row>
    <row r="2768" spans="13:17" ht="12.75">
      <c r="M2768" s="531"/>
      <c r="Q2768" s="531"/>
    </row>
    <row r="2769" spans="13:17" ht="12.75">
      <c r="M2769" s="531"/>
      <c r="Q2769" s="531"/>
    </row>
    <row r="2770" spans="13:17" ht="12.75">
      <c r="M2770" s="531"/>
      <c r="Q2770" s="531"/>
    </row>
    <row r="2771" spans="13:17" ht="12.75">
      <c r="M2771" s="531"/>
      <c r="Q2771" s="531"/>
    </row>
    <row r="2772" spans="13:17" ht="12.75">
      <c r="M2772" s="531"/>
      <c r="Q2772" s="531"/>
    </row>
    <row r="2773" spans="13:17" ht="12.75">
      <c r="M2773" s="531"/>
      <c r="Q2773" s="531"/>
    </row>
    <row r="2774" spans="13:17" ht="12.75">
      <c r="M2774" s="531"/>
      <c r="Q2774" s="531"/>
    </row>
    <row r="2775" spans="13:17" ht="12.75">
      <c r="M2775" s="531"/>
      <c r="Q2775" s="531"/>
    </row>
    <row r="2776" spans="13:17" ht="12.75">
      <c r="M2776" s="531"/>
      <c r="Q2776" s="531"/>
    </row>
    <row r="2777" spans="13:17" ht="12.75">
      <c r="M2777" s="531"/>
      <c r="Q2777" s="531"/>
    </row>
    <row r="2778" spans="13:17" ht="12.75">
      <c r="M2778" s="531"/>
      <c r="Q2778" s="531"/>
    </row>
    <row r="2779" spans="13:17" ht="12.75">
      <c r="M2779" s="531"/>
      <c r="Q2779" s="531"/>
    </row>
    <row r="2780" spans="13:17" ht="12.75">
      <c r="M2780" s="531"/>
      <c r="Q2780" s="531"/>
    </row>
    <row r="2781" spans="13:17" ht="12.75">
      <c r="M2781" s="531"/>
      <c r="Q2781" s="531"/>
    </row>
    <row r="2782" spans="13:17" ht="12.75">
      <c r="M2782" s="531"/>
      <c r="Q2782" s="531"/>
    </row>
    <row r="2783" spans="13:17" ht="12.75">
      <c r="M2783" s="531"/>
      <c r="Q2783" s="531"/>
    </row>
    <row r="2784" spans="13:17" ht="12.75">
      <c r="M2784" s="531"/>
      <c r="Q2784" s="531"/>
    </row>
    <row r="2785" spans="13:17" ht="12.75">
      <c r="M2785" s="531"/>
      <c r="Q2785" s="531"/>
    </row>
    <row r="2786" spans="13:17" ht="12.75">
      <c r="M2786" s="531"/>
      <c r="Q2786" s="531"/>
    </row>
    <row r="2787" spans="13:17" ht="12.75">
      <c r="M2787" s="531"/>
      <c r="Q2787" s="531"/>
    </row>
    <row r="2788" spans="13:17" ht="12.75">
      <c r="M2788" s="531"/>
      <c r="Q2788" s="531"/>
    </row>
    <row r="2789" spans="13:17" ht="12.75">
      <c r="M2789" s="531"/>
      <c r="Q2789" s="531"/>
    </row>
    <row r="2790" spans="13:17" ht="12.75">
      <c r="M2790" s="531"/>
      <c r="Q2790" s="531"/>
    </row>
    <row r="2791" spans="13:17" ht="12.75">
      <c r="M2791" s="531"/>
      <c r="Q2791" s="531"/>
    </row>
    <row r="2792" spans="13:17" ht="12.75">
      <c r="M2792" s="531"/>
      <c r="Q2792" s="531"/>
    </row>
    <row r="2793" spans="13:17" ht="12.75">
      <c r="M2793" s="531"/>
      <c r="Q2793" s="531"/>
    </row>
    <row r="2794" spans="13:17" ht="12.75">
      <c r="M2794" s="531"/>
      <c r="Q2794" s="531"/>
    </row>
    <row r="2795" spans="13:17" ht="12.75">
      <c r="M2795" s="531"/>
      <c r="Q2795" s="531"/>
    </row>
    <row r="2796" spans="13:17" ht="12.75">
      <c r="M2796" s="531"/>
      <c r="Q2796" s="531"/>
    </row>
    <row r="2797" spans="13:17" ht="12.75">
      <c r="M2797" s="531"/>
      <c r="Q2797" s="531"/>
    </row>
    <row r="2798" spans="13:17" ht="12.75">
      <c r="M2798" s="531"/>
      <c r="Q2798" s="531"/>
    </row>
    <row r="2799" spans="13:17" ht="12.75">
      <c r="M2799" s="531"/>
      <c r="Q2799" s="531"/>
    </row>
    <row r="2800" spans="13:17" ht="12.75">
      <c r="M2800" s="531"/>
      <c r="Q2800" s="531"/>
    </row>
    <row r="2801" spans="13:17" ht="12.75">
      <c r="M2801" s="531"/>
      <c r="Q2801" s="531"/>
    </row>
    <row r="2802" spans="13:17" ht="12.75">
      <c r="M2802" s="531"/>
      <c r="Q2802" s="531"/>
    </row>
    <row r="2803" spans="13:17" ht="12.75">
      <c r="M2803" s="531"/>
      <c r="Q2803" s="531"/>
    </row>
    <row r="2804" spans="13:17" ht="12.75">
      <c r="M2804" s="531"/>
      <c r="Q2804" s="531"/>
    </row>
    <row r="2805" spans="13:17" ht="12.75">
      <c r="M2805" s="531"/>
      <c r="Q2805" s="531"/>
    </row>
    <row r="2806" spans="13:17" ht="12.75">
      <c r="M2806" s="531"/>
      <c r="Q2806" s="531"/>
    </row>
    <row r="2807" spans="13:17" ht="12.75">
      <c r="M2807" s="531"/>
      <c r="Q2807" s="531"/>
    </row>
    <row r="2808" spans="13:17" ht="12.75">
      <c r="M2808" s="531"/>
      <c r="Q2808" s="531"/>
    </row>
    <row r="2809" spans="13:17" ht="12.75">
      <c r="M2809" s="531"/>
      <c r="Q2809" s="531"/>
    </row>
    <row r="2810" spans="13:17" ht="12.75">
      <c r="M2810" s="531"/>
      <c r="Q2810" s="531"/>
    </row>
    <row r="2811" spans="13:17" ht="12.75">
      <c r="M2811" s="531"/>
      <c r="Q2811" s="531"/>
    </row>
    <row r="2812" spans="13:17" ht="12.75">
      <c r="M2812" s="531"/>
      <c r="Q2812" s="531"/>
    </row>
    <row r="2813" spans="13:17" ht="12.75">
      <c r="M2813" s="531"/>
      <c r="Q2813" s="531"/>
    </row>
    <row r="2814" spans="13:17" ht="12.75">
      <c r="M2814" s="531"/>
      <c r="Q2814" s="531"/>
    </row>
    <row r="2815" spans="13:17" ht="12.75">
      <c r="M2815" s="531"/>
      <c r="Q2815" s="531"/>
    </row>
    <row r="2816" spans="13:17" ht="12.75">
      <c r="M2816" s="531"/>
      <c r="Q2816" s="531"/>
    </row>
    <row r="2817" spans="13:17" ht="12.75">
      <c r="M2817" s="531"/>
      <c r="Q2817" s="531"/>
    </row>
    <row r="2818" spans="13:17" ht="12.75">
      <c r="M2818" s="531"/>
      <c r="Q2818" s="531"/>
    </row>
    <row r="2819" spans="13:17" ht="12.75">
      <c r="M2819" s="531"/>
      <c r="Q2819" s="531"/>
    </row>
    <row r="2820" spans="13:17" ht="12.75">
      <c r="M2820" s="531"/>
      <c r="Q2820" s="531"/>
    </row>
    <row r="2821" spans="13:17" ht="12.75">
      <c r="M2821" s="531"/>
      <c r="Q2821" s="531"/>
    </row>
    <row r="2822" spans="13:17" ht="12.75">
      <c r="M2822" s="531"/>
      <c r="Q2822" s="531"/>
    </row>
    <row r="2823" spans="13:17" ht="12.75">
      <c r="M2823" s="531"/>
      <c r="Q2823" s="531"/>
    </row>
    <row r="2824" spans="13:17" ht="12.75">
      <c r="M2824" s="531"/>
      <c r="Q2824" s="531"/>
    </row>
    <row r="2825" spans="13:17" ht="12.75">
      <c r="M2825" s="531"/>
      <c r="Q2825" s="531"/>
    </row>
    <row r="2826" spans="13:17" ht="12.75">
      <c r="M2826" s="531"/>
      <c r="Q2826" s="531"/>
    </row>
    <row r="2827" spans="13:17" ht="12.75">
      <c r="M2827" s="531"/>
      <c r="Q2827" s="531"/>
    </row>
    <row r="2828" spans="13:17" ht="12.75">
      <c r="M2828" s="531"/>
      <c r="Q2828" s="531"/>
    </row>
    <row r="2829" spans="13:17" ht="12.75">
      <c r="M2829" s="531"/>
      <c r="Q2829" s="531"/>
    </row>
    <row r="2830" spans="13:17" ht="12.75">
      <c r="M2830" s="531"/>
      <c r="Q2830" s="531"/>
    </row>
    <row r="2831" spans="13:17" ht="12.75">
      <c r="M2831" s="531"/>
      <c r="Q2831" s="531"/>
    </row>
    <row r="2832" spans="13:17" ht="12.75">
      <c r="M2832" s="531"/>
      <c r="Q2832" s="531"/>
    </row>
    <row r="2833" spans="13:17" ht="12.75">
      <c r="M2833" s="531"/>
      <c r="Q2833" s="531"/>
    </row>
    <row r="2834" spans="13:17" ht="12.75">
      <c r="M2834" s="531"/>
      <c r="Q2834" s="531"/>
    </row>
    <row r="2835" spans="13:17" ht="12.75">
      <c r="M2835" s="531"/>
      <c r="Q2835" s="531"/>
    </row>
    <row r="2836" spans="13:17" ht="12.75">
      <c r="M2836" s="531"/>
      <c r="Q2836" s="531"/>
    </row>
    <row r="2837" spans="13:17" ht="12.75">
      <c r="M2837" s="531"/>
      <c r="Q2837" s="531"/>
    </row>
    <row r="2838" spans="13:17" ht="12.75">
      <c r="M2838" s="531"/>
      <c r="Q2838" s="531"/>
    </row>
    <row r="2839" spans="13:17" ht="12.75">
      <c r="M2839" s="531"/>
      <c r="Q2839" s="531"/>
    </row>
    <row r="2840" spans="13:17" ht="12.75">
      <c r="M2840" s="531"/>
      <c r="Q2840" s="531"/>
    </row>
    <row r="2841" spans="13:17" ht="12.75">
      <c r="M2841" s="531"/>
      <c r="Q2841" s="531"/>
    </row>
    <row r="2842" spans="13:17" ht="12.75">
      <c r="M2842" s="531"/>
      <c r="Q2842" s="531"/>
    </row>
    <row r="2843" spans="13:17" ht="12.75">
      <c r="M2843" s="531"/>
      <c r="Q2843" s="531"/>
    </row>
    <row r="2844" spans="13:17" ht="12.75">
      <c r="M2844" s="531"/>
      <c r="Q2844" s="531"/>
    </row>
    <row r="2845" spans="13:17" ht="12.75">
      <c r="M2845" s="531"/>
      <c r="Q2845" s="531"/>
    </row>
    <row r="2846" spans="13:17" ht="12.75">
      <c r="M2846" s="531"/>
      <c r="Q2846" s="531"/>
    </row>
    <row r="2847" spans="13:17" ht="12.75">
      <c r="M2847" s="531"/>
      <c r="Q2847" s="531"/>
    </row>
    <row r="2848" spans="13:17" ht="12.75">
      <c r="M2848" s="531"/>
      <c r="Q2848" s="531"/>
    </row>
    <row r="2849" spans="13:17" ht="12.75">
      <c r="M2849" s="531"/>
      <c r="Q2849" s="531"/>
    </row>
    <row r="2850" spans="13:17" ht="12.75">
      <c r="M2850" s="531"/>
      <c r="Q2850" s="531"/>
    </row>
    <row r="2851" spans="13:17" ht="12.75">
      <c r="M2851" s="531"/>
      <c r="Q2851" s="531"/>
    </row>
    <row r="2852" spans="13:17" ht="12.75">
      <c r="M2852" s="531"/>
      <c r="Q2852" s="531"/>
    </row>
    <row r="2853" spans="13:17" ht="12.75">
      <c r="M2853" s="531"/>
      <c r="Q2853" s="531"/>
    </row>
    <row r="2854" spans="13:17" ht="12.75">
      <c r="M2854" s="531"/>
      <c r="Q2854" s="531"/>
    </row>
    <row r="2855" spans="13:17" ht="12.75">
      <c r="M2855" s="531"/>
      <c r="Q2855" s="531"/>
    </row>
    <row r="2856" spans="13:17" ht="12.75">
      <c r="M2856" s="531"/>
      <c r="Q2856" s="531"/>
    </row>
    <row r="2857" spans="13:17" ht="12.75">
      <c r="M2857" s="531"/>
      <c r="Q2857" s="531"/>
    </row>
    <row r="2858" spans="13:17" ht="12.75">
      <c r="M2858" s="531"/>
      <c r="Q2858" s="531"/>
    </row>
    <row r="2859" spans="13:17" ht="12.75">
      <c r="M2859" s="531"/>
      <c r="Q2859" s="531"/>
    </row>
    <row r="2860" spans="13:17" ht="12.75">
      <c r="M2860" s="531"/>
      <c r="Q2860" s="531"/>
    </row>
    <row r="2861" spans="13:17" ht="12.75">
      <c r="M2861" s="531"/>
      <c r="Q2861" s="531"/>
    </row>
    <row r="2862" spans="13:17" ht="12.75">
      <c r="M2862" s="531"/>
      <c r="Q2862" s="531"/>
    </row>
    <row r="2863" spans="13:17" ht="12.75">
      <c r="M2863" s="531"/>
      <c r="Q2863" s="531"/>
    </row>
    <row r="2864" spans="13:17" ht="12.75">
      <c r="M2864" s="531"/>
      <c r="Q2864" s="531"/>
    </row>
    <row r="2865" spans="13:17" ht="12.75">
      <c r="M2865" s="531"/>
      <c r="Q2865" s="531"/>
    </row>
    <row r="2866" spans="13:17" ht="12.75">
      <c r="M2866" s="531"/>
      <c r="Q2866" s="531"/>
    </row>
    <row r="2867" spans="13:17" ht="12.75">
      <c r="M2867" s="531"/>
      <c r="Q2867" s="531"/>
    </row>
    <row r="2868" spans="13:17" ht="12.75">
      <c r="M2868" s="531"/>
      <c r="Q2868" s="531"/>
    </row>
    <row r="2869" spans="13:17" ht="12.75">
      <c r="M2869" s="531"/>
      <c r="Q2869" s="531"/>
    </row>
    <row r="2870" spans="13:17" ht="12.75">
      <c r="M2870" s="531"/>
      <c r="Q2870" s="531"/>
    </row>
    <row r="2871" spans="13:17" ht="12.75">
      <c r="M2871" s="531"/>
      <c r="Q2871" s="531"/>
    </row>
    <row r="2872" spans="13:17" ht="12.75">
      <c r="M2872" s="531"/>
      <c r="Q2872" s="531"/>
    </row>
    <row r="2873" spans="13:17" ht="12.75">
      <c r="M2873" s="531"/>
      <c r="Q2873" s="531"/>
    </row>
    <row r="2874" spans="13:17" ht="12.75">
      <c r="M2874" s="531"/>
      <c r="Q2874" s="531"/>
    </row>
    <row r="2875" spans="13:17" ht="12.75">
      <c r="M2875" s="531"/>
      <c r="Q2875" s="531"/>
    </row>
    <row r="2876" spans="13:17" ht="12.75">
      <c r="M2876" s="531"/>
      <c r="Q2876" s="531"/>
    </row>
    <row r="2877" spans="13:17" ht="12.75">
      <c r="M2877" s="531"/>
      <c r="Q2877" s="531"/>
    </row>
    <row r="2878" spans="13:17" ht="12.75">
      <c r="M2878" s="531"/>
      <c r="Q2878" s="531"/>
    </row>
    <row r="2879" spans="13:17" ht="12.75">
      <c r="M2879" s="531"/>
      <c r="Q2879" s="531"/>
    </row>
    <row r="2880" spans="13:17" ht="12.75">
      <c r="M2880" s="531"/>
      <c r="Q2880" s="531"/>
    </row>
    <row r="2881" spans="13:17" ht="12.75">
      <c r="M2881" s="531"/>
      <c r="Q2881" s="531"/>
    </row>
    <row r="2882" spans="13:17" ht="12.75">
      <c r="M2882" s="531"/>
      <c r="Q2882" s="531"/>
    </row>
    <row r="2883" spans="13:17" ht="12.75">
      <c r="M2883" s="531"/>
      <c r="Q2883" s="531"/>
    </row>
    <row r="2884" spans="13:17" ht="12.75">
      <c r="M2884" s="531"/>
      <c r="Q2884" s="531"/>
    </row>
    <row r="2885" spans="13:17" ht="12.75">
      <c r="M2885" s="531"/>
      <c r="Q2885" s="531"/>
    </row>
    <row r="2886" spans="13:17" ht="12.75">
      <c r="M2886" s="531"/>
      <c r="Q2886" s="531"/>
    </row>
    <row r="2887" spans="13:17" ht="12.75">
      <c r="M2887" s="531"/>
      <c r="Q2887" s="531"/>
    </row>
    <row r="2888" spans="13:17" ht="12.75">
      <c r="M2888" s="531"/>
      <c r="Q2888" s="531"/>
    </row>
    <row r="2889" spans="13:17" ht="12.75">
      <c r="M2889" s="531"/>
      <c r="Q2889" s="531"/>
    </row>
    <row r="2890" spans="13:17" ht="12.75">
      <c r="M2890" s="531"/>
      <c r="Q2890" s="531"/>
    </row>
    <row r="2891" spans="13:17" ht="12.75">
      <c r="M2891" s="531"/>
      <c r="Q2891" s="531"/>
    </row>
    <row r="2892" spans="13:17" ht="12.75">
      <c r="M2892" s="531"/>
      <c r="Q2892" s="531"/>
    </row>
    <row r="2893" spans="13:17" ht="12.75">
      <c r="M2893" s="531"/>
      <c r="Q2893" s="531"/>
    </row>
    <row r="2894" spans="13:17" ht="12.75">
      <c r="M2894" s="531"/>
      <c r="Q2894" s="531"/>
    </row>
    <row r="2895" spans="13:17" ht="12.75">
      <c r="M2895" s="531"/>
      <c r="Q2895" s="531"/>
    </row>
    <row r="2896" spans="13:17" ht="12.75">
      <c r="M2896" s="531"/>
      <c r="Q2896" s="531"/>
    </row>
    <row r="2897" spans="13:17" ht="12.75">
      <c r="M2897" s="531"/>
      <c r="Q2897" s="531"/>
    </row>
    <row r="2898" spans="13:17" ht="12.75">
      <c r="M2898" s="531"/>
      <c r="Q2898" s="531"/>
    </row>
    <row r="2899" spans="13:17" ht="12.75">
      <c r="M2899" s="531"/>
      <c r="Q2899" s="531"/>
    </row>
    <row r="2900" spans="13:17" ht="12.75">
      <c r="M2900" s="531"/>
      <c r="Q2900" s="531"/>
    </row>
    <row r="2901" spans="13:17" ht="12.75">
      <c r="M2901" s="531"/>
      <c r="Q2901" s="531"/>
    </row>
    <row r="2902" spans="13:17" ht="12.75">
      <c r="M2902" s="531"/>
      <c r="Q2902" s="531"/>
    </row>
    <row r="2903" spans="13:17" ht="12.75">
      <c r="M2903" s="531"/>
      <c r="Q2903" s="531"/>
    </row>
    <row r="2904" spans="13:17" ht="12.75">
      <c r="M2904" s="531"/>
      <c r="Q2904" s="531"/>
    </row>
    <row r="2905" spans="13:17" ht="12.75">
      <c r="M2905" s="531"/>
      <c r="Q2905" s="531"/>
    </row>
    <row r="2906" spans="13:17" ht="12.75">
      <c r="M2906" s="531"/>
      <c r="Q2906" s="531"/>
    </row>
    <row r="2907" spans="13:17" ht="12.75">
      <c r="M2907" s="531"/>
      <c r="Q2907" s="531"/>
    </row>
    <row r="2908" spans="13:17" ht="12.75">
      <c r="M2908" s="531"/>
      <c r="Q2908" s="531"/>
    </row>
    <row r="2909" spans="13:17" ht="12.75">
      <c r="M2909" s="531"/>
      <c r="Q2909" s="531"/>
    </row>
    <row r="2910" spans="13:17" ht="12.75">
      <c r="M2910" s="531"/>
      <c r="Q2910" s="531"/>
    </row>
    <row r="2911" spans="13:17" ht="12.75">
      <c r="M2911" s="531"/>
      <c r="Q2911" s="531"/>
    </row>
    <row r="2912" spans="13:17" ht="12.75">
      <c r="M2912" s="531"/>
      <c r="Q2912" s="531"/>
    </row>
    <row r="2913" spans="13:17" ht="12.75">
      <c r="M2913" s="531"/>
      <c r="Q2913" s="531"/>
    </row>
    <row r="2914" spans="13:17" ht="12.75">
      <c r="M2914" s="531"/>
      <c r="Q2914" s="531"/>
    </row>
    <row r="2915" spans="13:17" ht="12.75">
      <c r="M2915" s="531"/>
      <c r="Q2915" s="531"/>
    </row>
    <row r="2916" spans="13:17" ht="12.75">
      <c r="M2916" s="531"/>
      <c r="Q2916" s="531"/>
    </row>
    <row r="2917" spans="13:17" ht="12.75">
      <c r="M2917" s="531"/>
      <c r="Q2917" s="531"/>
    </row>
    <row r="2918" spans="13:17" ht="12.75">
      <c r="M2918" s="531"/>
      <c r="Q2918" s="531"/>
    </row>
    <row r="2919" spans="13:17" ht="12.75">
      <c r="M2919" s="531"/>
      <c r="Q2919" s="531"/>
    </row>
    <row r="2920" spans="13:17" ht="12.75">
      <c r="M2920" s="531"/>
      <c r="Q2920" s="531"/>
    </row>
    <row r="2921" spans="13:17" ht="12.75">
      <c r="M2921" s="531"/>
      <c r="Q2921" s="531"/>
    </row>
    <row r="2922" spans="13:17" ht="12.75">
      <c r="M2922" s="531"/>
      <c r="Q2922" s="531"/>
    </row>
    <row r="2923" spans="13:17" ht="12.75">
      <c r="M2923" s="531"/>
      <c r="Q2923" s="531"/>
    </row>
    <row r="2924" spans="13:17" ht="12.75">
      <c r="M2924" s="531"/>
      <c r="Q2924" s="531"/>
    </row>
    <row r="2925" spans="13:17" ht="12.75">
      <c r="M2925" s="531"/>
      <c r="Q2925" s="531"/>
    </row>
    <row r="2926" spans="13:17" ht="12.75">
      <c r="M2926" s="531"/>
      <c r="Q2926" s="531"/>
    </row>
    <row r="2927" spans="13:17" ht="12.75">
      <c r="M2927" s="531"/>
      <c r="Q2927" s="531"/>
    </row>
    <row r="2928" spans="13:17" ht="12.75">
      <c r="M2928" s="531"/>
      <c r="Q2928" s="531"/>
    </row>
    <row r="2929" spans="13:17" ht="12.75">
      <c r="M2929" s="531"/>
      <c r="Q2929" s="531"/>
    </row>
    <row r="2930" spans="13:17" ht="12.75">
      <c r="M2930" s="531"/>
      <c r="Q2930" s="531"/>
    </row>
    <row r="2931" spans="13:17" ht="12.75">
      <c r="M2931" s="531"/>
      <c r="Q2931" s="531"/>
    </row>
    <row r="2932" spans="13:17" ht="12.75">
      <c r="M2932" s="531"/>
      <c r="Q2932" s="531"/>
    </row>
    <row r="2933" spans="13:17" ht="12.75">
      <c r="M2933" s="531"/>
      <c r="Q2933" s="531"/>
    </row>
    <row r="2934" spans="13:17" ht="12.75">
      <c r="M2934" s="531"/>
      <c r="Q2934" s="531"/>
    </row>
    <row r="2935" spans="13:17" ht="12.75">
      <c r="M2935" s="531"/>
      <c r="Q2935" s="531"/>
    </row>
    <row r="2936" spans="13:17" ht="12.75">
      <c r="M2936" s="531"/>
      <c r="Q2936" s="531"/>
    </row>
    <row r="2937" spans="13:17" ht="12.75">
      <c r="M2937" s="531"/>
      <c r="Q2937" s="531"/>
    </row>
    <row r="2938" spans="13:17" ht="12.75">
      <c r="M2938" s="531"/>
      <c r="Q2938" s="531"/>
    </row>
    <row r="2939" spans="13:17" ht="12.75">
      <c r="M2939" s="531"/>
      <c r="Q2939" s="531"/>
    </row>
    <row r="2940" spans="13:17" ht="12.75">
      <c r="M2940" s="531"/>
      <c r="Q2940" s="531"/>
    </row>
    <row r="2941" spans="13:17" ht="12.75">
      <c r="M2941" s="531"/>
      <c r="Q2941" s="531"/>
    </row>
    <row r="2942" spans="13:17" ht="12.75">
      <c r="M2942" s="531"/>
      <c r="Q2942" s="531"/>
    </row>
    <row r="2943" spans="13:17" ht="12.75">
      <c r="M2943" s="531"/>
      <c r="Q2943" s="531"/>
    </row>
    <row r="2944" spans="13:17" ht="12.75">
      <c r="M2944" s="531"/>
      <c r="Q2944" s="531"/>
    </row>
    <row r="2945" spans="13:17" ht="12.75">
      <c r="M2945" s="531"/>
      <c r="Q2945" s="531"/>
    </row>
    <row r="2946" spans="13:17" ht="12.75">
      <c r="M2946" s="531"/>
      <c r="Q2946" s="531"/>
    </row>
    <row r="2947" spans="13:17" ht="12.75">
      <c r="M2947" s="531"/>
      <c r="Q2947" s="531"/>
    </row>
    <row r="2948" spans="13:17" ht="12.75">
      <c r="M2948" s="531"/>
      <c r="Q2948" s="531"/>
    </row>
    <row r="2949" spans="13:17" ht="12.75">
      <c r="M2949" s="531"/>
      <c r="Q2949" s="531"/>
    </row>
    <row r="2950" spans="13:17" ht="12.75">
      <c r="M2950" s="531"/>
      <c r="Q2950" s="531"/>
    </row>
    <row r="2951" spans="13:17" ht="12.75">
      <c r="M2951" s="531"/>
      <c r="Q2951" s="531"/>
    </row>
    <row r="2952" spans="13:17" ht="12.75">
      <c r="M2952" s="531"/>
      <c r="Q2952" s="531"/>
    </row>
    <row r="2953" spans="13:17" ht="12.75">
      <c r="M2953" s="531"/>
      <c r="Q2953" s="531"/>
    </row>
    <row r="2954" spans="13:17" ht="12.75">
      <c r="M2954" s="531"/>
      <c r="Q2954" s="531"/>
    </row>
    <row r="2955" spans="13:17" ht="12.75">
      <c r="M2955" s="531"/>
      <c r="Q2955" s="531"/>
    </row>
    <row r="2956" spans="13:17" ht="12.75">
      <c r="M2956" s="531"/>
      <c r="Q2956" s="531"/>
    </row>
    <row r="2957" spans="13:17" ht="12.75">
      <c r="M2957" s="531"/>
      <c r="Q2957" s="531"/>
    </row>
    <row r="2958" spans="13:17" ht="12.75">
      <c r="M2958" s="531"/>
      <c r="Q2958" s="531"/>
    </row>
    <row r="2959" spans="13:17" ht="12.75">
      <c r="M2959" s="531"/>
      <c r="Q2959" s="531"/>
    </row>
    <row r="2960" spans="13:17" ht="12.75">
      <c r="M2960" s="531"/>
      <c r="Q2960" s="531"/>
    </row>
    <row r="2961" spans="13:17" ht="12.75">
      <c r="M2961" s="531"/>
      <c r="Q2961" s="531"/>
    </row>
    <row r="2962" spans="13:17" ht="12.75">
      <c r="M2962" s="531"/>
      <c r="Q2962" s="531"/>
    </row>
    <row r="2963" spans="13:17" ht="12.75">
      <c r="M2963" s="531"/>
      <c r="Q2963" s="531"/>
    </row>
    <row r="2964" spans="13:17" ht="12.75">
      <c r="M2964" s="531"/>
      <c r="Q2964" s="531"/>
    </row>
    <row r="2965" spans="13:17" ht="12.75">
      <c r="M2965" s="531"/>
      <c r="Q2965" s="531"/>
    </row>
    <row r="2966" spans="13:17" ht="12.75">
      <c r="M2966" s="531"/>
      <c r="Q2966" s="531"/>
    </row>
    <row r="2967" spans="13:17" ht="12.75">
      <c r="M2967" s="531"/>
      <c r="Q2967" s="531"/>
    </row>
    <row r="2968" spans="13:17" ht="12.75">
      <c r="M2968" s="531"/>
      <c r="Q2968" s="531"/>
    </row>
    <row r="2969" spans="13:17" ht="12.75">
      <c r="M2969" s="531"/>
      <c r="Q2969" s="531"/>
    </row>
    <row r="2970" spans="13:17" ht="12.75">
      <c r="M2970" s="531"/>
      <c r="Q2970" s="531"/>
    </row>
    <row r="2971" spans="13:17" ht="12.75">
      <c r="M2971" s="531"/>
      <c r="Q2971" s="531"/>
    </row>
    <row r="2972" spans="13:17" ht="12.75">
      <c r="M2972" s="531"/>
      <c r="Q2972" s="531"/>
    </row>
    <row r="2973" spans="13:17" ht="12.75">
      <c r="M2973" s="531"/>
      <c r="Q2973" s="531"/>
    </row>
    <row r="2974" spans="13:17" ht="12.75">
      <c r="M2974" s="531"/>
      <c r="Q2974" s="531"/>
    </row>
    <row r="2975" spans="13:17" ht="12.75">
      <c r="M2975" s="531"/>
      <c r="Q2975" s="531"/>
    </row>
    <row r="2976" spans="13:17" ht="12.75">
      <c r="M2976" s="531"/>
      <c r="Q2976" s="531"/>
    </row>
    <row r="2977" spans="13:17" ht="12.75">
      <c r="M2977" s="531"/>
      <c r="Q2977" s="531"/>
    </row>
    <row r="2978" spans="13:17" ht="12.75">
      <c r="M2978" s="531"/>
      <c r="Q2978" s="531"/>
    </row>
    <row r="2979" spans="13:17" ht="12.75">
      <c r="M2979" s="531"/>
      <c r="Q2979" s="531"/>
    </row>
    <row r="2980" spans="13:17" ht="12.75">
      <c r="M2980" s="531"/>
      <c r="Q2980" s="531"/>
    </row>
    <row r="2981" spans="13:17" ht="12.75">
      <c r="M2981" s="531"/>
      <c r="Q2981" s="531"/>
    </row>
    <row r="2982" spans="13:17" ht="12.75">
      <c r="M2982" s="531"/>
      <c r="Q2982" s="531"/>
    </row>
    <row r="2983" spans="13:17" ht="12.75">
      <c r="M2983" s="531"/>
      <c r="Q2983" s="531"/>
    </row>
    <row r="2984" spans="13:17" ht="12.75">
      <c r="M2984" s="531"/>
      <c r="Q2984" s="531"/>
    </row>
    <row r="2985" spans="13:17" ht="12.75">
      <c r="M2985" s="531"/>
      <c r="Q2985" s="531"/>
    </row>
    <row r="2986" spans="13:17" ht="12.75">
      <c r="M2986" s="531"/>
      <c r="Q2986" s="531"/>
    </row>
    <row r="2987" spans="13:17" ht="12.75">
      <c r="M2987" s="531"/>
      <c r="Q2987" s="531"/>
    </row>
    <row r="2988" spans="13:17" ht="12.75">
      <c r="M2988" s="531"/>
      <c r="Q2988" s="531"/>
    </row>
    <row r="2989" spans="13:17" ht="12.75">
      <c r="M2989" s="531"/>
      <c r="Q2989" s="531"/>
    </row>
    <row r="2990" spans="13:17" ht="12.75">
      <c r="M2990" s="531"/>
      <c r="Q2990" s="531"/>
    </row>
    <row r="2991" spans="13:17" ht="12.75">
      <c r="M2991" s="531"/>
      <c r="Q2991" s="531"/>
    </row>
    <row r="2992" spans="13:17" ht="12.75">
      <c r="M2992" s="531"/>
      <c r="Q2992" s="531"/>
    </row>
    <row r="2993" spans="13:17" ht="12.75">
      <c r="M2993" s="531"/>
      <c r="Q2993" s="531"/>
    </row>
    <row r="2994" spans="13:17" ht="12.75">
      <c r="M2994" s="531"/>
      <c r="Q2994" s="531"/>
    </row>
    <row r="2995" spans="13:17" ht="12.75">
      <c r="M2995" s="531"/>
      <c r="Q2995" s="531"/>
    </row>
    <row r="2996" spans="13:17" ht="12.75">
      <c r="M2996" s="531"/>
      <c r="Q2996" s="531"/>
    </row>
    <row r="2997" spans="13:17" ht="12.75">
      <c r="M2997" s="531"/>
      <c r="Q2997" s="531"/>
    </row>
    <row r="2998" spans="13:17" ht="12.75">
      <c r="M2998" s="531"/>
      <c r="Q2998" s="531"/>
    </row>
    <row r="2999" spans="13:17" ht="12.75">
      <c r="M2999" s="531"/>
      <c r="Q2999" s="531"/>
    </row>
    <row r="3000" spans="13:17" ht="12.75">
      <c r="M3000" s="531"/>
      <c r="Q3000" s="531"/>
    </row>
    <row r="3001" spans="13:17" ht="12.75">
      <c r="M3001" s="531"/>
      <c r="Q3001" s="531"/>
    </row>
    <row r="3002" spans="13:17" ht="12.75">
      <c r="M3002" s="531"/>
      <c r="Q3002" s="531"/>
    </row>
    <row r="3003" spans="13:17" ht="12.75">
      <c r="M3003" s="531"/>
      <c r="Q3003" s="531"/>
    </row>
    <row r="3004" spans="13:17" ht="12.75">
      <c r="M3004" s="531"/>
      <c r="Q3004" s="531"/>
    </row>
    <row r="3005" spans="13:17" ht="12.75">
      <c r="M3005" s="531"/>
      <c r="Q3005" s="531"/>
    </row>
    <row r="3006" spans="13:17" ht="12.75">
      <c r="M3006" s="531"/>
      <c r="Q3006" s="531"/>
    </row>
    <row r="3007" spans="13:17" ht="12.75">
      <c r="M3007" s="531"/>
      <c r="Q3007" s="531"/>
    </row>
    <row r="3008" spans="13:17" ht="12.75">
      <c r="M3008" s="531"/>
      <c r="Q3008" s="531"/>
    </row>
    <row r="3009" spans="13:17" ht="12.75">
      <c r="M3009" s="531"/>
      <c r="Q3009" s="531"/>
    </row>
    <row r="3010" spans="13:17" ht="12.75">
      <c r="M3010" s="531"/>
      <c r="Q3010" s="531"/>
    </row>
    <row r="3011" spans="13:17" ht="12.75">
      <c r="M3011" s="531"/>
      <c r="Q3011" s="531"/>
    </row>
    <row r="3012" spans="13:17" ht="12.75">
      <c r="M3012" s="531"/>
      <c r="Q3012" s="531"/>
    </row>
    <row r="3013" spans="13:17" ht="12.75">
      <c r="M3013" s="531"/>
      <c r="Q3013" s="531"/>
    </row>
    <row r="3014" spans="13:17" ht="12.75">
      <c r="M3014" s="531"/>
      <c r="Q3014" s="531"/>
    </row>
    <row r="3015" spans="13:17" ht="12.75">
      <c r="M3015" s="531"/>
      <c r="Q3015" s="531"/>
    </row>
    <row r="3016" spans="13:17" ht="12.75">
      <c r="M3016" s="531"/>
      <c r="Q3016" s="531"/>
    </row>
    <row r="3017" spans="13:17" ht="12.75">
      <c r="M3017" s="531"/>
      <c r="Q3017" s="531"/>
    </row>
    <row r="3018" spans="13:17" ht="12.75">
      <c r="M3018" s="531"/>
      <c r="Q3018" s="531"/>
    </row>
    <row r="3019" spans="13:17" ht="12.75">
      <c r="M3019" s="531"/>
      <c r="Q3019" s="531"/>
    </row>
    <row r="3020" spans="13:17" ht="12.75">
      <c r="M3020" s="531"/>
      <c r="Q3020" s="531"/>
    </row>
    <row r="3021" spans="13:17" ht="12.75">
      <c r="M3021" s="531"/>
      <c r="Q3021" s="531"/>
    </row>
    <row r="3022" spans="13:17" ht="12.75">
      <c r="M3022" s="531"/>
      <c r="Q3022" s="531"/>
    </row>
    <row r="3023" spans="13:17" ht="12.75">
      <c r="M3023" s="531"/>
      <c r="Q3023" s="531"/>
    </row>
    <row r="3024" spans="13:17" ht="12.75">
      <c r="M3024" s="531"/>
      <c r="Q3024" s="531"/>
    </row>
    <row r="3025" spans="13:17" ht="12.75">
      <c r="M3025" s="531"/>
      <c r="Q3025" s="531"/>
    </row>
    <row r="3026" spans="13:17" ht="12.75">
      <c r="M3026" s="531"/>
      <c r="Q3026" s="531"/>
    </row>
    <row r="3027" spans="13:17" ht="12.75">
      <c r="M3027" s="531"/>
      <c r="Q3027" s="531"/>
    </row>
    <row r="3028" spans="13:17" ht="12.75">
      <c r="M3028" s="531"/>
      <c r="Q3028" s="531"/>
    </row>
    <row r="3029" spans="13:17" ht="12.75">
      <c r="M3029" s="531"/>
      <c r="Q3029" s="531"/>
    </row>
    <row r="3030" spans="13:17" ht="12.75">
      <c r="M3030" s="531"/>
      <c r="Q3030" s="531"/>
    </row>
    <row r="3031" spans="13:17" ht="12.75">
      <c r="M3031" s="531"/>
      <c r="Q3031" s="531"/>
    </row>
    <row r="3032" spans="13:17" ht="12.75">
      <c r="M3032" s="531"/>
      <c r="Q3032" s="531"/>
    </row>
    <row r="3033" spans="13:17" ht="12.75">
      <c r="M3033" s="531"/>
      <c r="Q3033" s="531"/>
    </row>
    <row r="3034" spans="13:17" ht="12.75">
      <c r="M3034" s="531"/>
      <c r="Q3034" s="531"/>
    </row>
    <row r="3035" spans="13:17" ht="12.75">
      <c r="M3035" s="531"/>
      <c r="Q3035" s="531"/>
    </row>
    <row r="3036" spans="13:17" ht="12.75">
      <c r="M3036" s="531"/>
      <c r="Q3036" s="531"/>
    </row>
    <row r="3037" spans="13:17" ht="12.75">
      <c r="M3037" s="531"/>
      <c r="Q3037" s="531"/>
    </row>
    <row r="3038" spans="13:17" ht="12.75">
      <c r="M3038" s="531"/>
      <c r="Q3038" s="531"/>
    </row>
    <row r="3039" spans="13:17" ht="12.75">
      <c r="M3039" s="531"/>
      <c r="Q3039" s="531"/>
    </row>
    <row r="3040" spans="13:17" ht="12.75">
      <c r="M3040" s="531"/>
      <c r="Q3040" s="531"/>
    </row>
    <row r="3041" spans="13:17" ht="12.75">
      <c r="M3041" s="531"/>
      <c r="Q3041" s="531"/>
    </row>
    <row r="3042" spans="13:17" ht="12.75">
      <c r="M3042" s="531"/>
      <c r="Q3042" s="531"/>
    </row>
    <row r="3043" spans="13:17" ht="12.75">
      <c r="M3043" s="531"/>
      <c r="Q3043" s="531"/>
    </row>
    <row r="3044" spans="13:17" ht="12.75">
      <c r="M3044" s="531"/>
      <c r="Q3044" s="531"/>
    </row>
    <row r="3045" spans="13:17" ht="12.75">
      <c r="M3045" s="531"/>
      <c r="Q3045" s="531"/>
    </row>
    <row r="3046" spans="13:17" ht="12.75">
      <c r="M3046" s="531"/>
      <c r="Q3046" s="531"/>
    </row>
    <row r="3047" spans="13:17" ht="12.75">
      <c r="M3047" s="531"/>
      <c r="Q3047" s="531"/>
    </row>
    <row r="3048" spans="13:17" ht="12.75">
      <c r="M3048" s="531"/>
      <c r="Q3048" s="531"/>
    </row>
    <row r="3049" spans="13:17" ht="12.75">
      <c r="M3049" s="531"/>
      <c r="Q3049" s="531"/>
    </row>
    <row r="3050" spans="13:17" ht="12.75">
      <c r="M3050" s="531"/>
      <c r="Q3050" s="531"/>
    </row>
    <row r="3051" spans="13:17" ht="12.75">
      <c r="M3051" s="531"/>
      <c r="Q3051" s="531"/>
    </row>
    <row r="3052" spans="13:17" ht="12.75">
      <c r="M3052" s="531"/>
      <c r="Q3052" s="531"/>
    </row>
    <row r="3053" spans="13:17" ht="12.75">
      <c r="M3053" s="531"/>
      <c r="Q3053" s="531"/>
    </row>
    <row r="3054" spans="13:17" ht="12.75">
      <c r="M3054" s="531"/>
      <c r="Q3054" s="531"/>
    </row>
    <row r="3055" spans="13:17" ht="12.75">
      <c r="M3055" s="531"/>
      <c r="Q3055" s="531"/>
    </row>
    <row r="3056" spans="13:17" ht="12.75">
      <c r="M3056" s="531"/>
      <c r="Q3056" s="531"/>
    </row>
    <row r="3057" spans="13:17" ht="12.75">
      <c r="M3057" s="531"/>
      <c r="Q3057" s="531"/>
    </row>
    <row r="3058" spans="13:17" ht="12.75">
      <c r="M3058" s="531"/>
      <c r="Q3058" s="531"/>
    </row>
    <row r="3059" spans="13:17" ht="12.75">
      <c r="M3059" s="531"/>
      <c r="Q3059" s="531"/>
    </row>
    <row r="3060" spans="13:17" ht="12.75">
      <c r="M3060" s="531"/>
      <c r="Q3060" s="531"/>
    </row>
    <row r="3061" spans="13:17" ht="12.75">
      <c r="M3061" s="531"/>
      <c r="Q3061" s="531"/>
    </row>
    <row r="3062" spans="13:17" ht="12.75">
      <c r="M3062" s="531"/>
      <c r="Q3062" s="531"/>
    </row>
    <row r="3063" spans="13:17" ht="12.75">
      <c r="M3063" s="531"/>
      <c r="Q3063" s="531"/>
    </row>
    <row r="3064" spans="13:17" ht="12.75">
      <c r="M3064" s="531"/>
      <c r="Q3064" s="531"/>
    </row>
    <row r="3065" spans="13:17" ht="12.75">
      <c r="M3065" s="531"/>
      <c r="Q3065" s="531"/>
    </row>
    <row r="3066" spans="13:17" ht="12.75">
      <c r="M3066" s="531"/>
      <c r="Q3066" s="531"/>
    </row>
    <row r="3067" spans="13:17" ht="12.75">
      <c r="M3067" s="531"/>
      <c r="Q3067" s="531"/>
    </row>
    <row r="3068" spans="13:17" ht="12.75">
      <c r="M3068" s="531"/>
      <c r="Q3068" s="531"/>
    </row>
    <row r="3069" spans="13:17" ht="12.75">
      <c r="M3069" s="531"/>
      <c r="Q3069" s="531"/>
    </row>
    <row r="3070" spans="13:17" ht="12.75">
      <c r="M3070" s="531"/>
      <c r="Q3070" s="531"/>
    </row>
    <row r="3071" spans="13:17" ht="12.75">
      <c r="M3071" s="531"/>
      <c r="Q3071" s="531"/>
    </row>
    <row r="3072" spans="13:17" ht="12.75">
      <c r="M3072" s="531"/>
      <c r="Q3072" s="531"/>
    </row>
    <row r="3073" spans="13:17" ht="12.75">
      <c r="M3073" s="531"/>
      <c r="Q3073" s="531"/>
    </row>
    <row r="3074" spans="13:17" ht="12.75">
      <c r="M3074" s="531"/>
      <c r="Q3074" s="531"/>
    </row>
    <row r="3075" spans="13:17" ht="12.75">
      <c r="M3075" s="531"/>
      <c r="Q3075" s="531"/>
    </row>
    <row r="3076" spans="13:17" ht="12.75">
      <c r="M3076" s="531"/>
      <c r="Q3076" s="531"/>
    </row>
    <row r="3077" spans="13:17" ht="12.75">
      <c r="M3077" s="531"/>
      <c r="Q3077" s="531"/>
    </row>
    <row r="3078" spans="13:17" ht="12.75">
      <c r="M3078" s="531"/>
      <c r="Q3078" s="531"/>
    </row>
    <row r="3079" spans="13:17" ht="12.75">
      <c r="M3079" s="531"/>
      <c r="Q3079" s="531"/>
    </row>
    <row r="3080" spans="13:17" ht="12.75">
      <c r="M3080" s="531"/>
      <c r="Q3080" s="531"/>
    </row>
    <row r="3081" spans="13:17" ht="12.75">
      <c r="M3081" s="531"/>
      <c r="Q3081" s="531"/>
    </row>
    <row r="3082" spans="13:17" ht="12.75">
      <c r="M3082" s="531"/>
      <c r="Q3082" s="531"/>
    </row>
    <row r="3083" spans="13:17" ht="12.75">
      <c r="M3083" s="531"/>
      <c r="Q3083" s="531"/>
    </row>
    <row r="3084" spans="13:17" ht="12.75">
      <c r="M3084" s="531"/>
      <c r="Q3084" s="531"/>
    </row>
    <row r="3085" spans="13:17" ht="12.75">
      <c r="M3085" s="531"/>
      <c r="Q3085" s="531"/>
    </row>
    <row r="3086" spans="13:17" ht="12.75">
      <c r="M3086" s="531"/>
      <c r="Q3086" s="531"/>
    </row>
    <row r="3087" spans="13:17" ht="12.75">
      <c r="M3087" s="531"/>
      <c r="Q3087" s="531"/>
    </row>
    <row r="3088" spans="13:17" ht="12.75">
      <c r="M3088" s="531"/>
      <c r="Q3088" s="531"/>
    </row>
    <row r="3089" spans="13:17" ht="12.75">
      <c r="M3089" s="531"/>
      <c r="Q3089" s="531"/>
    </row>
    <row r="3090" spans="13:17" ht="12.75">
      <c r="M3090" s="531"/>
      <c r="Q3090" s="531"/>
    </row>
    <row r="3091" spans="13:17" ht="12.75">
      <c r="M3091" s="531"/>
      <c r="Q3091" s="531"/>
    </row>
    <row r="3092" spans="13:17" ht="12.75">
      <c r="M3092" s="531"/>
      <c r="Q3092" s="531"/>
    </row>
    <row r="3093" spans="13:17" ht="12.75">
      <c r="M3093" s="531"/>
      <c r="Q3093" s="531"/>
    </row>
    <row r="3094" spans="13:17" ht="12.75">
      <c r="M3094" s="531"/>
      <c r="Q3094" s="531"/>
    </row>
    <row r="3095" spans="13:17" ht="12.75">
      <c r="M3095" s="531"/>
      <c r="Q3095" s="531"/>
    </row>
    <row r="3096" spans="13:17" ht="12.75">
      <c r="M3096" s="531"/>
      <c r="Q3096" s="531"/>
    </row>
    <row r="3097" spans="13:17" ht="12.75">
      <c r="M3097" s="531"/>
      <c r="Q3097" s="531"/>
    </row>
    <row r="3098" spans="13:17" ht="12.75">
      <c r="M3098" s="531"/>
      <c r="Q3098" s="531"/>
    </row>
    <row r="3099" spans="13:17" ht="12.75">
      <c r="M3099" s="531"/>
      <c r="Q3099" s="531"/>
    </row>
    <row r="3100" spans="13:17" ht="12.75">
      <c r="M3100" s="531"/>
      <c r="Q3100" s="531"/>
    </row>
    <row r="3101" spans="13:17" ht="12.75">
      <c r="M3101" s="531"/>
      <c r="Q3101" s="531"/>
    </row>
    <row r="3102" spans="13:17" ht="12.75">
      <c r="M3102" s="531"/>
      <c r="Q3102" s="531"/>
    </row>
    <row r="3103" spans="13:17" ht="12.75">
      <c r="M3103" s="531"/>
      <c r="Q3103" s="531"/>
    </row>
    <row r="3104" spans="13:17" ht="12.75">
      <c r="M3104" s="531"/>
      <c r="Q3104" s="531"/>
    </row>
    <row r="3105" spans="13:17" ht="12.75">
      <c r="M3105" s="531"/>
      <c r="Q3105" s="531"/>
    </row>
    <row r="3106" spans="13:17" ht="12.75">
      <c r="M3106" s="531"/>
      <c r="Q3106" s="531"/>
    </row>
    <row r="3107" spans="13:17" ht="12.75">
      <c r="M3107" s="531"/>
      <c r="Q3107" s="531"/>
    </row>
    <row r="3108" spans="13:17" ht="12.75">
      <c r="M3108" s="531"/>
      <c r="Q3108" s="531"/>
    </row>
    <row r="3109" spans="13:17" ht="12.75">
      <c r="M3109" s="531"/>
      <c r="Q3109" s="531"/>
    </row>
    <row r="3110" spans="13:17" ht="12.75">
      <c r="M3110" s="531"/>
      <c r="Q3110" s="531"/>
    </row>
    <row r="3111" spans="13:17" ht="12.75">
      <c r="M3111" s="531"/>
      <c r="Q3111" s="531"/>
    </row>
    <row r="3112" spans="13:17" ht="12.75">
      <c r="M3112" s="531"/>
      <c r="Q3112" s="531"/>
    </row>
    <row r="3113" spans="13:17" ht="12.75">
      <c r="M3113" s="531"/>
      <c r="Q3113" s="531"/>
    </row>
    <row r="3114" spans="13:17" ht="12.75">
      <c r="M3114" s="531"/>
      <c r="Q3114" s="531"/>
    </row>
    <row r="3115" spans="13:17" ht="12.75">
      <c r="M3115" s="531"/>
      <c r="Q3115" s="531"/>
    </row>
    <row r="3116" spans="13:17" ht="12.75">
      <c r="M3116" s="531"/>
      <c r="Q3116" s="531"/>
    </row>
    <row r="3117" spans="13:17" ht="12.75">
      <c r="M3117" s="531"/>
      <c r="Q3117" s="531"/>
    </row>
    <row r="3118" spans="13:17" ht="12.75">
      <c r="M3118" s="531"/>
      <c r="Q3118" s="531"/>
    </row>
    <row r="3119" spans="13:17" ht="12.75">
      <c r="M3119" s="531"/>
      <c r="Q3119" s="531"/>
    </row>
    <row r="3120" spans="13:17" ht="12.75">
      <c r="M3120" s="531"/>
      <c r="Q3120" s="531"/>
    </row>
    <row r="3121" spans="13:17" ht="12.75">
      <c r="M3121" s="531"/>
      <c r="Q3121" s="531"/>
    </row>
    <row r="3122" spans="13:17" ht="12.75">
      <c r="M3122" s="531"/>
      <c r="Q3122" s="531"/>
    </row>
    <row r="3123" spans="13:17" ht="12.75">
      <c r="M3123" s="531"/>
      <c r="Q3123" s="531"/>
    </row>
    <row r="3124" spans="13:17" ht="12.75">
      <c r="M3124" s="531"/>
      <c r="Q3124" s="531"/>
    </row>
    <row r="3125" spans="13:17" ht="12.75">
      <c r="M3125" s="531"/>
      <c r="Q3125" s="531"/>
    </row>
    <row r="3126" spans="13:17" ht="12.75">
      <c r="M3126" s="531"/>
      <c r="Q3126" s="531"/>
    </row>
    <row r="3127" spans="13:17" ht="12.75">
      <c r="M3127" s="531"/>
      <c r="Q3127" s="531"/>
    </row>
    <row r="3128" spans="13:17" ht="12.75">
      <c r="M3128" s="531"/>
      <c r="Q3128" s="531"/>
    </row>
    <row r="3129" spans="13:17" ht="12.75">
      <c r="M3129" s="531"/>
      <c r="Q3129" s="531"/>
    </row>
    <row r="3130" spans="13:17" ht="12.75">
      <c r="M3130" s="531"/>
      <c r="Q3130" s="531"/>
    </row>
    <row r="3131" spans="13:17" ht="12.75">
      <c r="M3131" s="531"/>
      <c r="Q3131" s="531"/>
    </row>
    <row r="3132" spans="13:17" ht="12.75">
      <c r="M3132" s="531"/>
      <c r="Q3132" s="531"/>
    </row>
    <row r="3133" spans="13:17" ht="12.75">
      <c r="M3133" s="531"/>
      <c r="Q3133" s="531"/>
    </row>
    <row r="3134" spans="13:17" ht="12.75">
      <c r="M3134" s="531"/>
      <c r="Q3134" s="531"/>
    </row>
    <row r="3135" spans="13:17" ht="12.75">
      <c r="M3135" s="531"/>
      <c r="Q3135" s="531"/>
    </row>
    <row r="3136" spans="13:17" ht="12.75">
      <c r="M3136" s="531"/>
      <c r="Q3136" s="531"/>
    </row>
    <row r="3137" spans="13:17" ht="12.75">
      <c r="M3137" s="531"/>
      <c r="Q3137" s="531"/>
    </row>
    <row r="3138" spans="13:17" ht="12.75">
      <c r="M3138" s="531"/>
      <c r="Q3138" s="531"/>
    </row>
    <row r="3139" spans="13:17" ht="12.75">
      <c r="M3139" s="531"/>
      <c r="Q3139" s="531"/>
    </row>
    <row r="3140" spans="13:17" ht="12.75">
      <c r="M3140" s="531"/>
      <c r="Q3140" s="531"/>
    </row>
    <row r="3141" spans="13:17" ht="12.75">
      <c r="M3141" s="531"/>
      <c r="Q3141" s="531"/>
    </row>
    <row r="3142" spans="13:17" ht="12.75">
      <c r="M3142" s="531"/>
      <c r="Q3142" s="531"/>
    </row>
    <row r="3143" spans="13:17" ht="12.75">
      <c r="M3143" s="531"/>
      <c r="Q3143" s="531"/>
    </row>
    <row r="3144" spans="13:17" ht="12.75">
      <c r="M3144" s="531"/>
      <c r="Q3144" s="531"/>
    </row>
    <row r="3145" spans="13:17" ht="12.75">
      <c r="M3145" s="531"/>
      <c r="Q3145" s="531"/>
    </row>
    <row r="3146" spans="13:17" ht="12.75">
      <c r="M3146" s="531"/>
      <c r="Q3146" s="531"/>
    </row>
    <row r="3147" spans="13:17" ht="12.75">
      <c r="M3147" s="531"/>
      <c r="Q3147" s="531"/>
    </row>
    <row r="3148" spans="13:17" ht="12.75">
      <c r="M3148" s="531"/>
      <c r="Q3148" s="531"/>
    </row>
    <row r="3149" spans="13:17" ht="12.75">
      <c r="M3149" s="531"/>
      <c r="Q3149" s="531"/>
    </row>
    <row r="3150" spans="13:17" ht="12.75">
      <c r="M3150" s="531"/>
      <c r="Q3150" s="531"/>
    </row>
    <row r="3151" spans="13:17" ht="12.75">
      <c r="M3151" s="531"/>
      <c r="Q3151" s="531"/>
    </row>
    <row r="3152" spans="13:17" ht="12.75">
      <c r="M3152" s="531"/>
      <c r="Q3152" s="531"/>
    </row>
    <row r="3153" spans="13:17" ht="12.75">
      <c r="M3153" s="531"/>
      <c r="Q3153" s="531"/>
    </row>
    <row r="3154" spans="13:17" ht="12.75">
      <c r="M3154" s="531"/>
      <c r="Q3154" s="531"/>
    </row>
    <row r="3155" spans="13:17" ht="12.75">
      <c r="M3155" s="531"/>
      <c r="Q3155" s="531"/>
    </row>
    <row r="3156" spans="13:17" ht="12.75">
      <c r="M3156" s="531"/>
      <c r="Q3156" s="531"/>
    </row>
    <row r="3157" spans="13:17" ht="12.75">
      <c r="M3157" s="531"/>
      <c r="Q3157" s="531"/>
    </row>
    <row r="3158" spans="13:17" ht="12.75">
      <c r="M3158" s="531"/>
      <c r="Q3158" s="531"/>
    </row>
    <row r="3159" spans="13:17" ht="12.75">
      <c r="M3159" s="531"/>
      <c r="Q3159" s="531"/>
    </row>
    <row r="3160" spans="13:17" ht="12.75">
      <c r="M3160" s="531"/>
      <c r="Q3160" s="531"/>
    </row>
    <row r="3161" spans="13:17" ht="12.75">
      <c r="M3161" s="531"/>
      <c r="Q3161" s="531"/>
    </row>
    <row r="3162" spans="13:17" ht="12.75">
      <c r="M3162" s="531"/>
      <c r="Q3162" s="531"/>
    </row>
    <row r="3163" spans="13:17" ht="12.75">
      <c r="M3163" s="531"/>
      <c r="Q3163" s="531"/>
    </row>
    <row r="3164" spans="13:17" ht="12.75">
      <c r="M3164" s="531"/>
      <c r="Q3164" s="531"/>
    </row>
    <row r="3165" spans="13:17" ht="12.75">
      <c r="M3165" s="531"/>
      <c r="Q3165" s="531"/>
    </row>
    <row r="3166" spans="13:17" ht="12.75">
      <c r="M3166" s="531"/>
      <c r="Q3166" s="531"/>
    </row>
    <row r="3167" spans="13:17" ht="12.75">
      <c r="M3167" s="531"/>
      <c r="Q3167" s="531"/>
    </row>
    <row r="3168" spans="13:17" ht="12.75">
      <c r="M3168" s="531"/>
      <c r="Q3168" s="531"/>
    </row>
    <row r="3169" spans="13:17" ht="12.75">
      <c r="M3169" s="531"/>
      <c r="Q3169" s="531"/>
    </row>
    <row r="3170" spans="13:17" ht="12.75">
      <c r="M3170" s="531"/>
      <c r="Q3170" s="531"/>
    </row>
    <row r="3171" spans="13:17" ht="12.75">
      <c r="M3171" s="531"/>
      <c r="Q3171" s="531"/>
    </row>
    <row r="3172" spans="13:17" ht="12.75">
      <c r="M3172" s="531"/>
      <c r="Q3172" s="531"/>
    </row>
    <row r="3173" spans="13:17" ht="12.75">
      <c r="M3173" s="531"/>
      <c r="Q3173" s="531"/>
    </row>
    <row r="3174" spans="13:17" ht="12.75">
      <c r="M3174" s="531"/>
      <c r="Q3174" s="531"/>
    </row>
    <row r="3175" spans="13:17" ht="12.75">
      <c r="M3175" s="531"/>
      <c r="Q3175" s="531"/>
    </row>
    <row r="3176" spans="13:17" ht="12.75">
      <c r="M3176" s="531"/>
      <c r="Q3176" s="531"/>
    </row>
    <row r="3177" spans="13:17" ht="12.75">
      <c r="M3177" s="531"/>
      <c r="Q3177" s="531"/>
    </row>
    <row r="3178" spans="13:17" ht="12.75">
      <c r="M3178" s="531"/>
      <c r="Q3178" s="531"/>
    </row>
    <row r="3179" spans="13:17" ht="12.75">
      <c r="M3179" s="531"/>
      <c r="Q3179" s="531"/>
    </row>
    <row r="3180" spans="13:17" ht="12.75">
      <c r="M3180" s="531"/>
      <c r="Q3180" s="531"/>
    </row>
    <row r="3181" spans="13:17" ht="12.75">
      <c r="M3181" s="531"/>
      <c r="Q3181" s="531"/>
    </row>
    <row r="3182" spans="13:17" ht="12.75">
      <c r="M3182" s="531"/>
      <c r="Q3182" s="531"/>
    </row>
    <row r="3183" spans="13:17" ht="12.75">
      <c r="M3183" s="531"/>
      <c r="Q3183" s="531"/>
    </row>
    <row r="3184" spans="13:17" ht="12.75">
      <c r="M3184" s="531"/>
      <c r="Q3184" s="531"/>
    </row>
    <row r="3185" spans="13:17" ht="12.75">
      <c r="M3185" s="531"/>
      <c r="Q3185" s="531"/>
    </row>
    <row r="3186" spans="13:17" ht="12.75">
      <c r="M3186" s="531"/>
      <c r="Q3186" s="531"/>
    </row>
    <row r="3187" spans="13:17" ht="12.75">
      <c r="M3187" s="531"/>
      <c r="Q3187" s="531"/>
    </row>
    <row r="3188" spans="13:17" ht="12.75">
      <c r="M3188" s="531"/>
      <c r="Q3188" s="531"/>
    </row>
    <row r="3189" spans="13:17" ht="12.75">
      <c r="M3189" s="531"/>
      <c r="Q3189" s="531"/>
    </row>
    <row r="3190" spans="13:17" ht="12.75">
      <c r="M3190" s="531"/>
      <c r="Q3190" s="531"/>
    </row>
    <row r="3191" spans="13:17" ht="12.75">
      <c r="M3191" s="531"/>
      <c r="Q3191" s="531"/>
    </row>
    <row r="3192" spans="13:17" ht="12.75">
      <c r="M3192" s="531"/>
      <c r="Q3192" s="531"/>
    </row>
    <row r="3193" spans="13:17" ht="12.75">
      <c r="M3193" s="531"/>
      <c r="Q3193" s="531"/>
    </row>
    <row r="3194" spans="13:17" ht="12.75">
      <c r="M3194" s="531"/>
      <c r="Q3194" s="531"/>
    </row>
    <row r="3195" spans="13:17" ht="12.75">
      <c r="M3195" s="531"/>
      <c r="Q3195" s="531"/>
    </row>
    <row r="3196" spans="13:17" ht="12.75">
      <c r="M3196" s="531"/>
      <c r="Q3196" s="531"/>
    </row>
    <row r="3197" spans="13:17" ht="12.75">
      <c r="M3197" s="531"/>
      <c r="Q3197" s="531"/>
    </row>
    <row r="3198" spans="13:17" ht="12.75">
      <c r="M3198" s="531"/>
      <c r="Q3198" s="531"/>
    </row>
    <row r="3199" spans="13:17" ht="12.75">
      <c r="M3199" s="531"/>
      <c r="Q3199" s="531"/>
    </row>
    <row r="3200" spans="13:17" ht="12.75">
      <c r="M3200" s="531"/>
      <c r="Q3200" s="531"/>
    </row>
    <row r="3201" spans="13:17" ht="12.75">
      <c r="M3201" s="531"/>
      <c r="Q3201" s="531"/>
    </row>
    <row r="3202" spans="13:17" ht="12.75">
      <c r="M3202" s="531"/>
      <c r="Q3202" s="531"/>
    </row>
    <row r="3203" spans="13:17" ht="12.75">
      <c r="M3203" s="531"/>
      <c r="Q3203" s="531"/>
    </row>
    <row r="3204" spans="13:17" ht="12.75">
      <c r="M3204" s="531"/>
      <c r="Q3204" s="531"/>
    </row>
    <row r="3205" spans="13:17" ht="12.75">
      <c r="M3205" s="531"/>
      <c r="Q3205" s="531"/>
    </row>
    <row r="3206" spans="13:17" ht="12.75">
      <c r="M3206" s="531"/>
      <c r="Q3206" s="531"/>
    </row>
    <row r="3207" spans="13:17" ht="12.75">
      <c r="M3207" s="531"/>
      <c r="Q3207" s="531"/>
    </row>
    <row r="3208" spans="13:17" ht="12.75">
      <c r="M3208" s="531"/>
      <c r="Q3208" s="531"/>
    </row>
    <row r="3209" spans="13:17" ht="12.75">
      <c r="M3209" s="531"/>
      <c r="Q3209" s="531"/>
    </row>
    <row r="3210" spans="13:17" ht="12.75">
      <c r="M3210" s="531"/>
      <c r="Q3210" s="531"/>
    </row>
    <row r="3211" spans="13:17" ht="12.75">
      <c r="M3211" s="531"/>
      <c r="Q3211" s="531"/>
    </row>
    <row r="3212" spans="13:17" ht="12.75">
      <c r="M3212" s="531"/>
      <c r="Q3212" s="531"/>
    </row>
    <row r="3213" spans="13:17" ht="12.75">
      <c r="M3213" s="531"/>
      <c r="Q3213" s="531"/>
    </row>
    <row r="3214" spans="13:17" ht="12.75">
      <c r="M3214" s="531"/>
      <c r="Q3214" s="531"/>
    </row>
    <row r="3215" spans="13:17" ht="12.75">
      <c r="M3215" s="531"/>
      <c r="Q3215" s="531"/>
    </row>
    <row r="3216" spans="13:17" ht="12.75">
      <c r="M3216" s="531"/>
      <c r="Q3216" s="531"/>
    </row>
    <row r="3217" spans="13:17" ht="12.75">
      <c r="M3217" s="531"/>
      <c r="Q3217" s="531"/>
    </row>
    <row r="3218" spans="13:17" ht="12.75">
      <c r="M3218" s="531"/>
      <c r="Q3218" s="531"/>
    </row>
    <row r="3219" spans="13:17" ht="12.75">
      <c r="M3219" s="531"/>
      <c r="Q3219" s="531"/>
    </row>
    <row r="3220" spans="13:17" ht="12.75">
      <c r="M3220" s="531"/>
      <c r="Q3220" s="531"/>
    </row>
    <row r="3221" spans="13:17" ht="12.75">
      <c r="M3221" s="531"/>
      <c r="Q3221" s="531"/>
    </row>
    <row r="3222" spans="13:17" ht="12.75">
      <c r="M3222" s="531"/>
      <c r="Q3222" s="531"/>
    </row>
    <row r="3223" spans="13:17" ht="12.75">
      <c r="M3223" s="531"/>
      <c r="Q3223" s="531"/>
    </row>
    <row r="3224" spans="13:17" ht="12.75">
      <c r="M3224" s="531"/>
      <c r="Q3224" s="531"/>
    </row>
    <row r="3225" spans="13:17" ht="12.75">
      <c r="M3225" s="531"/>
      <c r="Q3225" s="531"/>
    </row>
    <row r="3226" spans="13:17" ht="12.75">
      <c r="M3226" s="531"/>
      <c r="Q3226" s="531"/>
    </row>
    <row r="3227" spans="13:17" ht="12.75">
      <c r="M3227" s="531"/>
      <c r="Q3227" s="531"/>
    </row>
    <row r="3228" spans="13:17" ht="12.75">
      <c r="M3228" s="531"/>
      <c r="Q3228" s="531"/>
    </row>
    <row r="3229" spans="13:17" ht="12.75">
      <c r="M3229" s="531"/>
      <c r="Q3229" s="531"/>
    </row>
    <row r="3230" spans="13:17" ht="12.75">
      <c r="M3230" s="531"/>
      <c r="Q3230" s="531"/>
    </row>
    <row r="3231" spans="13:17" ht="12.75">
      <c r="M3231" s="531"/>
      <c r="Q3231" s="531"/>
    </row>
    <row r="3232" spans="13:17" ht="12.75">
      <c r="M3232" s="531"/>
      <c r="Q3232" s="531"/>
    </row>
    <row r="3233" spans="13:17" ht="12.75">
      <c r="M3233" s="531"/>
      <c r="Q3233" s="531"/>
    </row>
    <row r="3234" spans="13:17" ht="12.75">
      <c r="M3234" s="531"/>
      <c r="Q3234" s="531"/>
    </row>
    <row r="3235" spans="13:17" ht="12.75">
      <c r="M3235" s="531"/>
      <c r="Q3235" s="531"/>
    </row>
    <row r="3236" spans="13:17" ht="12.75">
      <c r="M3236" s="531"/>
      <c r="Q3236" s="531"/>
    </row>
    <row r="3237" spans="13:17" ht="12.75">
      <c r="M3237" s="531"/>
      <c r="Q3237" s="531"/>
    </row>
    <row r="3238" spans="13:17" ht="12.75">
      <c r="M3238" s="531"/>
      <c r="Q3238" s="531"/>
    </row>
    <row r="3239" spans="13:17" ht="12.75">
      <c r="M3239" s="531"/>
      <c r="Q3239" s="531"/>
    </row>
    <row r="3240" spans="13:17" ht="12.75">
      <c r="M3240" s="531"/>
      <c r="Q3240" s="531"/>
    </row>
    <row r="3241" spans="13:17" ht="12.75">
      <c r="M3241" s="531"/>
      <c r="Q3241" s="531"/>
    </row>
    <row r="3242" spans="13:17" ht="12.75">
      <c r="M3242" s="531"/>
      <c r="Q3242" s="531"/>
    </row>
    <row r="3243" spans="13:17" ht="12.75">
      <c r="M3243" s="531"/>
      <c r="Q3243" s="531"/>
    </row>
    <row r="3244" spans="13:17" ht="12.75">
      <c r="M3244" s="531"/>
      <c r="Q3244" s="531"/>
    </row>
    <row r="3245" spans="13:17" ht="12.75">
      <c r="M3245" s="531"/>
      <c r="Q3245" s="531"/>
    </row>
    <row r="3246" spans="13:17" ht="12.75">
      <c r="M3246" s="531"/>
      <c r="Q3246" s="531"/>
    </row>
    <row r="3247" spans="13:17" ht="12.75">
      <c r="M3247" s="531"/>
      <c r="Q3247" s="531"/>
    </row>
    <row r="3248" spans="13:17" ht="12.75">
      <c r="M3248" s="531"/>
      <c r="Q3248" s="531"/>
    </row>
    <row r="3249" spans="13:17" ht="12.75">
      <c r="M3249" s="531"/>
      <c r="Q3249" s="531"/>
    </row>
    <row r="3250" spans="13:17" ht="12.75">
      <c r="M3250" s="531"/>
      <c r="Q3250" s="531"/>
    </row>
    <row r="3251" spans="13:17" ht="12.75">
      <c r="M3251" s="531"/>
      <c r="Q3251" s="531"/>
    </row>
    <row r="3252" spans="13:17" ht="12.75">
      <c r="M3252" s="531"/>
      <c r="Q3252" s="531"/>
    </row>
    <row r="3253" spans="13:17" ht="12.75">
      <c r="M3253" s="531"/>
      <c r="Q3253" s="531"/>
    </row>
    <row r="3254" spans="13:17" ht="12.75">
      <c r="M3254" s="531"/>
      <c r="Q3254" s="531"/>
    </row>
    <row r="3255" spans="13:17" ht="12.75">
      <c r="M3255" s="531"/>
      <c r="Q3255" s="531"/>
    </row>
    <row r="3256" spans="13:17" ht="12.75">
      <c r="M3256" s="531"/>
      <c r="Q3256" s="531"/>
    </row>
    <row r="3257" spans="13:17" ht="12.75">
      <c r="M3257" s="531"/>
      <c r="Q3257" s="531"/>
    </row>
    <row r="3258" spans="13:17" ht="12.75">
      <c r="M3258" s="531"/>
      <c r="Q3258" s="531"/>
    </row>
    <row r="3259" spans="13:17" ht="12.75">
      <c r="M3259" s="531"/>
      <c r="Q3259" s="531"/>
    </row>
    <row r="3260" spans="13:17" ht="12.75">
      <c r="M3260" s="531"/>
      <c r="Q3260" s="531"/>
    </row>
    <row r="3261" spans="13:17" ht="12.75">
      <c r="M3261" s="531"/>
      <c r="Q3261" s="531"/>
    </row>
    <row r="3262" spans="13:17" ht="12.75">
      <c r="M3262" s="531"/>
      <c r="Q3262" s="531"/>
    </row>
    <row r="3263" spans="13:17" ht="12.75">
      <c r="M3263" s="531"/>
      <c r="Q3263" s="531"/>
    </row>
    <row r="3264" spans="13:17" ht="12.75">
      <c r="M3264" s="531"/>
      <c r="Q3264" s="531"/>
    </row>
    <row r="3265" spans="13:17" ht="12.75">
      <c r="M3265" s="531"/>
      <c r="Q3265" s="531"/>
    </row>
    <row r="3266" spans="13:17" ht="12.75">
      <c r="M3266" s="531"/>
      <c r="Q3266" s="531"/>
    </row>
    <row r="3267" spans="13:17" ht="12.75">
      <c r="M3267" s="531"/>
      <c r="Q3267" s="531"/>
    </row>
    <row r="3268" spans="13:17" ht="12.75">
      <c r="M3268" s="531"/>
      <c r="Q3268" s="531"/>
    </row>
    <row r="3269" spans="13:17" ht="12.75">
      <c r="M3269" s="531"/>
      <c r="Q3269" s="531"/>
    </row>
    <row r="3270" spans="13:17" ht="12.75">
      <c r="M3270" s="531"/>
      <c r="Q3270" s="531"/>
    </row>
    <row r="3271" spans="13:17" ht="12.75">
      <c r="M3271" s="531"/>
      <c r="Q3271" s="531"/>
    </row>
    <row r="3272" spans="13:17" ht="12.75">
      <c r="M3272" s="531"/>
      <c r="Q3272" s="531"/>
    </row>
    <row r="3273" spans="13:17" ht="12.75">
      <c r="M3273" s="531"/>
      <c r="Q3273" s="531"/>
    </row>
    <row r="3274" spans="13:17" ht="12.75">
      <c r="M3274" s="531"/>
      <c r="Q3274" s="531"/>
    </row>
    <row r="3275" spans="13:17" ht="12.75">
      <c r="M3275" s="531"/>
      <c r="Q3275" s="531"/>
    </row>
    <row r="3276" spans="13:17" ht="12.75">
      <c r="M3276" s="531"/>
      <c r="Q3276" s="531"/>
    </row>
    <row r="3277" spans="13:17" ht="12.75">
      <c r="M3277" s="531"/>
      <c r="Q3277" s="531"/>
    </row>
    <row r="3278" spans="13:17" ht="12.75">
      <c r="M3278" s="531"/>
      <c r="Q3278" s="531"/>
    </row>
    <row r="3279" spans="13:17" ht="12.75">
      <c r="M3279" s="531"/>
      <c r="Q3279" s="531"/>
    </row>
    <row r="3280" spans="13:17" ht="12.75">
      <c r="M3280" s="531"/>
      <c r="Q3280" s="531"/>
    </row>
    <row r="3281" spans="13:17" ht="12.75">
      <c r="M3281" s="531"/>
      <c r="Q3281" s="531"/>
    </row>
    <row r="3282" spans="13:17" ht="12.75">
      <c r="M3282" s="531"/>
      <c r="Q3282" s="531"/>
    </row>
    <row r="3283" spans="13:17" ht="12.75">
      <c r="M3283" s="531"/>
      <c r="Q3283" s="531"/>
    </row>
    <row r="3284" spans="13:17" ht="12.75">
      <c r="M3284" s="531"/>
      <c r="Q3284" s="531"/>
    </row>
    <row r="3285" spans="13:17" ht="12.75">
      <c r="M3285" s="531"/>
      <c r="Q3285" s="531"/>
    </row>
    <row r="3286" spans="13:17" ht="12.75">
      <c r="M3286" s="531"/>
      <c r="Q3286" s="531"/>
    </row>
    <row r="3287" spans="13:17" ht="12.75">
      <c r="M3287" s="531"/>
      <c r="Q3287" s="531"/>
    </row>
    <row r="3288" spans="13:17" ht="12.75">
      <c r="M3288" s="531"/>
      <c r="Q3288" s="531"/>
    </row>
    <row r="3289" spans="13:17" ht="12.75">
      <c r="M3289" s="531"/>
      <c r="Q3289" s="531"/>
    </row>
    <row r="3290" spans="13:17" ht="12.75">
      <c r="M3290" s="531"/>
      <c r="Q3290" s="531"/>
    </row>
    <row r="3291" spans="13:17" ht="12.75">
      <c r="M3291" s="531"/>
      <c r="Q3291" s="531"/>
    </row>
    <row r="3292" spans="13:17" ht="12.75">
      <c r="M3292" s="531"/>
      <c r="Q3292" s="531"/>
    </row>
    <row r="3293" spans="13:17" ht="12.75">
      <c r="M3293" s="531"/>
      <c r="Q3293" s="531"/>
    </row>
    <row r="3294" spans="13:17" ht="12.75">
      <c r="M3294" s="531"/>
      <c r="Q3294" s="531"/>
    </row>
    <row r="3295" spans="13:17" ht="12.75">
      <c r="M3295" s="531"/>
      <c r="Q3295" s="531"/>
    </row>
    <row r="3296" spans="13:17" ht="12.75">
      <c r="M3296" s="531"/>
      <c r="Q3296" s="531"/>
    </row>
    <row r="3297" spans="13:17" ht="12.75">
      <c r="M3297" s="531"/>
      <c r="Q3297" s="531"/>
    </row>
    <row r="3298" spans="13:17" ht="12.75">
      <c r="M3298" s="531"/>
      <c r="Q3298" s="531"/>
    </row>
    <row r="3299" spans="13:17" ht="12.75">
      <c r="M3299" s="531"/>
      <c r="Q3299" s="531"/>
    </row>
    <row r="3300" spans="13:17" ht="12.75">
      <c r="M3300" s="531"/>
      <c r="Q3300" s="531"/>
    </row>
    <row r="3301" spans="13:17" ht="12.75">
      <c r="M3301" s="531"/>
      <c r="Q3301" s="531"/>
    </row>
    <row r="3302" spans="13:17" ht="12.75">
      <c r="M3302" s="531"/>
      <c r="Q3302" s="531"/>
    </row>
    <row r="3303" spans="13:17" ht="12.75">
      <c r="M3303" s="531"/>
      <c r="Q3303" s="531"/>
    </row>
    <row r="3304" spans="13:17" ht="12.75">
      <c r="M3304" s="531"/>
      <c r="Q3304" s="531"/>
    </row>
    <row r="3305" spans="13:17" ht="12.75">
      <c r="M3305" s="531"/>
      <c r="Q3305" s="531"/>
    </row>
    <row r="3306" spans="13:17" ht="12.75">
      <c r="M3306" s="531"/>
      <c r="Q3306" s="531"/>
    </row>
    <row r="3307" spans="13:17" ht="12.75">
      <c r="M3307" s="531"/>
      <c r="Q3307" s="531"/>
    </row>
    <row r="3308" spans="13:17" ht="12.75">
      <c r="M3308" s="531"/>
      <c r="Q3308" s="531"/>
    </row>
    <row r="3309" spans="13:17" ht="12.75">
      <c r="M3309" s="531"/>
      <c r="Q3309" s="531"/>
    </row>
    <row r="3310" spans="13:17" ht="12.75">
      <c r="M3310" s="531"/>
      <c r="Q3310" s="531"/>
    </row>
    <row r="3311" spans="13:17" ht="12.75">
      <c r="M3311" s="531"/>
      <c r="Q3311" s="531"/>
    </row>
    <row r="3312" spans="13:17" ht="12.75">
      <c r="M3312" s="531"/>
      <c r="Q3312" s="531"/>
    </row>
    <row r="3313" spans="13:17" ht="12.75">
      <c r="M3313" s="531"/>
      <c r="Q3313" s="531"/>
    </row>
    <row r="3314" spans="13:17" ht="12.75">
      <c r="M3314" s="531"/>
      <c r="Q3314" s="531"/>
    </row>
    <row r="3315" spans="13:17" ht="12.75">
      <c r="M3315" s="531"/>
      <c r="Q3315" s="531"/>
    </row>
    <row r="3316" spans="13:17" ht="12.75">
      <c r="M3316" s="531"/>
      <c r="Q3316" s="531"/>
    </row>
    <row r="3317" spans="13:17" ht="12.75">
      <c r="M3317" s="531"/>
      <c r="Q3317" s="531"/>
    </row>
    <row r="3318" spans="13:17" ht="12.75">
      <c r="M3318" s="531"/>
      <c r="Q3318" s="531"/>
    </row>
    <row r="3319" spans="13:17" ht="12.75">
      <c r="M3319" s="531"/>
      <c r="Q3319" s="531"/>
    </row>
    <row r="3320" spans="13:17" ht="12.75">
      <c r="M3320" s="531"/>
      <c r="Q3320" s="531"/>
    </row>
    <row r="3321" spans="13:17" ht="12.75">
      <c r="M3321" s="531"/>
      <c r="Q3321" s="531"/>
    </row>
    <row r="3322" spans="13:17" ht="12.75">
      <c r="M3322" s="531"/>
      <c r="Q3322" s="531"/>
    </row>
    <row r="3323" spans="13:17" ht="12.75">
      <c r="M3323" s="531"/>
      <c r="Q3323" s="531"/>
    </row>
    <row r="3324" spans="13:17" ht="12.75">
      <c r="M3324" s="531"/>
      <c r="Q3324" s="531"/>
    </row>
    <row r="3325" spans="13:17" ht="12.75">
      <c r="M3325" s="531"/>
      <c r="Q3325" s="531"/>
    </row>
    <row r="3326" spans="13:17" ht="12.75">
      <c r="M3326" s="531"/>
      <c r="Q3326" s="531"/>
    </row>
    <row r="3327" spans="13:17" ht="12.75">
      <c r="M3327" s="531"/>
      <c r="Q3327" s="531"/>
    </row>
    <row r="3328" spans="13:17" ht="12.75">
      <c r="M3328" s="531"/>
      <c r="Q3328" s="531"/>
    </row>
    <row r="3329" spans="13:17" ht="12.75">
      <c r="M3329" s="531"/>
      <c r="Q3329" s="531"/>
    </row>
    <row r="3330" spans="13:17" ht="12.75">
      <c r="M3330" s="531"/>
      <c r="Q3330" s="531"/>
    </row>
    <row r="3331" spans="13:17" ht="12.75">
      <c r="M3331" s="531"/>
      <c r="Q3331" s="531"/>
    </row>
    <row r="3332" spans="13:17" ht="12.75">
      <c r="M3332" s="531"/>
      <c r="Q3332" s="531"/>
    </row>
    <row r="3333" spans="13:17" ht="12.75">
      <c r="M3333" s="531"/>
      <c r="Q3333" s="531"/>
    </row>
    <row r="3334" spans="13:17" ht="12.75">
      <c r="M3334" s="531"/>
      <c r="Q3334" s="531"/>
    </row>
    <row r="3335" spans="13:17" ht="12.75">
      <c r="M3335" s="531"/>
      <c r="Q3335" s="531"/>
    </row>
    <row r="3336" spans="13:17" ht="12.75">
      <c r="M3336" s="531"/>
      <c r="Q3336" s="531"/>
    </row>
    <row r="3337" spans="13:17" ht="12.75">
      <c r="M3337" s="531"/>
      <c r="Q3337" s="531"/>
    </row>
    <row r="3338" spans="13:17" ht="12.75">
      <c r="M3338" s="531"/>
      <c r="Q3338" s="531"/>
    </row>
    <row r="3339" spans="13:17" ht="12.75">
      <c r="M3339" s="531"/>
      <c r="Q3339" s="531"/>
    </row>
    <row r="3340" spans="13:17" ht="12.75">
      <c r="M3340" s="531"/>
      <c r="Q3340" s="531"/>
    </row>
    <row r="3341" spans="13:17" ht="12.75">
      <c r="M3341" s="531"/>
      <c r="Q3341" s="531"/>
    </row>
    <row r="3342" ht="12.75">
      <c r="Q3342" s="531"/>
    </row>
    <row r="3343" ht="12.75">
      <c r="Q3343" s="531"/>
    </row>
    <row r="3344" ht="12.75">
      <c r="Q3344" s="531"/>
    </row>
    <row r="3345" ht="12.75">
      <c r="Q3345" s="531"/>
    </row>
    <row r="3346" ht="12.75">
      <c r="Q3346" s="531"/>
    </row>
    <row r="3347" ht="12.75">
      <c r="Q3347" s="531"/>
    </row>
    <row r="3348" ht="12.75">
      <c r="Q3348" s="531"/>
    </row>
    <row r="3349" ht="12.75">
      <c r="Q3349" s="531"/>
    </row>
    <row r="3350" ht="12.75">
      <c r="Q3350" s="531"/>
    </row>
    <row r="3351" ht="12.75">
      <c r="Q3351" s="531"/>
    </row>
    <row r="3352" ht="12.75">
      <c r="Q3352" s="531"/>
    </row>
    <row r="3353" ht="12.75">
      <c r="Q3353" s="531"/>
    </row>
    <row r="3354" ht="12.75">
      <c r="Q3354" s="531"/>
    </row>
    <row r="3355" ht="12.75">
      <c r="Q3355" s="531"/>
    </row>
    <row r="3356" ht="12.75">
      <c r="Q3356" s="531"/>
    </row>
    <row r="3357" ht="12.75">
      <c r="Q3357" s="531"/>
    </row>
    <row r="3358" ht="12.75">
      <c r="Q3358" s="531"/>
    </row>
    <row r="3359" ht="12.75">
      <c r="Q3359" s="531"/>
    </row>
    <row r="3360" ht="12.75">
      <c r="Q3360" s="531"/>
    </row>
    <row r="3361" ht="12.75">
      <c r="Q3361" s="531"/>
    </row>
    <row r="3362" ht="12.75">
      <c r="Q3362" s="531"/>
    </row>
    <row r="3363" ht="12.75">
      <c r="Q3363" s="531"/>
    </row>
    <row r="3364" ht="12.75">
      <c r="Q3364" s="531"/>
    </row>
    <row r="3365" ht="12.75">
      <c r="Q3365" s="531"/>
    </row>
    <row r="3366" ht="12.75">
      <c r="Q3366" s="531"/>
    </row>
    <row r="3367" ht="12.75">
      <c r="Q3367" s="531"/>
    </row>
    <row r="3368" ht="12.75">
      <c r="Q3368" s="531"/>
    </row>
    <row r="3369" ht="12.75">
      <c r="Q3369" s="531"/>
    </row>
    <row r="3370" ht="12.75">
      <c r="Q3370" s="531"/>
    </row>
    <row r="3371" ht="12.75">
      <c r="Q3371" s="531"/>
    </row>
    <row r="3372" ht="12.75">
      <c r="Q3372" s="531"/>
    </row>
    <row r="3373" ht="12.75">
      <c r="Q3373" s="531"/>
    </row>
    <row r="3374" ht="12.75">
      <c r="Q3374" s="531"/>
    </row>
    <row r="3375" ht="12.75">
      <c r="Q3375" s="531"/>
    </row>
    <row r="3376" ht="12.75">
      <c r="Q3376" s="531"/>
    </row>
    <row r="3377" ht="12.75">
      <c r="Q3377" s="531"/>
    </row>
    <row r="3378" ht="12.75">
      <c r="Q3378" s="531"/>
    </row>
    <row r="3379" ht="12.75">
      <c r="Q3379" s="531"/>
    </row>
    <row r="3380" ht="12.75">
      <c r="Q3380" s="531"/>
    </row>
    <row r="3381" ht="12.75">
      <c r="Q3381" s="531"/>
    </row>
    <row r="3382" ht="12.75">
      <c r="Q3382" s="531"/>
    </row>
    <row r="3383" ht="12.75">
      <c r="Q3383" s="531"/>
    </row>
    <row r="3384" ht="12.75">
      <c r="Q3384" s="531"/>
    </row>
    <row r="3385" ht="12.75">
      <c r="Q3385" s="531"/>
    </row>
    <row r="3386" ht="12.75">
      <c r="Q3386" s="531"/>
    </row>
    <row r="3387" ht="12.75">
      <c r="Q3387" s="531"/>
    </row>
    <row r="3388" ht="12.75">
      <c r="Q3388" s="531"/>
    </row>
    <row r="3389" ht="12.75">
      <c r="Q3389" s="531"/>
    </row>
    <row r="3390" ht="12.75">
      <c r="Q3390" s="531"/>
    </row>
    <row r="3391" ht="12.75">
      <c r="Q3391" s="531"/>
    </row>
    <row r="3392" ht="12.75">
      <c r="Q3392" s="531"/>
    </row>
    <row r="3393" ht="12.75">
      <c r="Q3393" s="531"/>
    </row>
    <row r="3394" ht="12.75">
      <c r="Q3394" s="531"/>
    </row>
    <row r="3395" ht="12.75">
      <c r="Q3395" s="531"/>
    </row>
    <row r="3396" ht="12.75">
      <c r="Q3396" s="531"/>
    </row>
    <row r="3397" ht="12.75">
      <c r="Q3397" s="531"/>
    </row>
    <row r="3398" ht="12.75">
      <c r="Q3398" s="531"/>
    </row>
    <row r="3399" ht="12.75">
      <c r="Q3399" s="531"/>
    </row>
    <row r="3400" ht="12.75">
      <c r="Q3400" s="531"/>
    </row>
    <row r="3401" ht="12.75">
      <c r="Q3401" s="531"/>
    </row>
    <row r="3402" ht="12.75">
      <c r="Q3402" s="531"/>
    </row>
    <row r="3403" ht="12.75">
      <c r="Q3403" s="531"/>
    </row>
    <row r="3404" ht="12.75">
      <c r="Q3404" s="531"/>
    </row>
    <row r="3405" ht="12.75">
      <c r="Q3405" s="531"/>
    </row>
    <row r="3406" ht="12.75">
      <c r="Q3406" s="531"/>
    </row>
    <row r="3407" ht="12.75">
      <c r="Q3407" s="531"/>
    </row>
    <row r="3408" ht="12.75">
      <c r="Q3408" s="531"/>
    </row>
    <row r="3409" ht="12.75">
      <c r="Q3409" s="531"/>
    </row>
    <row r="3410" ht="12.75">
      <c r="Q3410" s="531"/>
    </row>
    <row r="3411" ht="12.75">
      <c r="Q3411" s="531"/>
    </row>
    <row r="3412" ht="12.75">
      <c r="Q3412" s="531"/>
    </row>
    <row r="3413" ht="12.75">
      <c r="Q3413" s="531"/>
    </row>
    <row r="3414" ht="12.75">
      <c r="Q3414" s="531"/>
    </row>
    <row r="3415" ht="12.75">
      <c r="Q3415" s="531"/>
    </row>
    <row r="3416" ht="12.75">
      <c r="Q3416" s="531"/>
    </row>
    <row r="3417" ht="12.75">
      <c r="Q3417" s="531"/>
    </row>
    <row r="3418" ht="12.75">
      <c r="Q3418" s="531"/>
    </row>
    <row r="3419" ht="12.75">
      <c r="Q3419" s="531"/>
    </row>
    <row r="3420" ht="12.75">
      <c r="Q3420" s="531"/>
    </row>
    <row r="3421" ht="12.75">
      <c r="Q3421" s="531"/>
    </row>
    <row r="3422" ht="12.75">
      <c r="Q3422" s="531"/>
    </row>
    <row r="3423" ht="12.75">
      <c r="Q3423" s="531"/>
    </row>
    <row r="3424" ht="12.75">
      <c r="Q3424" s="531"/>
    </row>
    <row r="3425" ht="12.75">
      <c r="Q3425" s="531"/>
    </row>
    <row r="3426" ht="12.75">
      <c r="Q3426" s="531"/>
    </row>
    <row r="3427" ht="12.75">
      <c r="Q3427" s="531"/>
    </row>
    <row r="3428" ht="12.75">
      <c r="Q3428" s="531"/>
    </row>
    <row r="3429" ht="12.75">
      <c r="Q3429" s="531"/>
    </row>
    <row r="3430" ht="12.75">
      <c r="Q3430" s="531"/>
    </row>
    <row r="3431" ht="12.75">
      <c r="Q3431" s="531"/>
    </row>
    <row r="3432" ht="12.75">
      <c r="Q3432" s="531"/>
    </row>
    <row r="3433" ht="12.75">
      <c r="Q3433" s="531"/>
    </row>
    <row r="3434" ht="12.75">
      <c r="Q3434" s="531"/>
    </row>
    <row r="3435" ht="12.75">
      <c r="Q3435" s="531"/>
    </row>
    <row r="3436" ht="12.75">
      <c r="Q3436" s="531"/>
    </row>
    <row r="3437" ht="12.75">
      <c r="Q3437" s="531"/>
    </row>
    <row r="3438" ht="12.75">
      <c r="Q3438" s="531"/>
    </row>
    <row r="3439" ht="12.75">
      <c r="Q3439" s="531"/>
    </row>
    <row r="3440" ht="12.75">
      <c r="Q3440" s="531"/>
    </row>
    <row r="3441" ht="12.75">
      <c r="Q3441" s="531"/>
    </row>
    <row r="3442" ht="12.75">
      <c r="Q3442" s="531"/>
    </row>
    <row r="3443" ht="12.75">
      <c r="Q3443" s="531"/>
    </row>
    <row r="3444" ht="12.75">
      <c r="Q3444" s="531"/>
    </row>
    <row r="3445" ht="12.75">
      <c r="Q3445" s="531"/>
    </row>
    <row r="3446" ht="12.75">
      <c r="Q3446" s="531"/>
    </row>
    <row r="3447" ht="12.75">
      <c r="Q3447" s="531"/>
    </row>
    <row r="3448" ht="12.75">
      <c r="Q3448" s="531"/>
    </row>
    <row r="3449" ht="12.75">
      <c r="Q3449" s="531"/>
    </row>
    <row r="3450" ht="12.75">
      <c r="Q3450" s="531"/>
    </row>
    <row r="3451" ht="12.75">
      <c r="Q3451" s="531"/>
    </row>
    <row r="3452" ht="12.75">
      <c r="Q3452" s="531"/>
    </row>
    <row r="3453" ht="12.75">
      <c r="Q3453" s="531"/>
    </row>
    <row r="3454" ht="12.75">
      <c r="Q3454" s="531"/>
    </row>
    <row r="3455" ht="12.75">
      <c r="Q3455" s="531"/>
    </row>
    <row r="3456" ht="12.75">
      <c r="Q3456" s="531"/>
    </row>
    <row r="3457" ht="12.75">
      <c r="Q3457" s="531"/>
    </row>
    <row r="3458" ht="12.75">
      <c r="Q3458" s="531"/>
    </row>
    <row r="3459" ht="12.75">
      <c r="Q3459" s="531"/>
    </row>
    <row r="3460" ht="12.75">
      <c r="Q3460" s="531"/>
    </row>
    <row r="3461" ht="12.75">
      <c r="Q3461" s="531"/>
    </row>
    <row r="3462" ht="12.75">
      <c r="Q3462" s="531"/>
    </row>
    <row r="3463" ht="12.75">
      <c r="Q3463" s="531"/>
    </row>
    <row r="3464" ht="12.75">
      <c r="Q3464" s="531"/>
    </row>
    <row r="3465" ht="12.75">
      <c r="Q3465" s="531"/>
    </row>
    <row r="3466" ht="12.75">
      <c r="Q3466" s="531"/>
    </row>
    <row r="3467" ht="12.75">
      <c r="Q3467" s="531"/>
    </row>
    <row r="3468" ht="12.75">
      <c r="Q3468" s="531"/>
    </row>
    <row r="3469" ht="12.75">
      <c r="Q3469" s="531"/>
    </row>
    <row r="3470" ht="12.75">
      <c r="Q3470" s="531"/>
    </row>
    <row r="3471" ht="12.75">
      <c r="Q3471" s="531"/>
    </row>
    <row r="3472" ht="12.75">
      <c r="Q3472" s="531"/>
    </row>
    <row r="3473" ht="12.75">
      <c r="Q3473" s="531"/>
    </row>
    <row r="3474" ht="12.75">
      <c r="Q3474" s="531"/>
    </row>
    <row r="3475" ht="12.75">
      <c r="Q3475" s="531"/>
    </row>
    <row r="3476" ht="12.75">
      <c r="Q3476" s="531"/>
    </row>
    <row r="3477" ht="12.75">
      <c r="Q3477" s="531"/>
    </row>
    <row r="3478" ht="12.75">
      <c r="Q3478" s="531"/>
    </row>
    <row r="3479" ht="12.75">
      <c r="Q3479" s="531"/>
    </row>
    <row r="3480" ht="12.75">
      <c r="Q3480" s="531"/>
    </row>
    <row r="3481" ht="12.75">
      <c r="Q3481" s="531"/>
    </row>
    <row r="3482" ht="12.75">
      <c r="Q3482" s="531"/>
    </row>
    <row r="3483" ht="12.75">
      <c r="Q3483" s="531"/>
    </row>
    <row r="3484" ht="12.75">
      <c r="Q3484" s="531"/>
    </row>
    <row r="3485" ht="12.75">
      <c r="Q3485" s="531"/>
    </row>
    <row r="3486" ht="12.75">
      <c r="Q3486" s="531"/>
    </row>
    <row r="3487" ht="12.75">
      <c r="Q3487" s="531"/>
    </row>
    <row r="3488" ht="12.75">
      <c r="Q3488" s="531"/>
    </row>
    <row r="3489" ht="12.75">
      <c r="Q3489" s="531"/>
    </row>
    <row r="3490" ht="12.75">
      <c r="Q3490" s="531"/>
    </row>
    <row r="3491" ht="12.75">
      <c r="Q3491" s="531"/>
    </row>
    <row r="3492" ht="12.75">
      <c r="Q3492" s="531"/>
    </row>
    <row r="3493" ht="12.75">
      <c r="Q3493" s="531"/>
    </row>
    <row r="3494" ht="12.75">
      <c r="Q3494" s="531"/>
    </row>
    <row r="3495" ht="12.75">
      <c r="Q3495" s="531"/>
    </row>
    <row r="3496" ht="12.75">
      <c r="Q3496" s="531"/>
    </row>
    <row r="3497" ht="12.75">
      <c r="Q3497" s="531"/>
    </row>
    <row r="3498" ht="12.75">
      <c r="Q3498" s="531"/>
    </row>
    <row r="3499" ht="12.75">
      <c r="Q3499" s="531"/>
    </row>
    <row r="3500" ht="12.75">
      <c r="Q3500" s="531"/>
    </row>
    <row r="3501" ht="12.75">
      <c r="Q3501" s="531"/>
    </row>
    <row r="3502" ht="12.75">
      <c r="Q3502" s="531"/>
    </row>
    <row r="3503" ht="12.75">
      <c r="Q3503" s="531"/>
    </row>
    <row r="3504" ht="12.75">
      <c r="Q3504" s="531"/>
    </row>
    <row r="3505" ht="12.75">
      <c r="Q3505" s="531"/>
    </row>
    <row r="3506" ht="12.75">
      <c r="Q3506" s="531"/>
    </row>
  </sheetData>
  <sheetProtection password="C977" sheet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N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9.57421875" style="0" customWidth="1"/>
    <col min="3" max="3" width="9.28125" style="0" bestFit="1" customWidth="1"/>
    <col min="4" max="4" width="14.421875" style="0" bestFit="1" customWidth="1"/>
    <col min="5" max="10" width="14.00390625" style="0" bestFit="1" customWidth="1"/>
    <col min="11" max="11" width="14.28125" style="0" customWidth="1"/>
    <col min="12" max="13" width="14.00390625" style="0" bestFit="1" customWidth="1"/>
    <col min="14" max="14" width="12.8515625" style="0" bestFit="1" customWidth="1"/>
  </cols>
  <sheetData>
    <row r="1" spans="2:5" ht="20.25">
      <c r="B1" s="272"/>
      <c r="C1" s="164"/>
      <c r="D1" s="164"/>
      <c r="E1" s="164"/>
    </row>
    <row r="2" spans="3:13" ht="12.75">
      <c r="C2" s="110" t="s">
        <v>335</v>
      </c>
      <c r="D2" s="112" t="s">
        <v>325</v>
      </c>
      <c r="E2" s="112" t="s">
        <v>326</v>
      </c>
      <c r="F2" s="112" t="s">
        <v>327</v>
      </c>
      <c r="G2" s="112" t="s">
        <v>328</v>
      </c>
      <c r="H2" s="112" t="s">
        <v>329</v>
      </c>
      <c r="I2" s="112" t="s">
        <v>330</v>
      </c>
      <c r="J2" s="112" t="s">
        <v>331</v>
      </c>
      <c r="K2" s="112" t="s">
        <v>332</v>
      </c>
      <c r="L2" s="112" t="s">
        <v>333</v>
      </c>
      <c r="M2" s="112" t="s">
        <v>334</v>
      </c>
    </row>
    <row r="3" spans="2:13" ht="12.75">
      <c r="B3" s="113" t="s">
        <v>429</v>
      </c>
      <c r="C3" s="111"/>
      <c r="D3" s="116">
        <f>'Market Projection'!F46</f>
        <v>24579926.51984</v>
      </c>
      <c r="E3" s="116">
        <f>'Market Projection'!G46</f>
        <v>24825725.7850384</v>
      </c>
      <c r="F3" s="116">
        <f>'Market Projection'!H46</f>
        <v>25073983.042888783</v>
      </c>
      <c r="G3" s="116">
        <f>'Market Projection'!I46</f>
        <v>25324722.87331767</v>
      </c>
      <c r="H3" s="116">
        <f>'Market Projection'!J46</f>
        <v>25577970.10205085</v>
      </c>
      <c r="I3" s="116">
        <f>'Market Projection'!K46</f>
        <v>25833749.803071357</v>
      </c>
      <c r="J3" s="116">
        <f>'Market Projection'!L46</f>
        <v>26092087.301102076</v>
      </c>
      <c r="K3" s="116">
        <f>'Market Projection'!M46</f>
        <v>26353008.17411309</v>
      </c>
      <c r="L3" s="116">
        <f>'Market Projection'!N46</f>
        <v>26616538.255854223</v>
      </c>
      <c r="M3" s="116">
        <f>'Market Projection'!O46</f>
        <v>26882703.63841277</v>
      </c>
    </row>
    <row r="4" spans="2:13" ht="12.75">
      <c r="B4" s="111" t="s">
        <v>142</v>
      </c>
      <c r="D4" s="116">
        <f>'Market Projection'!F66</f>
        <v>26862789.2208</v>
      </c>
      <c r="E4" s="116">
        <f>'Market Projection'!G66</f>
        <v>27066634.703008</v>
      </c>
      <c r="F4" s="116">
        <f>'Market Projection'!H66</f>
        <v>27337301.05003808</v>
      </c>
      <c r="G4" s="116">
        <f>'Market Projection'!I66</f>
        <v>27610674.060538463</v>
      </c>
      <c r="H4" s="116">
        <f>'Market Projection'!J66</f>
        <v>27886780.801143847</v>
      </c>
      <c r="I4" s="116">
        <f>'Market Projection'!K66</f>
        <v>28165648.609155282</v>
      </c>
      <c r="J4" s="116">
        <f>'Market Projection'!L66</f>
        <v>28447305.095246837</v>
      </c>
      <c r="K4" s="116">
        <f>'Market Projection'!M66</f>
        <v>28731778.146199305</v>
      </c>
      <c r="L4" s="116">
        <f>'Market Projection'!N66</f>
        <v>29019095.927661296</v>
      </c>
      <c r="M4" s="116">
        <f>'Market Projection'!O66</f>
        <v>29309286.886937913</v>
      </c>
    </row>
    <row r="5" spans="2:13" ht="12.75">
      <c r="B5" s="111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2:13" ht="12.75">
      <c r="B6" s="113" t="s">
        <v>379</v>
      </c>
      <c r="C6" s="114">
        <f>'Market Projection'!C41</f>
        <v>0</v>
      </c>
      <c r="D6" s="118">
        <f>+'Market Projection'!F68</f>
        <v>-2282862.700960003</v>
      </c>
      <c r="E6" s="118">
        <f>+'Market Projection'!G68</f>
        <v>-2240908.9179695994</v>
      </c>
      <c r="F6" s="118">
        <f>+'Market Projection'!H68</f>
        <v>-2263318.0071492977</v>
      </c>
      <c r="G6" s="118">
        <f>+'Market Projection'!I68</f>
        <v>-2285951.187220793</v>
      </c>
      <c r="H6" s="118">
        <f>+'Market Projection'!J68</f>
        <v>-2308810.699092999</v>
      </c>
      <c r="I6" s="118">
        <f>+'Market Projection'!K68</f>
        <v>-2331898.806083925</v>
      </c>
      <c r="J6" s="118">
        <f>+'Market Projection'!L68</f>
        <v>-2355217.794144761</v>
      </c>
      <c r="K6" s="118">
        <f>+'Market Projection'!M68</f>
        <v>-2378769.9720862135</v>
      </c>
      <c r="L6" s="118">
        <f>+'Market Projection'!N68</f>
        <v>-2402557.671807073</v>
      </c>
      <c r="M6" s="118">
        <f>+'Market Projection'!O68</f>
        <v>-2426583.2485251427</v>
      </c>
    </row>
    <row r="7" spans="2:13" ht="12.75">
      <c r="B7" s="113" t="s">
        <v>652</v>
      </c>
      <c r="C7" s="114">
        <v>0</v>
      </c>
      <c r="D7" s="422">
        <f>('Input Value'!F35+'Input Value'!F36+'Input Value'!F37)*IF('Input Value'!F25=1,'Input Value'!F23,0)</f>
        <v>500000</v>
      </c>
      <c r="E7" s="241">
        <f>'Input Value'!$F$36*IF('Input Value'!$F$25=1,'Input Value'!$F$23,0)</f>
        <v>0</v>
      </c>
      <c r="F7" s="241">
        <f>'Input Value'!$F$36*IF('Input Value'!$F$25=1,'Input Value'!$F$23,0)</f>
        <v>0</v>
      </c>
      <c r="G7" s="241">
        <f>'Input Value'!$F$36*IF('Input Value'!$F$25=1,'Input Value'!$F$23,0)</f>
        <v>0</v>
      </c>
      <c r="H7" s="241">
        <f>'Input Value'!$F$36*IF('Input Value'!$F$25=1,'Input Value'!$F$23,0)</f>
        <v>0</v>
      </c>
      <c r="I7" s="241">
        <f>'Input Value'!$F$36*IF('Input Value'!$F$25=1,'Input Value'!$F$23,0)</f>
        <v>0</v>
      </c>
      <c r="J7" s="241">
        <f>'Input Value'!$F$36*IF('Input Value'!$F$25=1,'Input Value'!$F$23,0)</f>
        <v>0</v>
      </c>
      <c r="K7" s="241">
        <f>'Input Value'!$F$36*IF('Input Value'!$F$25=1,'Input Value'!$F$23,0)</f>
        <v>0</v>
      </c>
      <c r="L7" s="241">
        <f>'Input Value'!$F$36*IF('Input Value'!$F$25=1,'Input Value'!$F$23,0)</f>
        <v>0</v>
      </c>
      <c r="M7" s="241">
        <f>'Input Value'!$F$36*IF('Input Value'!$F$25=1,'Input Value'!$F$23,0)</f>
        <v>0</v>
      </c>
    </row>
    <row r="8" spans="2:13" ht="12.75">
      <c r="B8" s="113" t="s">
        <v>377</v>
      </c>
      <c r="C8" s="115">
        <f>SUM(C6:C6)</f>
        <v>0</v>
      </c>
      <c r="D8" s="242">
        <f aca="true" t="shared" si="0" ref="D8:M8">SUM(D6:D7)</f>
        <v>-1782862.7009600028</v>
      </c>
      <c r="E8" s="242">
        <f t="shared" si="0"/>
        <v>-2240908.9179695994</v>
      </c>
      <c r="F8" s="242">
        <f t="shared" si="0"/>
        <v>-2263318.0071492977</v>
      </c>
      <c r="G8" s="242">
        <f t="shared" si="0"/>
        <v>-2285951.187220793</v>
      </c>
      <c r="H8" s="242">
        <f t="shared" si="0"/>
        <v>-2308810.699092999</v>
      </c>
      <c r="I8" s="242">
        <f t="shared" si="0"/>
        <v>-2331898.806083925</v>
      </c>
      <c r="J8" s="242">
        <f t="shared" si="0"/>
        <v>-2355217.794144761</v>
      </c>
      <c r="K8" s="242">
        <f t="shared" si="0"/>
        <v>-2378769.9720862135</v>
      </c>
      <c r="L8" s="242">
        <f t="shared" si="0"/>
        <v>-2402557.671807073</v>
      </c>
      <c r="M8" s="242">
        <f t="shared" si="0"/>
        <v>-2426583.2485251427</v>
      </c>
    </row>
    <row r="9" spans="2:13" ht="12.75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2:13" ht="12.75">
      <c r="B10" s="110" t="s">
        <v>122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3" ht="12.75">
      <c r="B11" s="111" t="s">
        <v>361</v>
      </c>
      <c r="C11" s="114">
        <f>'Expense Projection'!D37</f>
        <v>0</v>
      </c>
      <c r="D11" s="114">
        <f>'Expense Projection'!E37</f>
        <v>2198130.8094923412</v>
      </c>
      <c r="E11" s="114">
        <f>'Expense Projection'!F37</f>
        <v>2205386.2094923407</v>
      </c>
      <c r="F11" s="114">
        <f>'Expense Projection'!G37</f>
        <v>2212714.163492341</v>
      </c>
      <c r="G11" s="114">
        <f>'Expense Projection'!H37</f>
        <v>2220115.397032341</v>
      </c>
      <c r="H11" s="114">
        <f>'Expense Projection'!I37</f>
        <v>2227590.642907741</v>
      </c>
      <c r="I11" s="114">
        <f>'Expense Projection'!J37</f>
        <v>2235140.641241895</v>
      </c>
      <c r="J11" s="114">
        <f>'Expense Projection'!K37</f>
        <v>2242766.1395593905</v>
      </c>
      <c r="K11" s="114">
        <f>'Expense Projection'!L37</f>
        <v>2250467.892860061</v>
      </c>
      <c r="L11" s="114">
        <f>'Expense Projection'!M37</f>
        <v>2258246.663693738</v>
      </c>
      <c r="M11" s="114">
        <f>'Expense Projection'!N37</f>
        <v>2266103.2222357523</v>
      </c>
    </row>
    <row r="12" spans="2:13" ht="12.75">
      <c r="B12" s="111" t="s">
        <v>363</v>
      </c>
      <c r="C12" s="114">
        <f>'Expense Projection'!D59</f>
        <v>5000</v>
      </c>
      <c r="D12" s="114">
        <f>'Expense Projection'!E59</f>
        <v>1243635.5140177878</v>
      </c>
      <c r="E12" s="114">
        <f>'Expense Projection'!F59</f>
        <v>1697033.0585120548</v>
      </c>
      <c r="F12" s="114">
        <f>'Expense Projection'!G59</f>
        <v>1363516.9029546068</v>
      </c>
      <c r="G12" s="114">
        <f>'Expense Projection'!H59</f>
        <v>920378.0577762786</v>
      </c>
      <c r="H12" s="114">
        <f>'Expense Projection'!I59</f>
        <v>902698.6425466042</v>
      </c>
      <c r="I12" s="114">
        <f>'Expense Projection'!J59</f>
        <v>884637.7265298222</v>
      </c>
      <c r="J12" s="114">
        <f>'Expense Projection'!K59</f>
        <v>661276.7800072348</v>
      </c>
      <c r="K12" s="114">
        <f>'Expense Projection'!L59</f>
        <v>436878.134126993</v>
      </c>
      <c r="L12" s="114">
        <f>'Expense Projection'!M59</f>
        <v>413875.6717388687</v>
      </c>
      <c r="M12" s="114">
        <f>'Expense Projection'!N59</f>
        <v>389148.024671635</v>
      </c>
    </row>
    <row r="13" spans="2:13" ht="12.75">
      <c r="B13" s="111" t="s">
        <v>373</v>
      </c>
      <c r="C13" s="114">
        <f>'Expense Projection'!D67</f>
        <v>0</v>
      </c>
      <c r="D13" s="114">
        <f>'Expense Projection'!E67</f>
        <v>0</v>
      </c>
      <c r="E13" s="114">
        <f>'Expense Projection'!F67</f>
        <v>54000</v>
      </c>
      <c r="F13" s="114">
        <f>'Expense Projection'!G67</f>
        <v>54000</v>
      </c>
      <c r="G13" s="114">
        <f>'Expense Projection'!H67</f>
        <v>54000</v>
      </c>
      <c r="H13" s="114">
        <f>'Expense Projection'!I67</f>
        <v>54000</v>
      </c>
      <c r="I13" s="114">
        <f>'Expense Projection'!J67</f>
        <v>54000</v>
      </c>
      <c r="J13" s="114">
        <f>'Expense Projection'!K67</f>
        <v>54000</v>
      </c>
      <c r="K13" s="114">
        <f>'Expense Projection'!L67</f>
        <v>54000</v>
      </c>
      <c r="L13" s="114">
        <f>'Expense Projection'!M67</f>
        <v>54000</v>
      </c>
      <c r="M13" s="114">
        <f>'Expense Projection'!N67</f>
        <v>54000</v>
      </c>
    </row>
    <row r="14" spans="2:13" ht="12.75">
      <c r="B14" s="113" t="s">
        <v>376</v>
      </c>
      <c r="C14" s="115">
        <f aca="true" t="shared" si="1" ref="C14:M14">SUM(C11:C13)</f>
        <v>5000</v>
      </c>
      <c r="D14" s="115">
        <f t="shared" si="1"/>
        <v>3441766.323510129</v>
      </c>
      <c r="E14" s="115">
        <f t="shared" si="1"/>
        <v>3956419.2680043955</v>
      </c>
      <c r="F14" s="115">
        <f t="shared" si="1"/>
        <v>3630231.066446948</v>
      </c>
      <c r="G14" s="115">
        <f t="shared" si="1"/>
        <v>3194493.45480862</v>
      </c>
      <c r="H14" s="115">
        <f t="shared" si="1"/>
        <v>3184289.285454345</v>
      </c>
      <c r="I14" s="115">
        <f t="shared" si="1"/>
        <v>3173778.3677717173</v>
      </c>
      <c r="J14" s="115">
        <f t="shared" si="1"/>
        <v>2958042.9195666253</v>
      </c>
      <c r="K14" s="115">
        <f t="shared" si="1"/>
        <v>2741346.026987054</v>
      </c>
      <c r="L14" s="115">
        <f t="shared" si="1"/>
        <v>2726122.3354326067</v>
      </c>
      <c r="M14" s="115">
        <f t="shared" si="1"/>
        <v>2709251.2469073874</v>
      </c>
    </row>
    <row r="15" spans="2:13" ht="12.75">
      <c r="B15" s="113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</row>
    <row r="16" spans="2:14" ht="12.75">
      <c r="B16" s="113" t="s">
        <v>0</v>
      </c>
      <c r="C16" s="115">
        <f>C8-C14</f>
        <v>-5000</v>
      </c>
      <c r="D16" s="115">
        <f aca="true" t="shared" si="2" ref="D16:M16">D8-D14</f>
        <v>-5224629.024470132</v>
      </c>
      <c r="E16" s="115">
        <f t="shared" si="2"/>
        <v>-6197328.185973994</v>
      </c>
      <c r="F16" s="115">
        <f t="shared" si="2"/>
        <v>-5893549.073596246</v>
      </c>
      <c r="G16" s="115">
        <f t="shared" si="2"/>
        <v>-5480444.642029413</v>
      </c>
      <c r="H16" s="115">
        <f t="shared" si="2"/>
        <v>-5493099.984547344</v>
      </c>
      <c r="I16" s="115">
        <f t="shared" si="2"/>
        <v>-5505677.173855642</v>
      </c>
      <c r="J16" s="115">
        <f t="shared" si="2"/>
        <v>-5313260.713711387</v>
      </c>
      <c r="K16" s="115">
        <f t="shared" si="2"/>
        <v>-5120115.999073267</v>
      </c>
      <c r="L16" s="115">
        <f t="shared" si="2"/>
        <v>-5128680.00723968</v>
      </c>
      <c r="M16" s="115">
        <f t="shared" si="2"/>
        <v>-5135834.49543253</v>
      </c>
      <c r="N16" s="6"/>
    </row>
    <row r="17" spans="2:13" ht="12.75"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</row>
    <row r="18" spans="2:14" ht="12.75">
      <c r="B18" s="113" t="s">
        <v>670</v>
      </c>
      <c r="C18" s="114">
        <v>0</v>
      </c>
      <c r="D18" s="422">
        <f>'Input Value'!$F$33*IF('Input Value'!$F$25=1,'Input Value'!$F$23,0)</f>
        <v>1000000</v>
      </c>
      <c r="E18" s="422">
        <f>'Input Value'!$F$33*IF('Input Value'!$F$25=1,'Input Value'!$F$23,0)</f>
        <v>1000000</v>
      </c>
      <c r="F18" s="422">
        <f>'Input Value'!$F$33*IF('Input Value'!$F$25=1,'Input Value'!$F$23,0)</f>
        <v>1000000</v>
      </c>
      <c r="G18" s="422">
        <f>'Input Value'!$F$33*IF('Input Value'!$F$25=1,'Input Value'!$F$23,0)</f>
        <v>1000000</v>
      </c>
      <c r="H18" s="422">
        <f>'Input Value'!$F$33*IF('Input Value'!$F$25=1,'Input Value'!$F$23,0)</f>
        <v>1000000</v>
      </c>
      <c r="I18" s="299"/>
      <c r="J18" s="299"/>
      <c r="K18" s="299"/>
      <c r="L18" s="299"/>
      <c r="M18" s="299"/>
      <c r="N18" s="176"/>
    </row>
    <row r="19" spans="2:14" ht="12.75">
      <c r="B19" t="s">
        <v>673</v>
      </c>
      <c r="D19" s="301">
        <f>MIN(D20,D18)</f>
        <v>0</v>
      </c>
      <c r="E19" s="301">
        <f aca="true" t="shared" si="3" ref="E19:M19">MIN(E20,E18)</f>
        <v>0</v>
      </c>
      <c r="F19" s="301">
        <f t="shared" si="3"/>
        <v>0</v>
      </c>
      <c r="G19" s="301">
        <f t="shared" si="3"/>
        <v>0</v>
      </c>
      <c r="H19" s="301">
        <f t="shared" si="3"/>
        <v>0</v>
      </c>
      <c r="I19" s="301">
        <f t="shared" si="3"/>
        <v>0</v>
      </c>
      <c r="J19" s="301">
        <f t="shared" si="3"/>
        <v>0</v>
      </c>
      <c r="K19" s="301">
        <f t="shared" si="3"/>
        <v>0</v>
      </c>
      <c r="L19" s="301">
        <f t="shared" si="3"/>
        <v>0</v>
      </c>
      <c r="M19" s="301">
        <f t="shared" si="3"/>
        <v>0</v>
      </c>
      <c r="N19" s="176"/>
    </row>
    <row r="20" spans="2:14" ht="12.75">
      <c r="B20" s="113" t="s">
        <v>424</v>
      </c>
      <c r="C20" s="182">
        <f>IF(C16&gt;0,'Input Value'!$C$15*C16,0)</f>
        <v>0</v>
      </c>
      <c r="D20" s="182">
        <f>IF(D16&gt;0,'Input Value'!$C$15*D16,0)</f>
        <v>0</v>
      </c>
      <c r="E20" s="182">
        <f>IF(E16&gt;0,'Input Value'!$C$15*E16,0)</f>
        <v>0</v>
      </c>
      <c r="F20" s="182">
        <f>IF(F16&gt;0,'Input Value'!$C$15*F16,0)</f>
        <v>0</v>
      </c>
      <c r="G20" s="182">
        <f>IF(G16&gt;0,'Input Value'!$C$15*G16,0)</f>
        <v>0</v>
      </c>
      <c r="H20" s="182">
        <f>IF(H16&gt;0,'Input Value'!$C$15*H16,0)</f>
        <v>0</v>
      </c>
      <c r="I20" s="182">
        <f>IF(I16&gt;0,'Input Value'!$C$15*I16,0)</f>
        <v>0</v>
      </c>
      <c r="J20" s="182">
        <f>IF(J16&gt;0,'Input Value'!$C$15*J16,0)</f>
        <v>0</v>
      </c>
      <c r="K20" s="182">
        <f>IF(K16&gt;0,'Input Value'!$C$15*K16,0)</f>
        <v>0</v>
      </c>
      <c r="L20" s="182">
        <f>IF(L16&gt;0,'Input Value'!$C$15*L16,0)</f>
        <v>0</v>
      </c>
      <c r="M20" s="182">
        <f>IF(M16&gt;0,'Input Value'!$C$15*M16,0)</f>
        <v>0</v>
      </c>
      <c r="N20" s="176"/>
    </row>
    <row r="21" spans="2:13" ht="12.75">
      <c r="B21" s="113" t="s">
        <v>671</v>
      </c>
      <c r="C21" s="114"/>
      <c r="D21" s="300">
        <f>MAX(D20-(D19+C22),0)</f>
        <v>0</v>
      </c>
      <c r="E21" s="300">
        <f aca="true" t="shared" si="4" ref="E21:M21">MAX(E20-(E19+D22),0)</f>
        <v>0</v>
      </c>
      <c r="F21" s="300">
        <f t="shared" si="4"/>
        <v>0</v>
      </c>
      <c r="G21" s="300">
        <f t="shared" si="4"/>
        <v>0</v>
      </c>
      <c r="H21" s="300">
        <f t="shared" si="4"/>
        <v>0</v>
      </c>
      <c r="I21" s="300">
        <f t="shared" si="4"/>
        <v>0</v>
      </c>
      <c r="J21" s="300">
        <f t="shared" si="4"/>
        <v>0</v>
      </c>
      <c r="K21" s="300">
        <f t="shared" si="4"/>
        <v>0</v>
      </c>
      <c r="L21" s="300">
        <f t="shared" si="4"/>
        <v>0</v>
      </c>
      <c r="M21" s="300">
        <f t="shared" si="4"/>
        <v>0</v>
      </c>
    </row>
    <row r="22" spans="2:14" ht="12.75">
      <c r="B22" s="113" t="s">
        <v>672</v>
      </c>
      <c r="D22" s="423">
        <f>IF((D18-D20)&gt;0,(D18-D20),0)</f>
        <v>1000000</v>
      </c>
      <c r="E22" s="423">
        <f>IF((E18-E20)&gt;0,(E18-E20),0)+D22</f>
        <v>2000000</v>
      </c>
      <c r="F22" s="423">
        <f aca="true" t="shared" si="5" ref="F22:M22">IF((F18-F20)&gt;0,(F18-F20),0)+E22</f>
        <v>3000000</v>
      </c>
      <c r="G22" s="423">
        <f t="shared" si="5"/>
        <v>4000000</v>
      </c>
      <c r="H22" s="423">
        <f t="shared" si="5"/>
        <v>5000000</v>
      </c>
      <c r="I22" s="423">
        <f t="shared" si="5"/>
        <v>5000000</v>
      </c>
      <c r="J22" s="423">
        <f t="shared" si="5"/>
        <v>5000000</v>
      </c>
      <c r="K22" s="423">
        <f t="shared" si="5"/>
        <v>5000000</v>
      </c>
      <c r="L22" s="423">
        <f t="shared" si="5"/>
        <v>5000000</v>
      </c>
      <c r="M22" s="423">
        <f t="shared" si="5"/>
        <v>5000000</v>
      </c>
      <c r="N22" s="14"/>
    </row>
    <row r="23" spans="2:14" ht="12.75">
      <c r="B23" s="113" t="s">
        <v>425</v>
      </c>
      <c r="C23" s="115">
        <f>C16-C20</f>
        <v>-5000</v>
      </c>
      <c r="D23" s="115">
        <f>D16-D20</f>
        <v>-5224629.024470132</v>
      </c>
      <c r="E23" s="115">
        <f aca="true" t="shared" si="6" ref="E23:M23">E16-E20</f>
        <v>-6197328.185973994</v>
      </c>
      <c r="F23" s="115">
        <f t="shared" si="6"/>
        <v>-5893549.073596246</v>
      </c>
      <c r="G23" s="115">
        <f t="shared" si="6"/>
        <v>-5480444.642029413</v>
      </c>
      <c r="H23" s="115">
        <f t="shared" si="6"/>
        <v>-5493099.984547344</v>
      </c>
      <c r="I23" s="115">
        <f t="shared" si="6"/>
        <v>-5505677.173855642</v>
      </c>
      <c r="J23" s="115">
        <f t="shared" si="6"/>
        <v>-5313260.713711387</v>
      </c>
      <c r="K23" s="115">
        <f t="shared" si="6"/>
        <v>-5120115.999073267</v>
      </c>
      <c r="L23" s="115">
        <f t="shared" si="6"/>
        <v>-5128680.00723968</v>
      </c>
      <c r="M23" s="115">
        <f t="shared" si="6"/>
        <v>-5135834.49543253</v>
      </c>
      <c r="N23" s="14"/>
    </row>
    <row r="24" spans="2:13" ht="12.75">
      <c r="B24" s="110" t="s">
        <v>446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2:13" ht="12.75">
      <c r="B25" s="117"/>
      <c r="C25" s="112" t="str">
        <f aca="true" t="shared" si="7" ref="C25:M25">C2</f>
        <v>Year 0</v>
      </c>
      <c r="D25" s="112" t="str">
        <f t="shared" si="7"/>
        <v>Year 1</v>
      </c>
      <c r="E25" s="112" t="str">
        <f t="shared" si="7"/>
        <v>Year 2</v>
      </c>
      <c r="F25" s="112" t="str">
        <f t="shared" si="7"/>
        <v>Year 3</v>
      </c>
      <c r="G25" s="112" t="str">
        <f t="shared" si="7"/>
        <v>Year 4</v>
      </c>
      <c r="H25" s="112" t="str">
        <f t="shared" si="7"/>
        <v>Year 5</v>
      </c>
      <c r="I25" s="112" t="str">
        <f t="shared" si="7"/>
        <v>Year 6</v>
      </c>
      <c r="J25" s="112" t="str">
        <f t="shared" si="7"/>
        <v>Year 7</v>
      </c>
      <c r="K25" s="112" t="str">
        <f t="shared" si="7"/>
        <v>Year 8</v>
      </c>
      <c r="L25" s="112" t="str">
        <f t="shared" si="7"/>
        <v>Year 9</v>
      </c>
      <c r="M25" s="112" t="str">
        <f t="shared" si="7"/>
        <v>Year 10</v>
      </c>
    </row>
    <row r="26" spans="2:13" ht="12.75">
      <c r="B26" s="111" t="s">
        <v>432</v>
      </c>
      <c r="C26" s="116">
        <f aca="true" t="shared" si="8" ref="C26:M26">C23</f>
        <v>-5000</v>
      </c>
      <c r="D26" s="116">
        <f t="shared" si="8"/>
        <v>-5224629.024470132</v>
      </c>
      <c r="E26" s="116">
        <f t="shared" si="8"/>
        <v>-6197328.185973994</v>
      </c>
      <c r="F26" s="116">
        <f t="shared" si="8"/>
        <v>-5893549.073596246</v>
      </c>
      <c r="G26" s="116">
        <f t="shared" si="8"/>
        <v>-5480444.642029413</v>
      </c>
      <c r="H26" s="116">
        <f t="shared" si="8"/>
        <v>-5493099.984547344</v>
      </c>
      <c r="I26" s="116">
        <f t="shared" si="8"/>
        <v>-5505677.173855642</v>
      </c>
      <c r="J26" s="116">
        <f t="shared" si="8"/>
        <v>-5313260.713711387</v>
      </c>
      <c r="K26" s="116">
        <f t="shared" si="8"/>
        <v>-5120115.999073267</v>
      </c>
      <c r="L26" s="116">
        <f t="shared" si="8"/>
        <v>-5128680.00723968</v>
      </c>
      <c r="M26" s="116">
        <f t="shared" si="8"/>
        <v>-5135834.49543253</v>
      </c>
    </row>
    <row r="27" spans="2:13" ht="12.75">
      <c r="B27" s="111" t="s">
        <v>372</v>
      </c>
      <c r="C27" s="116">
        <v>0</v>
      </c>
      <c r="D27" s="116">
        <f>Depreciation!L10</f>
        <v>672896.8661856448</v>
      </c>
      <c r="E27" s="116">
        <f>Depreciation!M10</f>
        <v>1140159.2576170734</v>
      </c>
      <c r="F27" s="116">
        <f>Depreciation!N10</f>
        <v>821547.8125170734</v>
      </c>
      <c r="G27" s="116">
        <f>Depreciation!O10</f>
        <v>431931.5310805019</v>
      </c>
      <c r="H27" s="116">
        <f>Depreciation!P10</f>
        <v>431476.3718732162</v>
      </c>
      <c r="I27" s="116">
        <f>Depreciation!Q10</f>
        <v>431931.5310805019</v>
      </c>
      <c r="J27" s="116">
        <f>Depreciation!R10</f>
        <v>228475.36542378756</v>
      </c>
      <c r="K27" s="116">
        <f>Depreciation!S10</f>
        <v>25474.358974358976</v>
      </c>
      <c r="L27" s="116">
        <f>Depreciation!T10</f>
        <v>25474.358974358976</v>
      </c>
      <c r="M27" s="116">
        <f>Depreciation!U10</f>
        <v>25474.358974358976</v>
      </c>
    </row>
    <row r="28" spans="2:13" ht="12.75">
      <c r="B28" s="111" t="s">
        <v>433</v>
      </c>
      <c r="C28" s="116">
        <v>0</v>
      </c>
      <c r="D28" s="116">
        <f>'Loan Amortization'!C15</f>
        <v>184864.62582881545</v>
      </c>
      <c r="E28" s="116">
        <f>'Loan Amortization'!D15</f>
        <v>198729.47276597662</v>
      </c>
      <c r="F28" s="116">
        <f>'Loan Amortization'!E15</f>
        <v>213634.18322342486</v>
      </c>
      <c r="G28" s="116">
        <f>'Loan Amortization'!F15</f>
        <v>229656.74696518175</v>
      </c>
      <c r="H28" s="116">
        <f>'Loan Amortization'!G15</f>
        <v>246881.00298757036</v>
      </c>
      <c r="I28" s="116">
        <f>'Loan Amortization'!H15</f>
        <v>265397.07821163815</v>
      </c>
      <c r="J28" s="116">
        <f>'Loan Amortization'!I15</f>
        <v>285301.859077511</v>
      </c>
      <c r="K28" s="116">
        <f>'Loan Amortization'!J15</f>
        <v>306699.4985083243</v>
      </c>
      <c r="L28" s="116">
        <f>'Loan Amortization'!K15</f>
        <v>329701.96089644864</v>
      </c>
      <c r="M28" s="116">
        <f>'Loan Amortization'!L15</f>
        <v>354429.6079636823</v>
      </c>
    </row>
    <row r="29" spans="2:13" ht="12.75">
      <c r="B29" s="111" t="s">
        <v>637</v>
      </c>
      <c r="C29" s="116"/>
      <c r="D29" s="116">
        <f>+Depreciation!L12</f>
        <v>0</v>
      </c>
      <c r="E29" s="116">
        <f>+Depreciation!M12</f>
        <v>0</v>
      </c>
      <c r="F29" s="116">
        <f>+Depreciation!N12</f>
        <v>0</v>
      </c>
      <c r="G29" s="116">
        <f>+Depreciation!O12</f>
        <v>0</v>
      </c>
      <c r="H29" s="116">
        <f>+Depreciation!P12</f>
        <v>0</v>
      </c>
      <c r="I29" s="116">
        <f>+Depreciation!Q12</f>
        <v>0</v>
      </c>
      <c r="J29" s="116">
        <f>+Depreciation!R12</f>
        <v>0</v>
      </c>
      <c r="K29" s="116">
        <f>+Depreciation!S12</f>
        <v>0</v>
      </c>
      <c r="L29" s="116">
        <f>+Depreciation!T12</f>
        <v>0</v>
      </c>
      <c r="M29" s="116">
        <f>+Depreciation!U12</f>
        <v>0</v>
      </c>
    </row>
    <row r="30" spans="2:13" ht="12.75">
      <c r="B30" s="113" t="s">
        <v>434</v>
      </c>
      <c r="C30" s="118">
        <f>C26+C27-C28</f>
        <v>-5000</v>
      </c>
      <c r="D30" s="118">
        <f>D26+D27-D28-D29</f>
        <v>-4736596.784113303</v>
      </c>
      <c r="E30" s="118">
        <f aca="true" t="shared" si="9" ref="E30:M30">E26+E27-E28-E29</f>
        <v>-5255898.401122898</v>
      </c>
      <c r="F30" s="118">
        <f t="shared" si="9"/>
        <v>-5285635.444302597</v>
      </c>
      <c r="G30" s="118">
        <f t="shared" si="9"/>
        <v>-5278169.857914093</v>
      </c>
      <c r="H30" s="118">
        <f t="shared" si="9"/>
        <v>-5308504.615661698</v>
      </c>
      <c r="I30" s="118">
        <f t="shared" si="9"/>
        <v>-5339142.720986778</v>
      </c>
      <c r="J30" s="118">
        <f t="shared" si="9"/>
        <v>-5370087.2073651105</v>
      </c>
      <c r="K30" s="118">
        <f t="shared" si="9"/>
        <v>-5401341.138607232</v>
      </c>
      <c r="L30" s="118">
        <f t="shared" si="9"/>
        <v>-5432907.609161769</v>
      </c>
      <c r="M30" s="118">
        <f t="shared" si="9"/>
        <v>-5464789.744421853</v>
      </c>
    </row>
    <row r="31" spans="2:13" ht="12.75">
      <c r="B31" s="113" t="s">
        <v>638</v>
      </c>
      <c r="C31" s="118"/>
      <c r="D31" s="118">
        <f>SUM($C30:D30)</f>
        <v>-4741596.784113303</v>
      </c>
      <c r="E31" s="118">
        <f>SUM($C30:E30)</f>
        <v>-9997495.1852362</v>
      </c>
      <c r="F31" s="118">
        <f>SUM($C30:F30)</f>
        <v>-15283130.629538797</v>
      </c>
      <c r="G31" s="118">
        <f>SUM($C30:G30)</f>
        <v>-20561300.48745289</v>
      </c>
      <c r="H31" s="118">
        <f>SUM($C30:H30)</f>
        <v>-25869805.10311459</v>
      </c>
      <c r="I31" s="118">
        <f>SUM($C30:I30)</f>
        <v>-31208947.824101366</v>
      </c>
      <c r="J31" s="118">
        <f>SUM($C30:J30)</f>
        <v>-36579035.03146648</v>
      </c>
      <c r="K31" s="118">
        <f>SUM($C30:K30)</f>
        <v>-41980376.17007371</v>
      </c>
      <c r="L31" s="118">
        <f>SUM($C30:L30)</f>
        <v>-47413283.77923548</v>
      </c>
      <c r="M31" s="118">
        <f>SUM($C30:M30)</f>
        <v>-52878073.52365734</v>
      </c>
    </row>
    <row r="33" ht="12.75">
      <c r="D33" s="6"/>
    </row>
  </sheetData>
  <sheetProtection password="C977" sheet="1"/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61"/>
  <sheetViews>
    <sheetView zoomScalePageLayoutView="0" workbookViewId="0" topLeftCell="A15">
      <pane xSplit="2" topLeftCell="K1" activePane="topRight" state="frozen"/>
      <selection pane="topLeft" activeCell="A1" sqref="A1"/>
      <selection pane="topRight" activeCell="M37" sqref="M37"/>
    </sheetView>
  </sheetViews>
  <sheetFormatPr defaultColWidth="9.140625" defaultRowHeight="12.75"/>
  <cols>
    <col min="1" max="1" width="38.8515625" style="0" customWidth="1"/>
    <col min="2" max="2" width="14.421875" style="0" bestFit="1" customWidth="1"/>
    <col min="3" max="6" width="11.57421875" style="0" bestFit="1" customWidth="1"/>
    <col min="8" max="8" width="12.421875" style="0" customWidth="1"/>
    <col min="9" max="12" width="9.28125" style="0" bestFit="1" customWidth="1"/>
  </cols>
  <sheetData>
    <row r="1" ht="12.75">
      <c r="A1" s="1" t="s">
        <v>519</v>
      </c>
    </row>
    <row r="2" ht="12.75">
      <c r="G2" t="s">
        <v>520</v>
      </c>
    </row>
    <row r="3" spans="1:19" ht="12.75">
      <c r="A3" s="654" t="s">
        <v>490</v>
      </c>
      <c r="B3" s="654"/>
      <c r="C3" s="654"/>
      <c r="D3" s="654"/>
      <c r="E3" s="654"/>
      <c r="F3" s="654"/>
      <c r="I3">
        <v>1994</v>
      </c>
      <c r="J3">
        <v>1995</v>
      </c>
      <c r="K3">
        <v>1996</v>
      </c>
      <c r="L3">
        <v>1997</v>
      </c>
      <c r="M3">
        <v>1998</v>
      </c>
      <c r="N3">
        <v>1999</v>
      </c>
      <c r="O3">
        <v>2000</v>
      </c>
      <c r="P3">
        <v>2001</v>
      </c>
      <c r="Q3">
        <v>2002</v>
      </c>
      <c r="R3">
        <v>2003</v>
      </c>
      <c r="S3" t="s">
        <v>476</v>
      </c>
    </row>
    <row r="4" spans="1:19" ht="12.75">
      <c r="A4" t="s">
        <v>491</v>
      </c>
      <c r="B4" s="16">
        <f>'Input Value'!C8</f>
        <v>5230592.072857143</v>
      </c>
      <c r="E4" t="s">
        <v>527</v>
      </c>
      <c r="I4">
        <v>349</v>
      </c>
      <c r="J4">
        <v>187</v>
      </c>
      <c r="K4">
        <v>306</v>
      </c>
      <c r="L4">
        <v>462</v>
      </c>
      <c r="M4">
        <v>560</v>
      </c>
      <c r="N4">
        <v>461</v>
      </c>
      <c r="O4">
        <v>501</v>
      </c>
      <c r="P4">
        <v>531</v>
      </c>
      <c r="Q4">
        <v>557</v>
      </c>
      <c r="R4">
        <v>616</v>
      </c>
      <c r="S4">
        <f>AVERAGE(I4:R4)</f>
        <v>453</v>
      </c>
    </row>
    <row r="5" spans="1:19" ht="13.5" thickBot="1">
      <c r="A5" s="156" t="s">
        <v>337</v>
      </c>
      <c r="B5" s="210">
        <f>'Input Value'!C9</f>
        <v>2615296.0364285717</v>
      </c>
      <c r="E5" t="s">
        <v>496</v>
      </c>
      <c r="I5">
        <v>295</v>
      </c>
      <c r="J5">
        <v>565</v>
      </c>
      <c r="K5">
        <v>360</v>
      </c>
      <c r="L5">
        <v>370</v>
      </c>
      <c r="M5">
        <v>315</v>
      </c>
      <c r="N5">
        <v>150</v>
      </c>
      <c r="O5">
        <v>145</v>
      </c>
      <c r="P5">
        <v>185</v>
      </c>
      <c r="Q5">
        <v>180</v>
      </c>
      <c r="R5">
        <v>170</v>
      </c>
      <c r="S5">
        <f>AVERAGE(I5:R5)</f>
        <v>273.5</v>
      </c>
    </row>
    <row r="6" spans="1:20" ht="12.75">
      <c r="A6" s="209" t="s">
        <v>492</v>
      </c>
      <c r="B6" s="211">
        <f>B4-B5</f>
        <v>2615296.0364285717</v>
      </c>
      <c r="E6" t="s">
        <v>528</v>
      </c>
      <c r="I6" t="e">
        <f>+I4/#REF!</f>
        <v>#REF!</v>
      </c>
      <c r="J6" t="e">
        <f>+J4/#REF!</f>
        <v>#REF!</v>
      </c>
      <c r="K6" t="e">
        <f>+K4/#REF!</f>
        <v>#REF!</v>
      </c>
      <c r="L6" t="e">
        <f>+L4/#REF!</f>
        <v>#REF!</v>
      </c>
      <c r="M6" t="e">
        <f>+M4/#REF!</f>
        <v>#REF!</v>
      </c>
      <c r="N6" t="e">
        <f>+N4/#REF!</f>
        <v>#REF!</v>
      </c>
      <c r="O6" t="e">
        <f>+O4/#REF!</f>
        <v>#REF!</v>
      </c>
      <c r="P6" t="e">
        <f>+P4/#REF!</f>
        <v>#REF!</v>
      </c>
      <c r="Q6" t="e">
        <f>+Q4/#REF!</f>
        <v>#REF!</v>
      </c>
      <c r="R6" t="e">
        <f>+R4/#REF!</f>
        <v>#REF!</v>
      </c>
      <c r="S6" t="e">
        <f>AVERAGE(I6:R6)</f>
        <v>#REF!</v>
      </c>
      <c r="T6" t="e">
        <f>STDEV(I6:R6)</f>
        <v>#REF!</v>
      </c>
    </row>
    <row r="7" spans="5:20" ht="12.75">
      <c r="E7" t="s">
        <v>507</v>
      </c>
      <c r="I7">
        <v>0.68</v>
      </c>
      <c r="J7">
        <v>0.735</v>
      </c>
      <c r="K7">
        <v>0.617</v>
      </c>
      <c r="L7">
        <v>0.579</v>
      </c>
      <c r="M7">
        <v>0.615</v>
      </c>
      <c r="N7">
        <v>0.382</v>
      </c>
      <c r="O7">
        <v>0.451</v>
      </c>
      <c r="P7">
        <v>0.295</v>
      </c>
      <c r="Q7">
        <v>0.42</v>
      </c>
      <c r="R7">
        <v>0.61</v>
      </c>
      <c r="S7">
        <f>AVERAGE(I7:R7)</f>
        <v>0.5384</v>
      </c>
      <c r="T7">
        <f>STDEV(I7:R7)</f>
        <v>0.1425499522584586</v>
      </c>
    </row>
    <row r="8" spans="1:10" ht="12.75">
      <c r="A8" s="655" t="s">
        <v>493</v>
      </c>
      <c r="B8" s="655"/>
      <c r="C8" s="655"/>
      <c r="D8" s="655"/>
      <c r="E8" s="655"/>
      <c r="F8" s="655"/>
      <c r="G8" s="655"/>
      <c r="H8" s="655"/>
      <c r="I8" s="655"/>
      <c r="J8" s="655"/>
    </row>
    <row r="9" spans="1:18" ht="12.75">
      <c r="A9" t="s">
        <v>477</v>
      </c>
      <c r="B9" s="212" t="e">
        <f>#REF!</f>
        <v>#REF!</v>
      </c>
      <c r="E9" t="s">
        <v>524</v>
      </c>
      <c r="N9">
        <v>52</v>
      </c>
      <c r="O9">
        <v>58</v>
      </c>
      <c r="P9">
        <v>80</v>
      </c>
      <c r="Q9">
        <v>81</v>
      </c>
      <c r="R9">
        <v>79</v>
      </c>
    </row>
    <row r="10" spans="1:18" ht="12.75">
      <c r="A10" t="s">
        <v>494</v>
      </c>
      <c r="B10" s="212" t="e">
        <f>+S6</f>
        <v>#REF!</v>
      </c>
      <c r="E10" t="s">
        <v>525</v>
      </c>
      <c r="N10">
        <f>+N9*2000</f>
        <v>104000</v>
      </c>
      <c r="O10">
        <f>+O9*2000</f>
        <v>116000</v>
      </c>
      <c r="P10">
        <f>+P9*2000</f>
        <v>160000</v>
      </c>
      <c r="Q10">
        <f>+Q9*2000</f>
        <v>162000</v>
      </c>
      <c r="R10">
        <f>+R9*2000</f>
        <v>158000</v>
      </c>
    </row>
    <row r="11" spans="1:18" ht="13.5" thickBot="1">
      <c r="A11" s="156" t="s">
        <v>495</v>
      </c>
      <c r="B11" s="213">
        <v>231300</v>
      </c>
      <c r="N11">
        <v>144</v>
      </c>
      <c r="O11">
        <v>152</v>
      </c>
      <c r="P11">
        <v>197</v>
      </c>
      <c r="Q11">
        <v>209</v>
      </c>
      <c r="R11">
        <v>218</v>
      </c>
    </row>
    <row r="12" spans="1:18" ht="12.75">
      <c r="A12" s="214" t="s">
        <v>496</v>
      </c>
      <c r="B12" s="216">
        <v>50000</v>
      </c>
      <c r="E12" t="s">
        <v>526</v>
      </c>
      <c r="N12">
        <f>+(N11*480)/2000</f>
        <v>34.56</v>
      </c>
      <c r="O12">
        <f>+(O11*480)/2000</f>
        <v>36.48</v>
      </c>
      <c r="P12">
        <f>+(P11*480)/2000</f>
        <v>47.28</v>
      </c>
      <c r="Q12">
        <f>+(Q11*480)/2000</f>
        <v>50.16</v>
      </c>
      <c r="R12">
        <f>+(R11*480)/2000</f>
        <v>52.32</v>
      </c>
    </row>
    <row r="13" spans="5:19" ht="12.75">
      <c r="E13" t="s">
        <v>523</v>
      </c>
      <c r="N13">
        <f>+N9/N12</f>
        <v>1.5046296296296295</v>
      </c>
      <c r="O13">
        <f>+O9/O12</f>
        <v>1.5899122807017545</v>
      </c>
      <c r="P13">
        <f>+P9/P12</f>
        <v>1.6920473773265652</v>
      </c>
      <c r="Q13">
        <f>+Q9/Q12</f>
        <v>1.6148325358851676</v>
      </c>
      <c r="R13">
        <f>+R9/R12</f>
        <v>1.5099388379204892</v>
      </c>
      <c r="S13">
        <f>AVERAGE(N13:R13)</f>
        <v>1.5822721322927213</v>
      </c>
    </row>
    <row r="14" ht="12.75">
      <c r="A14" t="s">
        <v>497</v>
      </c>
    </row>
    <row r="15" spans="1:2" ht="12.75">
      <c r="A15" t="s">
        <v>492</v>
      </c>
      <c r="B15" s="20">
        <f>B6</f>
        <v>2615296.0364285717</v>
      </c>
    </row>
    <row r="16" spans="1:2" ht="13.5" thickBot="1">
      <c r="A16" s="156" t="s">
        <v>496</v>
      </c>
      <c r="B16" s="156">
        <f>B12</f>
        <v>50000</v>
      </c>
    </row>
    <row r="17" spans="1:2" ht="12.75">
      <c r="A17" s="214" t="s">
        <v>498</v>
      </c>
      <c r="B17" s="215">
        <f>B15/B16</f>
        <v>52.30592072857144</v>
      </c>
    </row>
    <row r="18" spans="1:13" ht="12.75">
      <c r="A18" s="12" t="s">
        <v>477</v>
      </c>
      <c r="C18" s="168" t="e">
        <f aca="true" t="shared" si="0" ref="C18:L18">+$B$12*C22</f>
        <v>#REF!</v>
      </c>
      <c r="D18" s="168" t="e">
        <f t="shared" si="0"/>
        <v>#REF!</v>
      </c>
      <c r="E18" s="168" t="e">
        <f t="shared" si="0"/>
        <v>#REF!</v>
      </c>
      <c r="F18" s="168" t="e">
        <f t="shared" si="0"/>
        <v>#REF!</v>
      </c>
      <c r="G18" s="168" t="e">
        <f t="shared" si="0"/>
        <v>#REF!</v>
      </c>
      <c r="H18" s="168" t="e">
        <f t="shared" si="0"/>
        <v>#REF!</v>
      </c>
      <c r="I18" s="168" t="e">
        <f t="shared" si="0"/>
        <v>#REF!</v>
      </c>
      <c r="J18" s="168" t="e">
        <f t="shared" si="0"/>
        <v>#REF!</v>
      </c>
      <c r="K18" s="168" t="e">
        <f t="shared" si="0"/>
        <v>#REF!</v>
      </c>
      <c r="L18" s="168" t="e">
        <f t="shared" si="0"/>
        <v>#REF!</v>
      </c>
      <c r="M18" s="220" t="e">
        <f aca="true" t="shared" si="1" ref="M18:M28">AVERAGE(C18:L18)</f>
        <v>#REF!</v>
      </c>
    </row>
    <row r="19" spans="1:13" ht="12.75">
      <c r="A19" s="12" t="s">
        <v>539</v>
      </c>
      <c r="C19" s="168" t="e">
        <f>+C18*(#REF!/2000)</f>
        <v>#REF!</v>
      </c>
      <c r="D19" s="168" t="e">
        <f>+D18*(#REF!/2000)</f>
        <v>#REF!</v>
      </c>
      <c r="E19" s="168" t="e">
        <f>+E18*(#REF!/2000)</f>
        <v>#REF!</v>
      </c>
      <c r="F19" s="168" t="e">
        <f>+F18*(#REF!/2000)</f>
        <v>#REF!</v>
      </c>
      <c r="G19" s="168" t="e">
        <f>+G18*(#REF!/2000)</f>
        <v>#REF!</v>
      </c>
      <c r="H19" s="168" t="e">
        <f>+H18*(#REF!/2000)</f>
        <v>#REF!</v>
      </c>
      <c r="I19" s="168" t="e">
        <f>+I18*(#REF!/2000)</f>
        <v>#REF!</v>
      </c>
      <c r="J19" s="168" t="e">
        <f>+J18*(#REF!/2000)</f>
        <v>#REF!</v>
      </c>
      <c r="K19" s="168" t="e">
        <f>+K18*(#REF!/2000)</f>
        <v>#REF!</v>
      </c>
      <c r="L19" s="168" t="e">
        <f>+L18*(#REF!/2000)</f>
        <v>#REF!</v>
      </c>
      <c r="M19" s="220" t="e">
        <f t="shared" si="1"/>
        <v>#REF!</v>
      </c>
    </row>
    <row r="20" spans="1:13" ht="12.75">
      <c r="A20" s="1" t="s">
        <v>499</v>
      </c>
      <c r="C20">
        <v>1994</v>
      </c>
      <c r="D20">
        <v>1995</v>
      </c>
      <c r="E20">
        <v>1996</v>
      </c>
      <c r="F20">
        <v>1997</v>
      </c>
      <c r="G20">
        <v>1998</v>
      </c>
      <c r="H20">
        <f>+N3</f>
        <v>1999</v>
      </c>
      <c r="I20">
        <f>+O3</f>
        <v>2000</v>
      </c>
      <c r="J20">
        <f>+P3</f>
        <v>2001</v>
      </c>
      <c r="K20">
        <f>+Q3</f>
        <v>2002</v>
      </c>
      <c r="L20">
        <f>+R3</f>
        <v>2003</v>
      </c>
      <c r="M20" s="220">
        <f t="shared" si="1"/>
        <v>1998.5</v>
      </c>
    </row>
    <row r="21" spans="1:13" ht="12.75">
      <c r="A21" s="1" t="s">
        <v>540</v>
      </c>
      <c r="C21" s="167" t="e">
        <f>+C22*#REF!</f>
        <v>#REF!</v>
      </c>
      <c r="D21" s="167" t="e">
        <f>+D22*#REF!</f>
        <v>#REF!</v>
      </c>
      <c r="E21" s="167" t="e">
        <f>+E22*#REF!</f>
        <v>#REF!</v>
      </c>
      <c r="F21" s="167" t="e">
        <f>+F22*#REF!</f>
        <v>#REF!</v>
      </c>
      <c r="G21" s="167" t="e">
        <f>+G22*#REF!</f>
        <v>#REF!</v>
      </c>
      <c r="H21" s="167" t="e">
        <f>+H22*#REF!</f>
        <v>#REF!</v>
      </c>
      <c r="I21" s="167" t="e">
        <f>+I22*#REF!</f>
        <v>#REF!</v>
      </c>
      <c r="J21" s="167" t="e">
        <f>+J22*#REF!</f>
        <v>#REF!</v>
      </c>
      <c r="K21" s="167" t="e">
        <f>+K22*#REF!</f>
        <v>#REF!</v>
      </c>
      <c r="L21" s="167" t="e">
        <f>+L22*#REF!</f>
        <v>#REF!</v>
      </c>
      <c r="M21" s="220" t="e">
        <f t="shared" si="1"/>
        <v>#REF!</v>
      </c>
    </row>
    <row r="22" spans="1:13" ht="12.75">
      <c r="A22" s="1" t="s">
        <v>508</v>
      </c>
      <c r="C22" s="217" t="e">
        <f aca="true" t="shared" si="2" ref="C22:L22">+I6</f>
        <v>#REF!</v>
      </c>
      <c r="D22" s="217" t="e">
        <f t="shared" si="2"/>
        <v>#REF!</v>
      </c>
      <c r="E22" s="217" t="e">
        <f t="shared" si="2"/>
        <v>#REF!</v>
      </c>
      <c r="F22" s="217" t="e">
        <f t="shared" si="2"/>
        <v>#REF!</v>
      </c>
      <c r="G22" s="217" t="e">
        <f t="shared" si="2"/>
        <v>#REF!</v>
      </c>
      <c r="H22" s="217" t="e">
        <f t="shared" si="2"/>
        <v>#REF!</v>
      </c>
      <c r="I22" s="217" t="e">
        <f t="shared" si="2"/>
        <v>#REF!</v>
      </c>
      <c r="J22" s="217" t="e">
        <f t="shared" si="2"/>
        <v>#REF!</v>
      </c>
      <c r="K22" s="217" t="e">
        <f t="shared" si="2"/>
        <v>#REF!</v>
      </c>
      <c r="L22" s="217" t="e">
        <f t="shared" si="2"/>
        <v>#REF!</v>
      </c>
      <c r="M22" s="220" t="e">
        <f t="shared" si="1"/>
        <v>#REF!</v>
      </c>
    </row>
    <row r="23" spans="1:13" ht="12.75">
      <c r="A23" s="1" t="s">
        <v>515</v>
      </c>
      <c r="C23" s="217" t="e">
        <f>1/#REF!</f>
        <v>#REF!</v>
      </c>
      <c r="D23" s="217" t="e">
        <f>1/#REF!</f>
        <v>#REF!</v>
      </c>
      <c r="E23" s="217" t="e">
        <f>1/#REF!</f>
        <v>#REF!</v>
      </c>
      <c r="F23" s="217" t="e">
        <f>1/#REF!</f>
        <v>#REF!</v>
      </c>
      <c r="G23" s="217" t="e">
        <f>1/#REF!</f>
        <v>#REF!</v>
      </c>
      <c r="H23" s="217" t="e">
        <f>1/#REF!</f>
        <v>#REF!</v>
      </c>
      <c r="I23" s="217" t="e">
        <f>1/#REF!</f>
        <v>#REF!</v>
      </c>
      <c r="J23" s="217" t="e">
        <f>1/#REF!</f>
        <v>#REF!</v>
      </c>
      <c r="K23" s="217" t="e">
        <f>1/#REF!</f>
        <v>#REF!</v>
      </c>
      <c r="L23" s="217" t="e">
        <f>1/#REF!</f>
        <v>#REF!</v>
      </c>
      <c r="M23" s="220" t="e">
        <f t="shared" si="1"/>
        <v>#REF!</v>
      </c>
    </row>
    <row r="24" spans="1:13" ht="12.75">
      <c r="A24" s="1" t="s">
        <v>509</v>
      </c>
      <c r="C24" s="16">
        <f aca="true" t="shared" si="3" ref="C24:L24">+I7</f>
        <v>0.68</v>
      </c>
      <c r="D24" s="16">
        <f t="shared" si="3"/>
        <v>0.735</v>
      </c>
      <c r="E24" s="16">
        <f t="shared" si="3"/>
        <v>0.617</v>
      </c>
      <c r="F24" s="16">
        <f t="shared" si="3"/>
        <v>0.579</v>
      </c>
      <c r="G24" s="16">
        <f t="shared" si="3"/>
        <v>0.615</v>
      </c>
      <c r="H24" s="16">
        <f t="shared" si="3"/>
        <v>0.382</v>
      </c>
      <c r="I24" s="16">
        <f t="shared" si="3"/>
        <v>0.451</v>
      </c>
      <c r="J24" s="16">
        <f t="shared" si="3"/>
        <v>0.295</v>
      </c>
      <c r="K24" s="16">
        <f t="shared" si="3"/>
        <v>0.42</v>
      </c>
      <c r="L24" s="16">
        <f t="shared" si="3"/>
        <v>0.61</v>
      </c>
      <c r="M24" s="220">
        <f t="shared" si="1"/>
        <v>0.5384</v>
      </c>
    </row>
    <row r="25" spans="1:13" ht="12.75">
      <c r="A25" s="1" t="s">
        <v>510</v>
      </c>
      <c r="C25" s="16" t="e">
        <f>+C22*C24*#REF!</f>
        <v>#REF!</v>
      </c>
      <c r="D25" s="16" t="e">
        <f>+D22*D24*#REF!</f>
        <v>#REF!</v>
      </c>
      <c r="E25" s="16" t="e">
        <f>+E22*E24*#REF!</f>
        <v>#REF!</v>
      </c>
      <c r="F25" s="16" t="e">
        <f>+F22*F24*#REF!</f>
        <v>#REF!</v>
      </c>
      <c r="G25" s="16" t="e">
        <f>+G22*G24*#REF!</f>
        <v>#REF!</v>
      </c>
      <c r="H25" s="16" t="e">
        <f>+H22*H24*#REF!</f>
        <v>#REF!</v>
      </c>
      <c r="I25" s="16" t="e">
        <f>+I22*I24*#REF!</f>
        <v>#REF!</v>
      </c>
      <c r="J25" s="16" t="e">
        <f>+J22*J24*#REF!</f>
        <v>#REF!</v>
      </c>
      <c r="K25" s="16" t="e">
        <f>+K22*K24*#REF!</f>
        <v>#REF!</v>
      </c>
      <c r="L25" s="16" t="e">
        <f>+L22*L24*#REF!</f>
        <v>#REF!</v>
      </c>
      <c r="M25" s="220" t="e">
        <f t="shared" si="1"/>
        <v>#REF!</v>
      </c>
    </row>
    <row r="26" spans="1:13" ht="12.75">
      <c r="A26" s="1" t="s">
        <v>511</v>
      </c>
      <c r="C26" s="217" t="e">
        <f>(+#REF!*C22)/2000</f>
        <v>#REF!</v>
      </c>
      <c r="D26" s="217" t="e">
        <f>(+#REF!*D22)/2000</f>
        <v>#REF!</v>
      </c>
      <c r="E26" s="217" t="e">
        <f>(+#REF!*E22)/2000</f>
        <v>#REF!</v>
      </c>
      <c r="F26" s="217" t="e">
        <f>(+#REF!*F22)/2000</f>
        <v>#REF!</v>
      </c>
      <c r="G26" s="217" t="e">
        <f>(+#REF!*G22)/2000</f>
        <v>#REF!</v>
      </c>
      <c r="H26" s="217" t="e">
        <f>(+#REF!*H22)/2000</f>
        <v>#REF!</v>
      </c>
      <c r="I26" s="217" t="e">
        <f>(+#REF!*I22)/2000</f>
        <v>#REF!</v>
      </c>
      <c r="J26" s="217" t="e">
        <f>(+#REF!*J22)/2000</f>
        <v>#REF!</v>
      </c>
      <c r="K26" s="217" t="e">
        <f>(+#REF!*K22)/2000</f>
        <v>#REF!</v>
      </c>
      <c r="L26" s="217" t="e">
        <f>(+#REF!*L22)/2000</f>
        <v>#REF!</v>
      </c>
      <c r="M26" s="220" t="e">
        <f t="shared" si="1"/>
        <v>#REF!</v>
      </c>
    </row>
    <row r="27" spans="1:13" ht="12.75">
      <c r="A27" t="s">
        <v>512</v>
      </c>
      <c r="C27" s="20">
        <v>91</v>
      </c>
      <c r="D27" s="20">
        <v>114</v>
      </c>
      <c r="E27" s="20">
        <v>113</v>
      </c>
      <c r="F27" s="20">
        <v>106</v>
      </c>
      <c r="G27" s="20">
        <v>116</v>
      </c>
      <c r="H27" s="20">
        <v>60</v>
      </c>
      <c r="I27" s="20">
        <v>90.5</v>
      </c>
      <c r="J27" s="20">
        <v>36.8</v>
      </c>
      <c r="K27" s="20">
        <v>84.5</v>
      </c>
      <c r="L27" s="20">
        <v>110</v>
      </c>
      <c r="M27" s="220">
        <f t="shared" si="1"/>
        <v>92.17999999999999</v>
      </c>
    </row>
    <row r="28" spans="1:13" ht="12.75">
      <c r="A28" s="1" t="s">
        <v>513</v>
      </c>
      <c r="C28" s="20" t="e">
        <f aca="true" t="shared" si="4" ref="C28:L28">+C26*C27</f>
        <v>#REF!</v>
      </c>
      <c r="D28" s="20" t="e">
        <f t="shared" si="4"/>
        <v>#REF!</v>
      </c>
      <c r="E28" s="20" t="e">
        <f t="shared" si="4"/>
        <v>#REF!</v>
      </c>
      <c r="F28" s="20" t="e">
        <f t="shared" si="4"/>
        <v>#REF!</v>
      </c>
      <c r="G28" s="20" t="e">
        <f t="shared" si="4"/>
        <v>#REF!</v>
      </c>
      <c r="H28" s="20" t="e">
        <f t="shared" si="4"/>
        <v>#REF!</v>
      </c>
      <c r="I28" s="20" t="e">
        <f t="shared" si="4"/>
        <v>#REF!</v>
      </c>
      <c r="J28" s="20" t="e">
        <f t="shared" si="4"/>
        <v>#REF!</v>
      </c>
      <c r="K28" s="20" t="e">
        <f t="shared" si="4"/>
        <v>#REF!</v>
      </c>
      <c r="L28" s="20" t="e">
        <f t="shared" si="4"/>
        <v>#REF!</v>
      </c>
      <c r="M28" s="220" t="e">
        <f t="shared" si="1"/>
        <v>#REF!</v>
      </c>
    </row>
    <row r="30" spans="1:8" ht="13.5" thickBot="1">
      <c r="A30" s="156"/>
      <c r="C30" s="156"/>
      <c r="D30" s="156"/>
      <c r="E30" s="156"/>
      <c r="F30" s="156"/>
      <c r="G30" s="156"/>
      <c r="H30" s="156"/>
    </row>
    <row r="31" spans="1:13" ht="12.75">
      <c r="A31" s="209" t="s">
        <v>514</v>
      </c>
      <c r="C31" s="218" t="e">
        <f aca="true" t="shared" si="5" ref="C31:L31">+C25+C28</f>
        <v>#REF!</v>
      </c>
      <c r="D31" s="218" t="e">
        <f t="shared" si="5"/>
        <v>#REF!</v>
      </c>
      <c r="E31" s="218" t="e">
        <f t="shared" si="5"/>
        <v>#REF!</v>
      </c>
      <c r="F31" s="218" t="e">
        <f t="shared" si="5"/>
        <v>#REF!</v>
      </c>
      <c r="G31" s="218" t="e">
        <f t="shared" si="5"/>
        <v>#REF!</v>
      </c>
      <c r="H31" s="218" t="e">
        <f t="shared" si="5"/>
        <v>#REF!</v>
      </c>
      <c r="I31" s="218" t="e">
        <f t="shared" si="5"/>
        <v>#REF!</v>
      </c>
      <c r="J31" s="218" t="e">
        <f t="shared" si="5"/>
        <v>#REF!</v>
      </c>
      <c r="K31" s="218" t="e">
        <f t="shared" si="5"/>
        <v>#REF!</v>
      </c>
      <c r="L31" s="218" t="e">
        <f t="shared" si="5"/>
        <v>#REF!</v>
      </c>
      <c r="M31" s="220" t="e">
        <f>AVERAGE(C31:L31)</f>
        <v>#REF!</v>
      </c>
    </row>
    <row r="33" ht="12.75">
      <c r="A33" s="1" t="s">
        <v>500</v>
      </c>
    </row>
    <row r="34" spans="1:13" ht="12.75">
      <c r="A34" t="s">
        <v>501</v>
      </c>
      <c r="C34" s="16">
        <v>13.75</v>
      </c>
      <c r="D34" s="16">
        <v>13.75</v>
      </c>
      <c r="E34" s="16">
        <v>13.75</v>
      </c>
      <c r="F34" s="16">
        <v>13.75</v>
      </c>
      <c r="G34" s="16">
        <v>13.75</v>
      </c>
      <c r="H34" s="16">
        <v>13.75</v>
      </c>
      <c r="I34" s="16">
        <f>+H34</f>
        <v>13.75</v>
      </c>
      <c r="J34" s="16">
        <f>+I34</f>
        <v>13.75</v>
      </c>
      <c r="K34" s="16">
        <f>+J34</f>
        <v>13.75</v>
      </c>
      <c r="L34" s="16">
        <f>+K34</f>
        <v>13.75</v>
      </c>
      <c r="M34" s="220">
        <f aca="true" t="shared" si="6" ref="M34:M44">AVERAGE(C34:L34)</f>
        <v>13.75</v>
      </c>
    </row>
    <row r="35" spans="1:13" ht="12.75">
      <c r="A35" t="s">
        <v>502</v>
      </c>
      <c r="C35" s="16">
        <v>17</v>
      </c>
      <c r="D35" s="16">
        <v>17</v>
      </c>
      <c r="E35" s="16">
        <v>17</v>
      </c>
      <c r="F35" s="16">
        <v>17</v>
      </c>
      <c r="G35" s="16">
        <v>17</v>
      </c>
      <c r="H35" s="16">
        <v>17</v>
      </c>
      <c r="I35" s="16">
        <f aca="true" t="shared" si="7" ref="I35:L40">+H35</f>
        <v>17</v>
      </c>
      <c r="J35" s="16">
        <f t="shared" si="7"/>
        <v>17</v>
      </c>
      <c r="K35" s="16">
        <f t="shared" si="7"/>
        <v>17</v>
      </c>
      <c r="L35" s="16">
        <f t="shared" si="7"/>
        <v>17</v>
      </c>
      <c r="M35" s="220">
        <f t="shared" si="6"/>
        <v>17</v>
      </c>
    </row>
    <row r="36" spans="1:13" ht="12.75">
      <c r="A36" t="s">
        <v>503</v>
      </c>
      <c r="C36" s="16">
        <v>21.5</v>
      </c>
      <c r="D36" s="16">
        <v>21.5</v>
      </c>
      <c r="E36" s="16">
        <v>21.5</v>
      </c>
      <c r="F36" s="16">
        <v>21.5</v>
      </c>
      <c r="G36" s="16">
        <v>21.5</v>
      </c>
      <c r="H36" s="16">
        <v>21.5</v>
      </c>
      <c r="I36" s="16">
        <f t="shared" si="7"/>
        <v>21.5</v>
      </c>
      <c r="J36" s="16">
        <f t="shared" si="7"/>
        <v>21.5</v>
      </c>
      <c r="K36" s="16">
        <f t="shared" si="7"/>
        <v>21.5</v>
      </c>
      <c r="L36" s="16">
        <f t="shared" si="7"/>
        <v>21.5</v>
      </c>
      <c r="M36" s="220">
        <f t="shared" si="6"/>
        <v>21.5</v>
      </c>
    </row>
    <row r="37" spans="1:13" ht="12.75">
      <c r="A37" t="s">
        <v>504</v>
      </c>
      <c r="C37" s="16">
        <v>26.54</v>
      </c>
      <c r="D37" s="16">
        <v>26.54</v>
      </c>
      <c r="E37" s="16">
        <v>26.54</v>
      </c>
      <c r="F37" s="16">
        <v>26.54</v>
      </c>
      <c r="G37" s="16">
        <v>26.54</v>
      </c>
      <c r="H37" s="16">
        <v>26.54</v>
      </c>
      <c r="I37" s="16">
        <f t="shared" si="7"/>
        <v>26.54</v>
      </c>
      <c r="J37" s="16">
        <f t="shared" si="7"/>
        <v>26.54</v>
      </c>
      <c r="K37" s="16">
        <f t="shared" si="7"/>
        <v>26.54</v>
      </c>
      <c r="L37" s="16">
        <f t="shared" si="7"/>
        <v>26.54</v>
      </c>
      <c r="M37" s="220">
        <f t="shared" si="6"/>
        <v>26.54</v>
      </c>
    </row>
    <row r="38" spans="1:13" ht="12.75">
      <c r="A38" t="s">
        <v>505</v>
      </c>
      <c r="B38">
        <v>20</v>
      </c>
      <c r="C38" s="16">
        <v>20</v>
      </c>
      <c r="D38" s="16">
        <v>20</v>
      </c>
      <c r="E38" s="16">
        <v>20</v>
      </c>
      <c r="F38" s="16">
        <v>20</v>
      </c>
      <c r="G38" s="16">
        <v>20</v>
      </c>
      <c r="H38" s="16">
        <v>20</v>
      </c>
      <c r="I38" s="16">
        <v>20</v>
      </c>
      <c r="J38" s="16">
        <v>20</v>
      </c>
      <c r="K38" s="16">
        <v>20</v>
      </c>
      <c r="L38" s="16">
        <v>20</v>
      </c>
      <c r="M38" s="220">
        <f t="shared" si="6"/>
        <v>20</v>
      </c>
    </row>
    <row r="39" spans="1:13" ht="12.75">
      <c r="A39" t="s">
        <v>543</v>
      </c>
      <c r="B39">
        <v>5</v>
      </c>
      <c r="C39" s="16">
        <v>5</v>
      </c>
      <c r="D39" s="16">
        <v>5</v>
      </c>
      <c r="E39" s="16">
        <v>5</v>
      </c>
      <c r="F39" s="16">
        <v>5</v>
      </c>
      <c r="G39" s="16">
        <v>5</v>
      </c>
      <c r="H39" s="16">
        <v>5</v>
      </c>
      <c r="I39" s="16">
        <v>5</v>
      </c>
      <c r="J39" s="16">
        <v>5</v>
      </c>
      <c r="K39" s="16">
        <v>5</v>
      </c>
      <c r="L39" s="16">
        <v>5</v>
      </c>
      <c r="M39" s="220">
        <f t="shared" si="6"/>
        <v>5</v>
      </c>
    </row>
    <row r="40" spans="1:14" ht="13.5" thickBot="1">
      <c r="A40" s="156" t="s">
        <v>366</v>
      </c>
      <c r="B40">
        <v>5</v>
      </c>
      <c r="C40" s="210">
        <v>12.5</v>
      </c>
      <c r="D40" s="210">
        <v>12.5</v>
      </c>
      <c r="E40" s="210">
        <v>12.5</v>
      </c>
      <c r="F40" s="210">
        <v>12.5</v>
      </c>
      <c r="G40" s="210">
        <v>12.5</v>
      </c>
      <c r="H40" s="210">
        <v>12.5</v>
      </c>
      <c r="I40" s="16">
        <f t="shared" si="7"/>
        <v>12.5</v>
      </c>
      <c r="J40" s="16">
        <f t="shared" si="7"/>
        <v>12.5</v>
      </c>
      <c r="K40" s="16">
        <f t="shared" si="7"/>
        <v>12.5</v>
      </c>
      <c r="L40" s="16">
        <f t="shared" si="7"/>
        <v>12.5</v>
      </c>
      <c r="M40" s="220">
        <f t="shared" si="6"/>
        <v>12.5</v>
      </c>
      <c r="N40" s="5">
        <f>SUM(M34:M40)</f>
        <v>116.28999999999999</v>
      </c>
    </row>
    <row r="41" spans="1:13" ht="12.75">
      <c r="A41" s="12" t="s">
        <v>544</v>
      </c>
      <c r="C41" s="169">
        <v>4</v>
      </c>
      <c r="D41" s="169">
        <v>4</v>
      </c>
      <c r="E41" s="169">
        <v>4</v>
      </c>
      <c r="F41" s="169">
        <v>4</v>
      </c>
      <c r="G41" s="169">
        <v>4</v>
      </c>
      <c r="H41" s="169">
        <v>4</v>
      </c>
      <c r="I41" s="169">
        <v>4</v>
      </c>
      <c r="J41" s="169">
        <v>4</v>
      </c>
      <c r="K41" s="169">
        <v>4</v>
      </c>
      <c r="L41" s="169">
        <v>4</v>
      </c>
      <c r="M41" s="220">
        <f t="shared" si="6"/>
        <v>4</v>
      </c>
    </row>
    <row r="42" spans="1:13" ht="12.75">
      <c r="A42" s="12" t="s">
        <v>529</v>
      </c>
      <c r="C42" s="169">
        <v>6.5</v>
      </c>
      <c r="D42" s="169">
        <v>6.5</v>
      </c>
      <c r="E42" s="169">
        <v>6.5</v>
      </c>
      <c r="F42" s="169">
        <v>6.5</v>
      </c>
      <c r="G42" s="169">
        <v>6.5</v>
      </c>
      <c r="H42" s="169">
        <v>6.5</v>
      </c>
      <c r="I42" s="169">
        <v>6.5</v>
      </c>
      <c r="J42" s="169">
        <v>6.5</v>
      </c>
      <c r="K42" s="169">
        <v>6.5</v>
      </c>
      <c r="L42" s="169">
        <v>6.5</v>
      </c>
      <c r="M42" s="220">
        <f t="shared" si="6"/>
        <v>6.5</v>
      </c>
    </row>
    <row r="43" spans="1:13" ht="12.75">
      <c r="A43" s="12" t="s">
        <v>530</v>
      </c>
      <c r="C43" s="169" t="e">
        <f>0.09*C22*#REF!</f>
        <v>#REF!</v>
      </c>
      <c r="D43" s="169" t="e">
        <f>0.09*D22*#REF!</f>
        <v>#REF!</v>
      </c>
      <c r="E43" s="169" t="e">
        <f>0.09*E22*#REF!</f>
        <v>#REF!</v>
      </c>
      <c r="F43" s="169" t="e">
        <f>0.09*F22*#REF!</f>
        <v>#REF!</v>
      </c>
      <c r="G43" s="169" t="e">
        <f>0.09*G22*#REF!</f>
        <v>#REF!</v>
      </c>
      <c r="H43" s="169" t="e">
        <f>0.09*H22*#REF!</f>
        <v>#REF!</v>
      </c>
      <c r="I43" s="169" t="e">
        <f>0.09*I22*#REF!</f>
        <v>#REF!</v>
      </c>
      <c r="J43" s="169" t="e">
        <f>0.09*J22*#REF!</f>
        <v>#REF!</v>
      </c>
      <c r="K43" s="169" t="e">
        <f>0.09*K22*#REF!</f>
        <v>#REF!</v>
      </c>
      <c r="L43" s="169" t="e">
        <f>0.09*L22*#REF!</f>
        <v>#REF!</v>
      </c>
      <c r="M43" s="220" t="e">
        <f t="shared" si="6"/>
        <v>#REF!</v>
      </c>
    </row>
    <row r="44" spans="1:14" ht="12.75">
      <c r="A44" s="209" t="s">
        <v>506</v>
      </c>
      <c r="C44" s="219" t="e">
        <f>SUM(C34:C43)</f>
        <v>#REF!</v>
      </c>
      <c r="D44" s="219" t="e">
        <f aca="true" t="shared" si="8" ref="D44:L44">SUM(D34:D43)</f>
        <v>#REF!</v>
      </c>
      <c r="E44" s="219" t="e">
        <f t="shared" si="8"/>
        <v>#REF!</v>
      </c>
      <c r="F44" s="219" t="e">
        <f t="shared" si="8"/>
        <v>#REF!</v>
      </c>
      <c r="G44" s="219" t="e">
        <f t="shared" si="8"/>
        <v>#REF!</v>
      </c>
      <c r="H44" s="219" t="e">
        <f t="shared" si="8"/>
        <v>#REF!</v>
      </c>
      <c r="I44" s="219" t="e">
        <f t="shared" si="8"/>
        <v>#REF!</v>
      </c>
      <c r="J44" s="219" t="e">
        <f t="shared" si="8"/>
        <v>#REF!</v>
      </c>
      <c r="K44" s="219" t="e">
        <f t="shared" si="8"/>
        <v>#REF!</v>
      </c>
      <c r="L44" s="219" t="e">
        <f t="shared" si="8"/>
        <v>#REF!</v>
      </c>
      <c r="M44" s="220" t="e">
        <f t="shared" si="6"/>
        <v>#REF!</v>
      </c>
      <c r="N44" s="5" t="e">
        <f>+M44-N40</f>
        <v>#REF!</v>
      </c>
    </row>
    <row r="45" ht="12.75">
      <c r="B45" t="s">
        <v>542</v>
      </c>
    </row>
    <row r="46" spans="1:13" ht="12.75">
      <c r="A46" t="s">
        <v>470</v>
      </c>
      <c r="B46" s="6" t="e">
        <f>+'Input Value'!#REF!</f>
        <v>#REF!</v>
      </c>
      <c r="C46" s="6" t="e">
        <f>+$B$46*(C20/100)</f>
        <v>#REF!</v>
      </c>
      <c r="D46" s="6" t="e">
        <f aca="true" t="shared" si="9" ref="D46:L46">+$B$46*(D20/100)</f>
        <v>#REF!</v>
      </c>
      <c r="E46" s="6" t="e">
        <f t="shared" si="9"/>
        <v>#REF!</v>
      </c>
      <c r="F46" s="6" t="e">
        <f t="shared" si="9"/>
        <v>#REF!</v>
      </c>
      <c r="G46" s="6" t="e">
        <f t="shared" si="9"/>
        <v>#REF!</v>
      </c>
      <c r="H46" s="6" t="e">
        <f t="shared" si="9"/>
        <v>#REF!</v>
      </c>
      <c r="I46" s="6" t="e">
        <f t="shared" si="9"/>
        <v>#REF!</v>
      </c>
      <c r="J46" s="6" t="e">
        <f t="shared" si="9"/>
        <v>#REF!</v>
      </c>
      <c r="K46" s="6" t="e">
        <f t="shared" si="9"/>
        <v>#REF!</v>
      </c>
      <c r="L46" s="6" t="e">
        <f t="shared" si="9"/>
        <v>#REF!</v>
      </c>
      <c r="M46" s="220" t="e">
        <f aca="true" t="shared" si="10" ref="M46:M53">AVERAGE(C46:L46)</f>
        <v>#REF!</v>
      </c>
    </row>
    <row r="47" spans="1:13" ht="12.75">
      <c r="A47" t="s">
        <v>534</v>
      </c>
      <c r="B47" s="6" t="e">
        <f>+'Input Value'!#REF!</f>
        <v>#REF!</v>
      </c>
      <c r="C47" s="6" t="e">
        <f>+$B$47*C22</f>
        <v>#REF!</v>
      </c>
      <c r="D47" s="6" t="e">
        <f aca="true" t="shared" si="11" ref="D47:L47">+$B$47*D22</f>
        <v>#REF!</v>
      </c>
      <c r="E47" s="6" t="e">
        <f t="shared" si="11"/>
        <v>#REF!</v>
      </c>
      <c r="F47" s="6" t="e">
        <f t="shared" si="11"/>
        <v>#REF!</v>
      </c>
      <c r="G47" s="6" t="e">
        <f t="shared" si="11"/>
        <v>#REF!</v>
      </c>
      <c r="H47" s="6" t="e">
        <f t="shared" si="11"/>
        <v>#REF!</v>
      </c>
      <c r="I47" s="6" t="e">
        <f t="shared" si="11"/>
        <v>#REF!</v>
      </c>
      <c r="J47" s="6" t="e">
        <f t="shared" si="11"/>
        <v>#REF!</v>
      </c>
      <c r="K47" s="6" t="e">
        <f t="shared" si="11"/>
        <v>#REF!</v>
      </c>
      <c r="L47" s="6" t="e">
        <f t="shared" si="11"/>
        <v>#REF!</v>
      </c>
      <c r="M47" s="220" t="e">
        <f t="shared" si="10"/>
        <v>#REF!</v>
      </c>
    </row>
    <row r="48" spans="1:13" ht="12.75">
      <c r="A48" t="s">
        <v>474</v>
      </c>
      <c r="B48" s="6">
        <f>+'Input Value'!I7</f>
        <v>9.24</v>
      </c>
      <c r="C48" s="6" t="e">
        <f>'Input Value'!$I$7*C23</f>
        <v>#REF!</v>
      </c>
      <c r="D48" s="6" t="e">
        <f>'Input Value'!$I$7*D23</f>
        <v>#REF!</v>
      </c>
      <c r="E48" s="6" t="e">
        <f>'Input Value'!$I$7*E23</f>
        <v>#REF!</v>
      </c>
      <c r="F48" s="6" t="e">
        <f>'Input Value'!$I$7*F23</f>
        <v>#REF!</v>
      </c>
      <c r="G48" s="6" t="e">
        <f>'Input Value'!$I$7*G23</f>
        <v>#REF!</v>
      </c>
      <c r="H48" s="6" t="e">
        <f>'Input Value'!$I$7*H23</f>
        <v>#REF!</v>
      </c>
      <c r="I48" s="6" t="e">
        <f>'Input Value'!$I$7*I23</f>
        <v>#REF!</v>
      </c>
      <c r="J48" s="6" t="e">
        <f>'Input Value'!$I$7*J23</f>
        <v>#REF!</v>
      </c>
      <c r="K48" s="6" t="e">
        <f>'Input Value'!$I$7*K23</f>
        <v>#REF!</v>
      </c>
      <c r="L48" s="6" t="e">
        <f>'Input Value'!$I$7*L23</f>
        <v>#REF!</v>
      </c>
      <c r="M48" s="220" t="e">
        <f t="shared" si="10"/>
        <v>#REF!</v>
      </c>
    </row>
    <row r="49" spans="1:13" ht="12.75">
      <c r="A49" t="s">
        <v>536</v>
      </c>
      <c r="B49" s="6" t="e">
        <f>+'Input Value'!#REF!</f>
        <v>#REF!</v>
      </c>
      <c r="C49" s="6" t="e">
        <f>+'Input Value'!#REF!*C22</f>
        <v>#REF!</v>
      </c>
      <c r="D49" s="6" t="e">
        <f>+'Input Value'!#REF!*D22</f>
        <v>#REF!</v>
      </c>
      <c r="E49" s="6" t="e">
        <f>+'Input Value'!#REF!*E22</f>
        <v>#REF!</v>
      </c>
      <c r="F49" s="6" t="e">
        <f>+'Input Value'!#REF!*F22</f>
        <v>#REF!</v>
      </c>
      <c r="G49" s="6" t="e">
        <f>+'Input Value'!#REF!*G22</f>
        <v>#REF!</v>
      </c>
      <c r="H49" s="6" t="e">
        <f>+'Input Value'!#REF!*H22</f>
        <v>#REF!</v>
      </c>
      <c r="I49" s="6" t="e">
        <f>+'Input Value'!#REF!*I22</f>
        <v>#REF!</v>
      </c>
      <c r="J49" s="6" t="e">
        <f>+'Input Value'!#REF!*J22</f>
        <v>#REF!</v>
      </c>
      <c r="K49" s="6" t="e">
        <f>+'Input Value'!#REF!*K22</f>
        <v>#REF!</v>
      </c>
      <c r="L49" s="6" t="e">
        <f>+'Input Value'!#REF!*L22</f>
        <v>#REF!</v>
      </c>
      <c r="M49" s="220" t="e">
        <f t="shared" si="10"/>
        <v>#REF!</v>
      </c>
    </row>
    <row r="50" spans="1:13" ht="12.75">
      <c r="A50" t="s">
        <v>535</v>
      </c>
      <c r="B50" s="16">
        <v>1.3</v>
      </c>
      <c r="C50" s="6" t="e">
        <f>+$B$50*C22</f>
        <v>#REF!</v>
      </c>
      <c r="D50" s="6" t="e">
        <f aca="true" t="shared" si="12" ref="D50:L50">+$B$50*D22</f>
        <v>#REF!</v>
      </c>
      <c r="E50" s="6" t="e">
        <f t="shared" si="12"/>
        <v>#REF!</v>
      </c>
      <c r="F50" s="6" t="e">
        <f t="shared" si="12"/>
        <v>#REF!</v>
      </c>
      <c r="G50" s="6" t="e">
        <f t="shared" si="12"/>
        <v>#REF!</v>
      </c>
      <c r="H50" s="6" t="e">
        <f t="shared" si="12"/>
        <v>#REF!</v>
      </c>
      <c r="I50" s="6" t="e">
        <f t="shared" si="12"/>
        <v>#REF!</v>
      </c>
      <c r="J50" s="6" t="e">
        <f t="shared" si="12"/>
        <v>#REF!</v>
      </c>
      <c r="K50" s="6" t="e">
        <f t="shared" si="12"/>
        <v>#REF!</v>
      </c>
      <c r="L50" s="6" t="e">
        <f t="shared" si="12"/>
        <v>#REF!</v>
      </c>
      <c r="M50" s="220" t="e">
        <f t="shared" si="10"/>
        <v>#REF!</v>
      </c>
    </row>
    <row r="51" spans="1:13" ht="12.75">
      <c r="A51" t="s">
        <v>537</v>
      </c>
      <c r="B51" s="16">
        <v>8.5</v>
      </c>
      <c r="C51" s="6" t="e">
        <f>+$B$51*C22</f>
        <v>#REF!</v>
      </c>
      <c r="D51" s="6" t="e">
        <f aca="true" t="shared" si="13" ref="D51:L51">+$B$51*D22</f>
        <v>#REF!</v>
      </c>
      <c r="E51" s="6" t="e">
        <f t="shared" si="13"/>
        <v>#REF!</v>
      </c>
      <c r="F51" s="6" t="e">
        <f t="shared" si="13"/>
        <v>#REF!</v>
      </c>
      <c r="G51" s="6" t="e">
        <f t="shared" si="13"/>
        <v>#REF!</v>
      </c>
      <c r="H51" s="6" t="e">
        <f t="shared" si="13"/>
        <v>#REF!</v>
      </c>
      <c r="I51" s="6" t="e">
        <f t="shared" si="13"/>
        <v>#REF!</v>
      </c>
      <c r="J51" s="6" t="e">
        <f t="shared" si="13"/>
        <v>#REF!</v>
      </c>
      <c r="K51" s="6" t="e">
        <f t="shared" si="13"/>
        <v>#REF!</v>
      </c>
      <c r="L51" s="6" t="e">
        <f t="shared" si="13"/>
        <v>#REF!</v>
      </c>
      <c r="M51" s="220" t="e">
        <f t="shared" si="10"/>
        <v>#REF!</v>
      </c>
    </row>
    <row r="52" spans="1:13" ht="12.75">
      <c r="A52" t="s">
        <v>538</v>
      </c>
      <c r="B52" s="16">
        <v>1</v>
      </c>
      <c r="C52" s="6" t="e">
        <f>+$B$52*C22</f>
        <v>#REF!</v>
      </c>
      <c r="D52" s="6" t="e">
        <f aca="true" t="shared" si="14" ref="D52:L52">+$B$52*D22</f>
        <v>#REF!</v>
      </c>
      <c r="E52" s="6" t="e">
        <f t="shared" si="14"/>
        <v>#REF!</v>
      </c>
      <c r="F52" s="6" t="e">
        <f t="shared" si="14"/>
        <v>#REF!</v>
      </c>
      <c r="G52" s="6" t="e">
        <f t="shared" si="14"/>
        <v>#REF!</v>
      </c>
      <c r="H52" s="6" t="e">
        <f t="shared" si="14"/>
        <v>#REF!</v>
      </c>
      <c r="I52" s="6" t="e">
        <f t="shared" si="14"/>
        <v>#REF!</v>
      </c>
      <c r="J52" s="6" t="e">
        <f t="shared" si="14"/>
        <v>#REF!</v>
      </c>
      <c r="K52" s="6" t="e">
        <f t="shared" si="14"/>
        <v>#REF!</v>
      </c>
      <c r="L52" s="6" t="e">
        <f t="shared" si="14"/>
        <v>#REF!</v>
      </c>
      <c r="M52" s="220" t="e">
        <f t="shared" si="10"/>
        <v>#REF!</v>
      </c>
    </row>
    <row r="53" spans="1:13" ht="12.75">
      <c r="A53" t="s">
        <v>516</v>
      </c>
      <c r="C53" s="6" t="e">
        <f>SUM(C46:C52)</f>
        <v>#REF!</v>
      </c>
      <c r="D53" s="6" t="e">
        <f aca="true" t="shared" si="15" ref="D53:L53">SUM(D46:D49)</f>
        <v>#REF!</v>
      </c>
      <c r="E53" s="6" t="e">
        <f t="shared" si="15"/>
        <v>#REF!</v>
      </c>
      <c r="F53" s="6" t="e">
        <f t="shared" si="15"/>
        <v>#REF!</v>
      </c>
      <c r="G53" s="6" t="e">
        <f t="shared" si="15"/>
        <v>#REF!</v>
      </c>
      <c r="H53" s="6" t="e">
        <f t="shared" si="15"/>
        <v>#REF!</v>
      </c>
      <c r="I53" s="6" t="e">
        <f t="shared" si="15"/>
        <v>#REF!</v>
      </c>
      <c r="J53" s="6" t="e">
        <f t="shared" si="15"/>
        <v>#REF!</v>
      </c>
      <c r="K53" s="6" t="e">
        <f t="shared" si="15"/>
        <v>#REF!</v>
      </c>
      <c r="L53" s="6" t="e">
        <f t="shared" si="15"/>
        <v>#REF!</v>
      </c>
      <c r="M53" s="224" t="e">
        <f t="shared" si="10"/>
        <v>#REF!</v>
      </c>
    </row>
    <row r="55" spans="1:13" ht="12.75">
      <c r="A55" t="s">
        <v>517</v>
      </c>
      <c r="C55" s="6" t="e">
        <f aca="true" t="shared" si="16" ref="C55:L55">+C31-C44-C53</f>
        <v>#REF!</v>
      </c>
      <c r="D55" s="6" t="e">
        <f t="shared" si="16"/>
        <v>#REF!</v>
      </c>
      <c r="E55" s="6" t="e">
        <f t="shared" si="16"/>
        <v>#REF!</v>
      </c>
      <c r="F55" s="6" t="e">
        <f t="shared" si="16"/>
        <v>#REF!</v>
      </c>
      <c r="G55" s="6" t="e">
        <f t="shared" si="16"/>
        <v>#REF!</v>
      </c>
      <c r="H55" s="6" t="e">
        <f t="shared" si="16"/>
        <v>#REF!</v>
      </c>
      <c r="I55" s="6" t="e">
        <f t="shared" si="16"/>
        <v>#REF!</v>
      </c>
      <c r="J55" s="6" t="e">
        <f t="shared" si="16"/>
        <v>#REF!</v>
      </c>
      <c r="K55" s="6" t="e">
        <f t="shared" si="16"/>
        <v>#REF!</v>
      </c>
      <c r="L55" s="6" t="e">
        <f t="shared" si="16"/>
        <v>#REF!</v>
      </c>
      <c r="M55" s="224" t="e">
        <f>AVERAGE(C55:L55)</f>
        <v>#REF!</v>
      </c>
    </row>
    <row r="57" spans="1:13" ht="12.75">
      <c r="A57" t="s">
        <v>518</v>
      </c>
      <c r="C57" s="5">
        <f>'Operations Summary'!D20/$B$16</f>
        <v>0</v>
      </c>
      <c r="D57" s="5">
        <f>'Operations Summary'!E20/$B$16</f>
        <v>0</v>
      </c>
      <c r="E57" s="5">
        <f>'Operations Summary'!F20/$B$16</f>
        <v>0</v>
      </c>
      <c r="F57" s="5">
        <f>'Operations Summary'!G20/$B$16</f>
        <v>0</v>
      </c>
      <c r="G57" s="5">
        <f>'Operations Summary'!H20/$B$16</f>
        <v>0</v>
      </c>
      <c r="H57" s="5">
        <f>'Operations Summary'!I20/$B$16</f>
        <v>0</v>
      </c>
      <c r="I57" s="5">
        <f>'Operations Summary'!J20/$B$16</f>
        <v>0</v>
      </c>
      <c r="J57" s="5">
        <f>'Operations Summary'!K20/$B$16</f>
        <v>0</v>
      </c>
      <c r="K57" s="5">
        <f>'Operations Summary'!L20/$B$16</f>
        <v>0</v>
      </c>
      <c r="L57" s="5">
        <f>'Operations Summary'!M20/$B$16</f>
        <v>0</v>
      </c>
      <c r="M57" s="224">
        <f>AVERAGE(C57:L57)</f>
        <v>0</v>
      </c>
    </row>
    <row r="58" spans="1:13" ht="12.75">
      <c r="A58" t="s">
        <v>522</v>
      </c>
      <c r="C58" s="5" t="e">
        <f aca="true" t="shared" si="17" ref="C58:L58">+C55+C57</f>
        <v>#REF!</v>
      </c>
      <c r="D58" s="5" t="e">
        <f t="shared" si="17"/>
        <v>#REF!</v>
      </c>
      <c r="E58" s="5" t="e">
        <f t="shared" si="17"/>
        <v>#REF!</v>
      </c>
      <c r="F58" s="5" t="e">
        <f t="shared" si="17"/>
        <v>#REF!</v>
      </c>
      <c r="G58" s="5" t="e">
        <f t="shared" si="17"/>
        <v>#REF!</v>
      </c>
      <c r="H58" s="5" t="e">
        <f t="shared" si="17"/>
        <v>#REF!</v>
      </c>
      <c r="I58" s="5" t="e">
        <f t="shared" si="17"/>
        <v>#REF!</v>
      </c>
      <c r="J58" s="5" t="e">
        <f t="shared" si="17"/>
        <v>#REF!</v>
      </c>
      <c r="K58" s="5" t="e">
        <f t="shared" si="17"/>
        <v>#REF!</v>
      </c>
      <c r="L58" s="5" t="e">
        <f t="shared" si="17"/>
        <v>#REF!</v>
      </c>
      <c r="M58" s="224" t="e">
        <f>AVERAGE(C58:L58)</f>
        <v>#REF!</v>
      </c>
    </row>
    <row r="59" spans="1:13" ht="12.75">
      <c r="A59" t="s">
        <v>521</v>
      </c>
      <c r="C59" s="174">
        <f aca="true" t="shared" si="18" ref="C59:L59">+C57/$B$17</f>
        <v>0</v>
      </c>
      <c r="D59" s="174">
        <f t="shared" si="18"/>
        <v>0</v>
      </c>
      <c r="E59" s="174">
        <f t="shared" si="18"/>
        <v>0</v>
      </c>
      <c r="F59" s="174">
        <f t="shared" si="18"/>
        <v>0</v>
      </c>
      <c r="G59" s="174">
        <f t="shared" si="18"/>
        <v>0</v>
      </c>
      <c r="H59" s="174">
        <f t="shared" si="18"/>
        <v>0</v>
      </c>
      <c r="I59" s="174">
        <f t="shared" si="18"/>
        <v>0</v>
      </c>
      <c r="J59" s="174">
        <f t="shared" si="18"/>
        <v>0</v>
      </c>
      <c r="K59" s="174">
        <f t="shared" si="18"/>
        <v>0</v>
      </c>
      <c r="L59" s="174">
        <f t="shared" si="18"/>
        <v>0</v>
      </c>
      <c r="M59" s="3">
        <f>AVERAGE(C59:L59)</f>
        <v>0</v>
      </c>
    </row>
    <row r="60" spans="1:13" ht="12.75">
      <c r="A60" t="s">
        <v>531</v>
      </c>
      <c r="C60" s="174" t="e">
        <f>+C55/C44</f>
        <v>#REF!</v>
      </c>
      <c r="D60" s="174" t="e">
        <f aca="true" t="shared" si="19" ref="D60:L60">+D55/D44</f>
        <v>#REF!</v>
      </c>
      <c r="E60" s="174" t="e">
        <f t="shared" si="19"/>
        <v>#REF!</v>
      </c>
      <c r="F60" s="174" t="e">
        <f t="shared" si="19"/>
        <v>#REF!</v>
      </c>
      <c r="G60" s="174" t="e">
        <f t="shared" si="19"/>
        <v>#REF!</v>
      </c>
      <c r="H60" s="174" t="e">
        <f t="shared" si="19"/>
        <v>#REF!</v>
      </c>
      <c r="I60" s="174" t="e">
        <f t="shared" si="19"/>
        <v>#REF!</v>
      </c>
      <c r="J60" s="174" t="e">
        <f t="shared" si="19"/>
        <v>#REF!</v>
      </c>
      <c r="K60" s="174" t="e">
        <f t="shared" si="19"/>
        <v>#REF!</v>
      </c>
      <c r="L60" s="174" t="e">
        <f t="shared" si="19"/>
        <v>#REF!</v>
      </c>
      <c r="M60" s="3" t="e">
        <f>AVERAGE(C60:L60)</f>
        <v>#REF!</v>
      </c>
    </row>
    <row r="61" spans="1:13" ht="12.75">
      <c r="A61" t="s">
        <v>532</v>
      </c>
      <c r="C61" s="3" t="e">
        <f>AVERAGE(C59:C60)</f>
        <v>#REF!</v>
      </c>
      <c r="D61" s="3" t="e">
        <f aca="true" t="shared" si="20" ref="D61:L61">AVERAGE(D59:D60)</f>
        <v>#REF!</v>
      </c>
      <c r="E61" s="3" t="e">
        <f t="shared" si="20"/>
        <v>#REF!</v>
      </c>
      <c r="F61" s="3" t="e">
        <f t="shared" si="20"/>
        <v>#REF!</v>
      </c>
      <c r="G61" s="3" t="e">
        <f t="shared" si="20"/>
        <v>#REF!</v>
      </c>
      <c r="H61" s="3" t="e">
        <f t="shared" si="20"/>
        <v>#REF!</v>
      </c>
      <c r="I61" s="3" t="e">
        <f t="shared" si="20"/>
        <v>#REF!</v>
      </c>
      <c r="J61" s="3" t="e">
        <f t="shared" si="20"/>
        <v>#REF!</v>
      </c>
      <c r="K61" s="3" t="e">
        <f t="shared" si="20"/>
        <v>#REF!</v>
      </c>
      <c r="L61" s="3" t="e">
        <f t="shared" si="20"/>
        <v>#REF!</v>
      </c>
      <c r="M61" s="225" t="e">
        <f>AVERAGE(C61:L61)</f>
        <v>#REF!</v>
      </c>
    </row>
  </sheetData>
  <sheetProtection/>
  <mergeCells count="2">
    <mergeCell ref="A3:F3"/>
    <mergeCell ref="A8:J8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Y126"/>
  <sheetViews>
    <sheetView zoomScalePageLayoutView="0" workbookViewId="0" topLeftCell="A7">
      <selection activeCell="C8" sqref="C8"/>
    </sheetView>
  </sheetViews>
  <sheetFormatPr defaultColWidth="9.140625" defaultRowHeight="12.75"/>
  <cols>
    <col min="1" max="1" width="1.7109375" style="19" customWidth="1"/>
    <col min="2" max="2" width="28.57421875" style="19" customWidth="1"/>
    <col min="3" max="3" width="13.7109375" style="19" customWidth="1"/>
    <col min="4" max="4" width="14.8515625" style="19" customWidth="1"/>
    <col min="5" max="5" width="13.421875" style="19" bestFit="1" customWidth="1"/>
    <col min="6" max="6" width="12.57421875" style="19" bestFit="1" customWidth="1"/>
    <col min="7" max="7" width="12.8515625" style="19" customWidth="1"/>
    <col min="8" max="14" width="12.57421875" style="19" bestFit="1" customWidth="1"/>
    <col min="15" max="18" width="10.28125" style="19" bestFit="1" customWidth="1"/>
    <col min="19" max="16384" width="9.140625" style="19" customWidth="1"/>
  </cols>
  <sheetData>
    <row r="1" spans="2:7" ht="18" customHeight="1">
      <c r="B1" s="34"/>
      <c r="C1" s="34"/>
      <c r="D1" s="19" t="s">
        <v>641</v>
      </c>
      <c r="E1" s="34"/>
      <c r="F1" s="34"/>
      <c r="G1" s="34"/>
    </row>
    <row r="2" spans="2:16" ht="12.75">
      <c r="B2" s="356"/>
      <c r="C2" s="99"/>
      <c r="D2" s="19" t="s">
        <v>422</v>
      </c>
      <c r="E2" s="483">
        <f>Depreciation!D42</f>
        <v>10000</v>
      </c>
      <c r="P2" s="38" t="s">
        <v>668</v>
      </c>
    </row>
    <row r="3" spans="2:25" ht="12.75">
      <c r="B3" s="357"/>
      <c r="C3" s="99"/>
      <c r="D3" s="19" t="s">
        <v>795</v>
      </c>
      <c r="E3" s="483">
        <f>Depreciation!D45</f>
        <v>1137575</v>
      </c>
      <c r="P3" s="277">
        <f>IF(SUM('Operations Summary'!$C$30:D30)&gt;'Input Value'!$C$8,1,"")</f>
      </c>
      <c r="Q3" s="277">
        <f>IF(SUM('Operations Summary'!$C$30:E30)&gt;'Input Value'!$C$8,2,"")</f>
      </c>
      <c r="R3" s="277">
        <f>IF(SUM('Operations Summary'!$C$30:F30)&gt;'Input Value'!$C$8,3,"")</f>
      </c>
      <c r="S3" s="277">
        <f>IF(SUM('Operations Summary'!$C$30:G30)&gt;'Input Value'!$C$8,4,"")</f>
      </c>
      <c r="T3" s="277">
        <f>IF(SUM('Operations Summary'!$C$30:H30)&gt;'Input Value'!$C$8,5,"")</f>
      </c>
      <c r="U3" s="277">
        <f>IF(SUM('Operations Summary'!$C$30:I30)&gt;'Input Value'!$C$8,6,"")</f>
      </c>
      <c r="V3" s="277">
        <f>IF(SUM('Operations Summary'!$C$30:J30)&gt;'Input Value'!$C$8,7,"")</f>
      </c>
      <c r="W3" s="277">
        <f>IF(SUM('Operations Summary'!$C$30:K30)&gt;'Input Value'!$C$8,8,"")</f>
      </c>
      <c r="X3" s="277">
        <f>IF(SUM('Operations Summary'!$C$30:L30)&gt;'Input Value'!$C$8,9,"")</f>
      </c>
      <c r="Y3" s="277">
        <f>IF(SUM('Operations Summary'!$C$30:M30)&gt;'Input Value'!$C$8,10,"")</f>
      </c>
    </row>
    <row r="4" spans="2:25" ht="12.75">
      <c r="B4" s="357"/>
      <c r="C4" s="99"/>
      <c r="D4" s="19" t="s">
        <v>793</v>
      </c>
      <c r="E4" s="494">
        <f>Depreciation!D46</f>
        <v>3066625.7100000004</v>
      </c>
      <c r="P4" s="277"/>
      <c r="Q4" s="277"/>
      <c r="R4" s="277"/>
      <c r="S4" s="277"/>
      <c r="T4" s="277"/>
      <c r="U4" s="277"/>
      <c r="V4" s="277"/>
      <c r="W4" s="277"/>
      <c r="X4" s="277"/>
      <c r="Y4" s="277"/>
    </row>
    <row r="5" spans="2:5" ht="12.75">
      <c r="B5" s="357"/>
      <c r="C5" s="100"/>
      <c r="D5" s="19" t="s">
        <v>648</v>
      </c>
      <c r="E5" s="494">
        <f>Depreciation!D47</f>
        <v>1016391.3628571428</v>
      </c>
    </row>
    <row r="6" spans="4:5" ht="12.75">
      <c r="D6" s="67" t="s">
        <v>466</v>
      </c>
      <c r="E6" s="483">
        <f>Depreciation!D43</f>
        <v>5230592.072857143</v>
      </c>
    </row>
    <row r="7" spans="2:3" ht="12.75">
      <c r="B7" s="67"/>
      <c r="C7" s="101"/>
    </row>
    <row r="8" spans="2:14" ht="12.75">
      <c r="B8" s="67" t="s">
        <v>378</v>
      </c>
      <c r="C8" s="130">
        <v>0.1</v>
      </c>
      <c r="N8" s="73"/>
    </row>
    <row r="10" spans="2:14" ht="12.75">
      <c r="B10" s="88" t="s">
        <v>388</v>
      </c>
      <c r="D10" s="88">
        <v>0</v>
      </c>
      <c r="E10" s="88">
        <v>1</v>
      </c>
      <c r="F10" s="88">
        <v>2</v>
      </c>
      <c r="G10" s="88">
        <v>3</v>
      </c>
      <c r="H10" s="88">
        <v>4</v>
      </c>
      <c r="I10" s="88">
        <v>5</v>
      </c>
      <c r="J10" s="88">
        <v>6</v>
      </c>
      <c r="K10" s="88">
        <v>7</v>
      </c>
      <c r="L10" s="88">
        <v>8</v>
      </c>
      <c r="M10" s="88">
        <v>9</v>
      </c>
      <c r="N10" s="88">
        <v>10</v>
      </c>
    </row>
    <row r="11" spans="2:14" s="84" customFormat="1" ht="12.75">
      <c r="B11" s="102" t="s">
        <v>379</v>
      </c>
      <c r="E11" s="84">
        <f>'Operations Summary'!D8</f>
        <v>-1782862.7009600028</v>
      </c>
      <c r="F11" s="84">
        <f>'Operations Summary'!E8</f>
        <v>-2240908.9179695994</v>
      </c>
      <c r="G11" s="84">
        <f>'Operations Summary'!F8</f>
        <v>-2263318.0071492977</v>
      </c>
      <c r="H11" s="84">
        <f>'Operations Summary'!G8</f>
        <v>-2285951.187220793</v>
      </c>
      <c r="I11" s="84">
        <f>'Operations Summary'!H8</f>
        <v>-2308810.699092999</v>
      </c>
      <c r="J11" s="84">
        <f>'Operations Summary'!I8</f>
        <v>-2331898.806083925</v>
      </c>
      <c r="K11" s="84">
        <f>'Operations Summary'!J8</f>
        <v>-2355217.794144761</v>
      </c>
      <c r="L11" s="84">
        <f>'Operations Summary'!K8</f>
        <v>-2378769.9720862135</v>
      </c>
      <c r="M11" s="84">
        <f>'Operations Summary'!L8</f>
        <v>-2402557.671807073</v>
      </c>
      <c r="N11" s="84">
        <f>'Operations Summary'!M8</f>
        <v>-2426583.2485251427</v>
      </c>
    </row>
    <row r="12" spans="2:14" s="104" customFormat="1" ht="12.75">
      <c r="B12" s="103" t="s">
        <v>380</v>
      </c>
      <c r="D12" s="104">
        <v>1</v>
      </c>
      <c r="E12" s="104">
        <f>1/((1+$C$8)^E10)</f>
        <v>0.9090909090909091</v>
      </c>
      <c r="F12" s="104">
        <f aca="true" t="shared" si="0" ref="F12:N12">1/((1+$C$8)^F10)</f>
        <v>0.8264462809917354</v>
      </c>
      <c r="G12" s="104">
        <f t="shared" si="0"/>
        <v>0.7513148009015775</v>
      </c>
      <c r="H12" s="104">
        <f t="shared" si="0"/>
        <v>0.6830134553650705</v>
      </c>
      <c r="I12" s="104">
        <f t="shared" si="0"/>
        <v>0.6209213230591549</v>
      </c>
      <c r="J12" s="104">
        <f t="shared" si="0"/>
        <v>0.5644739300537772</v>
      </c>
      <c r="K12" s="104">
        <f t="shared" si="0"/>
        <v>0.5131581182307065</v>
      </c>
      <c r="L12" s="104">
        <f t="shared" si="0"/>
        <v>0.46650738020973315</v>
      </c>
      <c r="M12" s="104">
        <f t="shared" si="0"/>
        <v>0.42409761837248466</v>
      </c>
      <c r="N12" s="104">
        <f t="shared" si="0"/>
        <v>0.3855432894295315</v>
      </c>
    </row>
    <row r="13" spans="2:14" s="84" customFormat="1" ht="12.75">
      <c r="B13" s="102" t="s">
        <v>381</v>
      </c>
      <c r="D13" s="84">
        <f>D11*D12</f>
        <v>0</v>
      </c>
      <c r="E13" s="84">
        <f>E11*E12</f>
        <v>-1620784.2736000025</v>
      </c>
      <c r="F13" s="84">
        <f aca="true" t="shared" si="1" ref="F13:N13">F11*F12</f>
        <v>-1851990.8412971895</v>
      </c>
      <c r="G13" s="84">
        <f t="shared" si="1"/>
        <v>-1700464.31791833</v>
      </c>
      <c r="H13" s="84">
        <f t="shared" si="1"/>
        <v>-1561335.4191795592</v>
      </c>
      <c r="I13" s="84">
        <f t="shared" si="1"/>
        <v>-1433589.7939739574</v>
      </c>
      <c r="J13" s="84">
        <f t="shared" si="1"/>
        <v>-1316296.0835579042</v>
      </c>
      <c r="K13" s="84">
        <f t="shared" si="1"/>
        <v>-1208599.131266801</v>
      </c>
      <c r="L13" s="84">
        <f t="shared" si="1"/>
        <v>-1109713.7477995194</v>
      </c>
      <c r="M13" s="84">
        <f t="shared" si="1"/>
        <v>-1018918.9866159214</v>
      </c>
      <c r="N13" s="84">
        <f t="shared" si="1"/>
        <v>-935552.8877109818</v>
      </c>
    </row>
    <row r="15" spans="2:14" ht="12.75">
      <c r="B15" s="67" t="s">
        <v>382</v>
      </c>
      <c r="C15" s="31"/>
      <c r="D15" s="84">
        <f>D17*D18</f>
        <v>5230592.072857143</v>
      </c>
      <c r="E15" s="84">
        <f>'Operations Summary'!D14</f>
        <v>3441766.323510129</v>
      </c>
      <c r="F15" s="84">
        <f>'Operations Summary'!E14</f>
        <v>3956419.2680043955</v>
      </c>
      <c r="G15" s="84">
        <f>'Operations Summary'!F14</f>
        <v>3630231.066446948</v>
      </c>
      <c r="H15" s="84">
        <f>'Operations Summary'!G14</f>
        <v>3194493.45480862</v>
      </c>
      <c r="I15" s="84">
        <f>'Operations Summary'!H14</f>
        <v>3184289.285454345</v>
      </c>
      <c r="J15" s="84">
        <f>'Operations Summary'!I14</f>
        <v>3173778.3677717173</v>
      </c>
      <c r="K15" s="84">
        <f>'Operations Summary'!J14</f>
        <v>2958042.9195666253</v>
      </c>
      <c r="L15" s="84">
        <f>'Operations Summary'!K14</f>
        <v>2741346.026987054</v>
      </c>
      <c r="M15" s="84">
        <f>'Operations Summary'!L14</f>
        <v>2726122.3354326067</v>
      </c>
      <c r="N15" s="84">
        <f>'Operations Summary'!M14</f>
        <v>2709251.2469073874</v>
      </c>
    </row>
    <row r="16" spans="2:14" ht="12.75">
      <c r="B16" s="67" t="s">
        <v>655</v>
      </c>
      <c r="D16" s="105"/>
      <c r="E16" s="84">
        <f>'Expense Projection'!E46+'Expense Projection'!E48-'Loan Amortization'!$C$22</f>
        <v>869044.0689177876</v>
      </c>
      <c r="F16" s="84">
        <f>'Expense Projection'!F46+'Expense Projection'!F48-'Loan Amortization'!$C$22</f>
        <v>1322441.6134120552</v>
      </c>
      <c r="G16" s="84">
        <f>'Expense Projection'!G46+'Expense Projection'!G48-'Loan Amortization'!$C$22</f>
        <v>988925.4578546068</v>
      </c>
      <c r="H16" s="84">
        <f>'Expense Projection'!H46+'Expense Projection'!H48-'Loan Amortization'!$C$22</f>
        <v>545786.6126762785</v>
      </c>
      <c r="I16" s="84">
        <f>'Expense Projection'!I46+'Expense Projection'!I48-'Loan Amortization'!$C$22</f>
        <v>528107.1974466041</v>
      </c>
      <c r="J16" s="84">
        <f>'Expense Projection'!J46+'Expense Projection'!J48-'Loan Amortization'!$C$22</f>
        <v>510046.2814298221</v>
      </c>
      <c r="K16" s="84">
        <f>'Expense Projection'!K46+'Expense Projection'!K48-'Loan Amortization'!$C$22</f>
        <v>286685.3349072349</v>
      </c>
      <c r="L16" s="84">
        <f>'Expense Projection'!L46+'Expense Projection'!L48-'Loan Amortization'!$C$22</f>
        <v>62286.68902699297</v>
      </c>
      <c r="M16" s="84">
        <f>'Expense Projection'!M46+'Expense Projection'!M48-'Loan Amortization'!$C$22</f>
        <v>39284.226638868655</v>
      </c>
      <c r="N16" s="84">
        <f>'Expense Projection'!N46+'Expense Projection'!N48-'Loan Amortization'!$C$22</f>
        <v>14556.579571634997</v>
      </c>
    </row>
    <row r="17" spans="2:14" ht="12.75">
      <c r="B17" s="67" t="s">
        <v>383</v>
      </c>
      <c r="C17" s="21">
        <f>+C15</f>
        <v>0</v>
      </c>
      <c r="D17" s="84">
        <f>+E6</f>
        <v>5230592.072857143</v>
      </c>
      <c r="E17" s="84">
        <f>+E15-E16</f>
        <v>2572722.2545923414</v>
      </c>
      <c r="F17" s="84">
        <f aca="true" t="shared" si="2" ref="F17:N17">+F15-F16</f>
        <v>2633977.6545923403</v>
      </c>
      <c r="G17" s="84">
        <f t="shared" si="2"/>
        <v>2641305.608592341</v>
      </c>
      <c r="H17" s="84">
        <f t="shared" si="2"/>
        <v>2648706.842132341</v>
      </c>
      <c r="I17" s="84">
        <f t="shared" si="2"/>
        <v>2656182.0880077407</v>
      </c>
      <c r="J17" s="84">
        <f t="shared" si="2"/>
        <v>2663732.086341895</v>
      </c>
      <c r="K17" s="84">
        <f t="shared" si="2"/>
        <v>2671357.58465939</v>
      </c>
      <c r="L17" s="84">
        <f t="shared" si="2"/>
        <v>2679059.337960061</v>
      </c>
      <c r="M17" s="84">
        <f t="shared" si="2"/>
        <v>2686838.1087937383</v>
      </c>
      <c r="N17" s="84">
        <f t="shared" si="2"/>
        <v>2694694.6673357524</v>
      </c>
    </row>
    <row r="18" spans="2:14" ht="12.75">
      <c r="B18" s="67" t="s">
        <v>380</v>
      </c>
      <c r="D18" s="104">
        <v>1</v>
      </c>
      <c r="E18" s="104">
        <f aca="true" t="shared" si="3" ref="E18:N18">E12</f>
        <v>0.9090909090909091</v>
      </c>
      <c r="F18" s="104">
        <f t="shared" si="3"/>
        <v>0.8264462809917354</v>
      </c>
      <c r="G18" s="104">
        <f t="shared" si="3"/>
        <v>0.7513148009015775</v>
      </c>
      <c r="H18" s="104">
        <f t="shared" si="3"/>
        <v>0.6830134553650705</v>
      </c>
      <c r="I18" s="104">
        <f t="shared" si="3"/>
        <v>0.6209213230591549</v>
      </c>
      <c r="J18" s="104">
        <f t="shared" si="3"/>
        <v>0.5644739300537772</v>
      </c>
      <c r="K18" s="104">
        <f t="shared" si="3"/>
        <v>0.5131581182307065</v>
      </c>
      <c r="L18" s="104">
        <f t="shared" si="3"/>
        <v>0.46650738020973315</v>
      </c>
      <c r="M18" s="104">
        <f t="shared" si="3"/>
        <v>0.42409761837248466</v>
      </c>
      <c r="N18" s="104">
        <f t="shared" si="3"/>
        <v>0.3855432894295315</v>
      </c>
    </row>
    <row r="19" spans="2:14" ht="12.75">
      <c r="B19" s="67" t="s">
        <v>384</v>
      </c>
      <c r="C19" s="84"/>
      <c r="D19" s="84">
        <f aca="true" t="shared" si="4" ref="D19:N19">D17*D18</f>
        <v>5230592.072857143</v>
      </c>
      <c r="E19" s="84">
        <f t="shared" si="4"/>
        <v>2338838.4132657647</v>
      </c>
      <c r="F19" s="84">
        <f t="shared" si="4"/>
        <v>2176841.0368531737</v>
      </c>
      <c r="G19" s="84">
        <f t="shared" si="4"/>
        <v>1984451.997439775</v>
      </c>
      <c r="H19" s="84">
        <f t="shared" si="4"/>
        <v>1809102.4124939146</v>
      </c>
      <c r="I19" s="84">
        <f t="shared" si="4"/>
        <v>1649280.096371795</v>
      </c>
      <c r="J19" s="84">
        <f t="shared" si="4"/>
        <v>1503607.319387757</v>
      </c>
      <c r="K19" s="84">
        <f t="shared" si="4"/>
        <v>1370828.8312651378</v>
      </c>
      <c r="L19" s="84">
        <f t="shared" si="4"/>
        <v>1249800.9531781701</v>
      </c>
      <c r="M19" s="84">
        <f t="shared" si="4"/>
        <v>1139481.6428918552</v>
      </c>
      <c r="N19" s="84">
        <f t="shared" si="4"/>
        <v>1038921.446052843</v>
      </c>
    </row>
    <row r="20" spans="3:14" ht="12.75"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2:14" ht="12.75">
      <c r="B21" s="67" t="s">
        <v>385</v>
      </c>
      <c r="C21" s="84">
        <f aca="true" t="shared" si="5" ref="C21:N21">C11-C17</f>
        <v>0</v>
      </c>
      <c r="D21" s="84">
        <f t="shared" si="5"/>
        <v>-5230592.072857143</v>
      </c>
      <c r="E21" s="84">
        <f t="shared" si="5"/>
        <v>-4355584.955552344</v>
      </c>
      <c r="F21" s="84">
        <f t="shared" si="5"/>
        <v>-4874886.57256194</v>
      </c>
      <c r="G21" s="84">
        <f t="shared" si="5"/>
        <v>-4904623.6157416385</v>
      </c>
      <c r="H21" s="84">
        <f t="shared" si="5"/>
        <v>-4934658.029353134</v>
      </c>
      <c r="I21" s="84">
        <f t="shared" si="5"/>
        <v>-4964992.78710074</v>
      </c>
      <c r="J21" s="84">
        <f t="shared" si="5"/>
        <v>-4995630.89242582</v>
      </c>
      <c r="K21" s="84">
        <f t="shared" si="5"/>
        <v>-5026575.378804151</v>
      </c>
      <c r="L21" s="84">
        <f t="shared" si="5"/>
        <v>-5057829.310046274</v>
      </c>
      <c r="M21" s="84">
        <f t="shared" si="5"/>
        <v>-5089395.780600811</v>
      </c>
      <c r="N21" s="84">
        <f t="shared" si="5"/>
        <v>-5121277.915860895</v>
      </c>
    </row>
    <row r="22" spans="1:14" ht="13.5" thickBot="1">
      <c r="A22" s="57"/>
      <c r="B22" s="67" t="s">
        <v>421</v>
      </c>
      <c r="C22" s="84"/>
      <c r="D22" s="84">
        <f aca="true" t="shared" si="6" ref="D22:N22">+D13-D19</f>
        <v>-5230592.072857143</v>
      </c>
      <c r="E22" s="84">
        <f t="shared" si="6"/>
        <v>-3959622.6868657675</v>
      </c>
      <c r="F22" s="84">
        <f t="shared" si="6"/>
        <v>-4028831.8781503635</v>
      </c>
      <c r="G22" s="84">
        <f t="shared" si="6"/>
        <v>-3684916.315358105</v>
      </c>
      <c r="H22" s="84">
        <f t="shared" si="6"/>
        <v>-3370437.831673474</v>
      </c>
      <c r="I22" s="84">
        <f t="shared" si="6"/>
        <v>-3082869.8903457522</v>
      </c>
      <c r="J22" s="84">
        <f t="shared" si="6"/>
        <v>-2819903.402945661</v>
      </c>
      <c r="K22" s="84">
        <f t="shared" si="6"/>
        <v>-2579427.9625319387</v>
      </c>
      <c r="L22" s="84">
        <f t="shared" si="6"/>
        <v>-2359514.7009776896</v>
      </c>
      <c r="M22" s="84">
        <f t="shared" si="6"/>
        <v>-2158400.6295077763</v>
      </c>
      <c r="N22" s="84">
        <f t="shared" si="6"/>
        <v>-1974474.3337638248</v>
      </c>
    </row>
    <row r="23" spans="2:14" ht="13.5" thickBo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3" ht="12.75">
      <c r="B24" s="67" t="s">
        <v>419</v>
      </c>
      <c r="C24" s="119">
        <f>SUM(D13:N13)</f>
        <v>-13757245.482920166</v>
      </c>
    </row>
    <row r="25" spans="2:14" ht="12.75">
      <c r="B25" s="67" t="s">
        <v>420</v>
      </c>
      <c r="C25" s="119">
        <f>SUM(D19:N19)</f>
        <v>21491746.222057328</v>
      </c>
      <c r="H25" s="68"/>
      <c r="I25" s="68"/>
      <c r="J25" s="68"/>
      <c r="K25" s="68"/>
      <c r="L25" s="68"/>
      <c r="M25" s="68"/>
      <c r="N25" s="68"/>
    </row>
    <row r="26" spans="2:14" ht="20.25">
      <c r="B26" s="67"/>
      <c r="C26" s="119"/>
      <c r="D26" s="276"/>
      <c r="H26" s="68"/>
      <c r="I26" s="68"/>
      <c r="J26" s="68"/>
      <c r="K26" s="68"/>
      <c r="L26" s="68"/>
      <c r="M26" s="68"/>
      <c r="N26" s="68"/>
    </row>
    <row r="27" spans="2:14" ht="18.75">
      <c r="B27" s="297"/>
      <c r="C27" s="280"/>
      <c r="D27" s="260"/>
      <c r="E27" s="260"/>
      <c r="F27" s="260"/>
      <c r="G27" s="260"/>
      <c r="H27" s="281"/>
      <c r="I27" s="281"/>
      <c r="J27" s="281"/>
      <c r="K27" s="281"/>
      <c r="L27" s="281"/>
      <c r="M27" s="281"/>
      <c r="N27" s="281"/>
    </row>
    <row r="28" spans="2:14" ht="12.75">
      <c r="B28" s="259"/>
      <c r="C28" s="280"/>
      <c r="D28" s="283" t="s">
        <v>642</v>
      </c>
      <c r="E28" s="260"/>
      <c r="F28" s="260"/>
      <c r="G28" s="260"/>
      <c r="H28" s="281"/>
      <c r="I28" s="281"/>
      <c r="J28" s="281"/>
      <c r="K28" s="281"/>
      <c r="L28" s="281"/>
      <c r="M28" s="281"/>
      <c r="N28" s="281"/>
    </row>
    <row r="29" spans="2:14" ht="12.75">
      <c r="B29" s="259" t="s">
        <v>386</v>
      </c>
      <c r="C29" s="282">
        <f>C24-C25</f>
        <v>-35248991.7049775</v>
      </c>
      <c r="D29" s="260"/>
      <c r="H29" s="260"/>
      <c r="I29" s="260"/>
      <c r="J29" s="260"/>
      <c r="K29" s="260"/>
      <c r="L29" s="260"/>
      <c r="M29" s="260"/>
      <c r="N29" s="260"/>
    </row>
    <row r="30" spans="2:14" ht="12.75">
      <c r="B30" s="259" t="s">
        <v>387</v>
      </c>
      <c r="C30" s="285" t="e">
        <f>IRR(D21:N21)</f>
        <v>#NUM!</v>
      </c>
      <c r="D30" s="260"/>
      <c r="E30" s="260"/>
      <c r="H30" s="303"/>
      <c r="I30" s="260"/>
      <c r="J30" s="260"/>
      <c r="K30" s="260"/>
      <c r="L30" s="260"/>
      <c r="M30" s="260"/>
      <c r="N30" s="260"/>
    </row>
    <row r="31" spans="1:14" ht="12.75">
      <c r="A31" s="23"/>
      <c r="B31" s="259" t="s">
        <v>426</v>
      </c>
      <c r="C31" s="286">
        <f>C24/C25</f>
        <v>-0.6401176219362241</v>
      </c>
      <c r="D31" s="260"/>
      <c r="E31" s="260"/>
      <c r="F31" s="260"/>
      <c r="G31" s="260"/>
      <c r="H31" s="263"/>
      <c r="I31" s="260"/>
      <c r="J31" s="260"/>
      <c r="K31" s="260"/>
      <c r="L31" s="260"/>
      <c r="M31" s="260"/>
      <c r="N31" s="260"/>
    </row>
    <row r="32" spans="1:14" ht="12.75">
      <c r="A32" s="108"/>
      <c r="B32" s="287" t="s">
        <v>462</v>
      </c>
      <c r="C32" s="296">
        <f>IF(MIN(P3:Y3)&gt;0,MIN(P3:Y3),"")</f>
      </c>
      <c r="D32" s="288"/>
      <c r="H32" s="288"/>
      <c r="I32" s="288"/>
      <c r="J32" s="288"/>
      <c r="K32" s="288"/>
      <c r="L32" s="288"/>
      <c r="M32" s="288"/>
      <c r="N32" s="288"/>
    </row>
    <row r="33" spans="2:14" ht="12.75">
      <c r="B33" s="290" t="s">
        <v>463</v>
      </c>
      <c r="C33" s="290"/>
      <c r="D33" s="291"/>
      <c r="H33" s="288"/>
      <c r="I33" s="288"/>
      <c r="J33" s="288"/>
      <c r="K33" s="288"/>
      <c r="L33" s="288"/>
      <c r="M33" s="288"/>
      <c r="N33" s="288"/>
    </row>
    <row r="34" spans="2:14" ht="12.75">
      <c r="B34" s="283" t="str">
        <f>+B42</f>
        <v>Average Return on Assets</v>
      </c>
      <c r="C34" s="281"/>
      <c r="D34" s="284">
        <f>AVERAGE($D$40:$M$40)</f>
        <v>-1.0418059474128278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2:4" ht="12.75">
      <c r="B35" s="281" t="str">
        <f>+B41</f>
        <v>(after tax profits/PP&amp;E investment)</v>
      </c>
      <c r="C35" s="260"/>
      <c r="D35" s="260"/>
    </row>
    <row r="36" spans="2:4" ht="12.75">
      <c r="B36" s="259" t="s">
        <v>483</v>
      </c>
      <c r="C36" s="260"/>
      <c r="D36" s="289">
        <f>AVERAGE($C$43:$M$43)</f>
        <v>-2.0836118948256557</v>
      </c>
    </row>
    <row r="37" spans="1:4" ht="13.5" thickBot="1">
      <c r="A37" s="57"/>
      <c r="B37" s="292" t="s">
        <v>664</v>
      </c>
      <c r="C37" s="288"/>
      <c r="D37" s="288"/>
    </row>
    <row r="38" spans="1:13" ht="12.75">
      <c r="A38" s="23"/>
      <c r="B38" s="260"/>
      <c r="C38" s="260"/>
      <c r="D38" s="259" t="s">
        <v>669</v>
      </c>
      <c r="E38" s="260"/>
      <c r="F38" s="260"/>
      <c r="G38" s="260"/>
      <c r="H38" s="260"/>
      <c r="I38" s="260"/>
      <c r="J38" s="260"/>
      <c r="K38" s="260"/>
      <c r="L38" s="260"/>
      <c r="M38" s="260"/>
    </row>
    <row r="39" spans="2:13" ht="12.75">
      <c r="B39" s="260"/>
      <c r="C39" s="260"/>
      <c r="D39" s="259" t="s">
        <v>325</v>
      </c>
      <c r="E39" s="259" t="s">
        <v>326</v>
      </c>
      <c r="F39" s="259" t="s">
        <v>327</v>
      </c>
      <c r="G39" s="259" t="s">
        <v>328</v>
      </c>
      <c r="H39" s="259" t="s">
        <v>329</v>
      </c>
      <c r="I39" s="259" t="s">
        <v>330</v>
      </c>
      <c r="J39" s="259" t="s">
        <v>331</v>
      </c>
      <c r="K39" s="259" t="s">
        <v>332</v>
      </c>
      <c r="L39" s="259" t="s">
        <v>333</v>
      </c>
      <c r="M39" s="259" t="s">
        <v>334</v>
      </c>
    </row>
    <row r="40" spans="2:13" ht="12.75">
      <c r="B40" s="293" t="s">
        <v>485</v>
      </c>
      <c r="C40" s="260"/>
      <c r="D40" s="294">
        <f>'Operations Summary'!D23/('Input Value'!$C$8)</f>
        <v>-0.9988599668442976</v>
      </c>
      <c r="E40" s="294">
        <f>'Operations Summary'!E23/('Input Value'!$C$8)</f>
        <v>-1.18482345777517</v>
      </c>
      <c r="F40" s="294">
        <f>'Operations Summary'!F23/('Input Value'!$C$8)</f>
        <v>-1.1267460722428255</v>
      </c>
      <c r="G40" s="294">
        <f>'Operations Summary'!G23/('Input Value'!$C$8)</f>
        <v>-1.0477675501534172</v>
      </c>
      <c r="H40" s="294">
        <f>'Operations Summary'!H23/('Input Value'!$C$8)</f>
        <v>-1.0501870358142475</v>
      </c>
      <c r="I40" s="294">
        <f>'Operations Summary'!I23/('Input Value'!$C$8)</f>
        <v>-1.052591579914248</v>
      </c>
      <c r="J40" s="294">
        <f>'Operations Summary'!J23/('Input Value'!$C$8)</f>
        <v>-1.0158048342716748</v>
      </c>
      <c r="K40" s="294">
        <f>'Operations Summary'!K23/('Input Value'!$C$8)</f>
        <v>-0.9788788587897793</v>
      </c>
      <c r="L40" s="294">
        <f>'Operations Summary'!L23/('Input Value'!$C$8)</f>
        <v>-0.9805161510976337</v>
      </c>
      <c r="M40" s="294">
        <f>'Operations Summary'!M23/('Input Value'!$C$8)</f>
        <v>-0.9818839672249849</v>
      </c>
    </row>
    <row r="41" spans="2:14" ht="12.75">
      <c r="B41" s="295" t="s">
        <v>447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193"/>
    </row>
    <row r="42" spans="2:14" ht="12.75">
      <c r="B42" s="259" t="s">
        <v>482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93"/>
    </row>
    <row r="43" spans="2:13" ht="12.75">
      <c r="B43" s="287" t="s">
        <v>533</v>
      </c>
      <c r="C43" s="367"/>
      <c r="D43" s="367">
        <f>+'Operations Summary'!D23/('Input Value'!$C$8-'Input Value'!$C$9)</f>
        <v>-1.9977199336885951</v>
      </c>
      <c r="E43" s="367">
        <f>+'Operations Summary'!E23/('Input Value'!$C$8-'Input Value'!$C$9)</f>
        <v>-2.36964691555034</v>
      </c>
      <c r="F43" s="367">
        <f>+'Operations Summary'!F23/('Input Value'!$C$8-'Input Value'!$C$9)</f>
        <v>-2.253492144485651</v>
      </c>
      <c r="G43" s="367">
        <f>+'Operations Summary'!G23/('Input Value'!$C$8-'Input Value'!$C$9)</f>
        <v>-2.0955351003068343</v>
      </c>
      <c r="H43" s="367">
        <f>+'Operations Summary'!H23/('Input Value'!$C$8-'Input Value'!$C$9)</f>
        <v>-2.100374071628495</v>
      </c>
      <c r="I43" s="367">
        <f>+'Operations Summary'!I23/('Input Value'!$C$8-'Input Value'!$C$9)</f>
        <v>-2.105183159828496</v>
      </c>
      <c r="J43" s="367">
        <f>+'Operations Summary'!J23/('Input Value'!$C$8-'Input Value'!$C$9)</f>
        <v>-2.0316096685433496</v>
      </c>
      <c r="K43" s="367">
        <f>+'Operations Summary'!K23/('Input Value'!$C$8-'Input Value'!$C$9)</f>
        <v>-1.9577577175795586</v>
      </c>
      <c r="L43" s="367">
        <f>+'Operations Summary'!L23/('Input Value'!$C$8-'Input Value'!$C$9)</f>
        <v>-1.9610323021952674</v>
      </c>
      <c r="M43" s="367">
        <f>+'Operations Summary'!M23/('Input Value'!$C$8-'Input Value'!$C$9)</f>
        <v>-1.9637679344499699</v>
      </c>
    </row>
    <row r="44" spans="2:11" ht="20.25">
      <c r="B44" s="278"/>
      <c r="C44" s="23"/>
      <c r="D44" s="23"/>
      <c r="E44" s="23"/>
      <c r="F44" s="23"/>
      <c r="G44" s="23"/>
      <c r="H44" s="23"/>
      <c r="I44" s="38"/>
      <c r="J44" s="23"/>
      <c r="K44" s="23"/>
    </row>
    <row r="45" spans="2:3" ht="12.75">
      <c r="B45" s="190"/>
      <c r="C45" s="193"/>
    </row>
    <row r="46" spans="2:18" ht="12.75">
      <c r="B46" s="23"/>
      <c r="C46" s="23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</row>
    <row r="47" spans="2:11" ht="12.75">
      <c r="B47" s="23"/>
      <c r="C47" s="375"/>
      <c r="E47" s="208"/>
      <c r="F47" s="207"/>
      <c r="G47" s="42"/>
      <c r="H47" s="206"/>
      <c r="I47" s="191"/>
      <c r="J47" s="170"/>
      <c r="K47" s="23"/>
    </row>
    <row r="48" spans="2:11" ht="12.75">
      <c r="B48" s="425"/>
      <c r="C48" s="207"/>
      <c r="E48" s="208"/>
      <c r="F48" s="207"/>
      <c r="G48" s="42"/>
      <c r="H48" s="206"/>
      <c r="I48" s="38"/>
      <c r="J48" s="38"/>
      <c r="K48" s="23"/>
    </row>
    <row r="49" spans="2:11" ht="12.75">
      <c r="B49" s="368"/>
      <c r="C49" s="207"/>
      <c r="E49" s="208"/>
      <c r="F49" s="207"/>
      <c r="G49" s="42"/>
      <c r="H49" s="206"/>
      <c r="I49" s="191"/>
      <c r="J49" s="170"/>
      <c r="K49" s="23"/>
    </row>
    <row r="50" spans="2:11" ht="12.75">
      <c r="B50" s="369"/>
      <c r="C50" s="370"/>
      <c r="D50" s="371"/>
      <c r="E50" s="372"/>
      <c r="F50" s="371"/>
      <c r="G50" s="371"/>
      <c r="H50" s="373"/>
      <c r="I50" s="191"/>
      <c r="J50" s="170"/>
      <c r="K50" s="23"/>
    </row>
    <row r="51" spans="2:11" ht="12.75">
      <c r="B51" s="368"/>
      <c r="C51" s="250"/>
      <c r="D51" s="317"/>
      <c r="E51" s="252"/>
      <c r="F51" s="253"/>
      <c r="G51" s="254"/>
      <c r="H51" s="202"/>
      <c r="I51" s="191"/>
      <c r="J51" s="170"/>
      <c r="K51" s="23"/>
    </row>
    <row r="52" spans="2:11" ht="12.75">
      <c r="B52" s="374"/>
      <c r="C52" s="205"/>
      <c r="D52" s="375"/>
      <c r="E52" s="189"/>
      <c r="F52" s="195"/>
      <c r="G52" s="199"/>
      <c r="H52" s="202"/>
      <c r="I52" s="191"/>
      <c r="J52" s="170"/>
      <c r="K52" s="23"/>
    </row>
    <row r="53" spans="2:18" ht="12.75">
      <c r="B53" s="55"/>
      <c r="C53" s="205"/>
      <c r="D53" s="157"/>
      <c r="E53" s="157"/>
      <c r="F53" s="157"/>
      <c r="G53" s="157"/>
      <c r="H53" s="157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11" ht="12.75">
      <c r="B54" s="190"/>
      <c r="C54" s="23"/>
      <c r="E54" s="208"/>
      <c r="F54" s="207"/>
      <c r="G54" s="42"/>
      <c r="H54" s="206"/>
      <c r="I54" s="191"/>
      <c r="J54" s="170"/>
      <c r="K54" s="23"/>
    </row>
    <row r="55" spans="2:11" ht="12.75">
      <c r="B55" s="38"/>
      <c r="C55" s="205"/>
      <c r="E55" s="208"/>
      <c r="F55" s="207"/>
      <c r="G55" s="42"/>
      <c r="H55" s="206"/>
      <c r="I55" s="38"/>
      <c r="J55" s="38"/>
      <c r="K55" s="23"/>
    </row>
    <row r="56" spans="2:11" ht="12.75">
      <c r="B56" s="376"/>
      <c r="C56" s="205"/>
      <c r="E56" s="208"/>
      <c r="F56" s="207"/>
      <c r="G56" s="42"/>
      <c r="H56" s="206"/>
      <c r="I56" s="191"/>
      <c r="J56" s="170"/>
      <c r="K56" s="23"/>
    </row>
    <row r="57" spans="2:11" ht="12.75">
      <c r="B57" s="377"/>
      <c r="C57" s="205"/>
      <c r="D57" s="107"/>
      <c r="E57" s="189"/>
      <c r="F57" s="195"/>
      <c r="G57" s="195"/>
      <c r="H57" s="202"/>
      <c r="I57" s="38"/>
      <c r="J57" s="38"/>
      <c r="K57" s="23"/>
    </row>
    <row r="58" spans="2:18" ht="12.75">
      <c r="B58" s="378"/>
      <c r="C58" s="426"/>
      <c r="D58" s="157"/>
      <c r="E58" s="157"/>
      <c r="F58" s="157"/>
      <c r="G58" s="157"/>
      <c r="H58" s="157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2:11" ht="12.75">
      <c r="B59" s="379"/>
      <c r="C59" s="205"/>
      <c r="E59" s="208"/>
      <c r="F59" s="207"/>
      <c r="G59" s="42"/>
      <c r="H59" s="206"/>
      <c r="I59" s="191"/>
      <c r="J59" s="170"/>
      <c r="K59" s="23"/>
    </row>
    <row r="60" spans="2:11" ht="12.75">
      <c r="B60" s="379"/>
      <c r="C60" s="205"/>
      <c r="E60" s="208"/>
      <c r="F60" s="207"/>
      <c r="G60" s="42"/>
      <c r="H60" s="206"/>
      <c r="I60" s="38"/>
      <c r="J60" s="38"/>
      <c r="K60" s="23"/>
    </row>
    <row r="61" spans="2:11" ht="12.75">
      <c r="B61" s="55"/>
      <c r="C61" s="205"/>
      <c r="E61" s="208"/>
      <c r="F61" s="207"/>
      <c r="G61" s="42"/>
      <c r="H61" s="206"/>
      <c r="I61" s="191"/>
      <c r="J61" s="170"/>
      <c r="K61" s="23"/>
    </row>
    <row r="62" spans="2:11" ht="12.75">
      <c r="B62" s="190"/>
      <c r="C62" s="23"/>
      <c r="D62" s="23"/>
      <c r="E62" s="23"/>
      <c r="F62" s="23"/>
      <c r="G62" s="23"/>
      <c r="H62" s="23"/>
      <c r="I62" s="189"/>
      <c r="J62" s="38"/>
      <c r="K62" s="23"/>
    </row>
    <row r="63" spans="2:11" ht="12.75">
      <c r="B63" s="55"/>
      <c r="C63" s="205"/>
      <c r="D63" s="107"/>
      <c r="E63" s="189"/>
      <c r="F63" s="38"/>
      <c r="G63" s="38"/>
      <c r="H63" s="206"/>
      <c r="I63" s="189"/>
      <c r="J63" s="38"/>
      <c r="K63" s="23"/>
    </row>
    <row r="64" spans="2:18" ht="12.75">
      <c r="B64" s="380"/>
      <c r="C64" s="203"/>
      <c r="D64" s="157"/>
      <c r="E64" s="157"/>
      <c r="F64" s="157"/>
      <c r="G64" s="157"/>
      <c r="H64" s="157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2:11" ht="12.75">
      <c r="B65" s="381"/>
      <c r="C65" s="250"/>
      <c r="E65" s="23"/>
      <c r="F65" s="23"/>
      <c r="G65" s="38"/>
      <c r="H65" s="38"/>
      <c r="I65" s="38"/>
      <c r="J65" s="38"/>
      <c r="K65" s="23"/>
    </row>
    <row r="66" spans="2:11" ht="12.75">
      <c r="B66" s="383"/>
      <c r="C66" s="204"/>
      <c r="E66" s="208"/>
      <c r="F66" s="207"/>
      <c r="G66" s="42"/>
      <c r="H66" s="206"/>
      <c r="I66" s="38"/>
      <c r="J66" s="38"/>
      <c r="K66" s="23"/>
    </row>
    <row r="67" spans="2:11" ht="12.75">
      <c r="B67" s="385"/>
      <c r="C67" s="205"/>
      <c r="E67" s="208"/>
      <c r="F67" s="207"/>
      <c r="G67" s="42"/>
      <c r="H67" s="206"/>
      <c r="I67" s="191"/>
      <c r="J67" s="170"/>
      <c r="K67" s="23"/>
    </row>
    <row r="68" spans="2:11" ht="12.75">
      <c r="B68" s="385"/>
      <c r="C68" s="205"/>
      <c r="D68" s="107"/>
      <c r="E68" s="189"/>
      <c r="F68" s="42"/>
      <c r="G68" s="42"/>
      <c r="H68" s="386"/>
      <c r="I68" s="38"/>
      <c r="J68" s="38"/>
      <c r="K68" s="23"/>
    </row>
    <row r="69" spans="2:18" ht="12.75">
      <c r="B69" s="190"/>
      <c r="C69" s="106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</row>
    <row r="70" spans="2:11" ht="12.75">
      <c r="B70" s="55"/>
      <c r="C70" s="106"/>
      <c r="E70" s="23"/>
      <c r="F70" s="23"/>
      <c r="G70" s="38"/>
      <c r="H70" s="38"/>
      <c r="I70" s="38"/>
      <c r="J70" s="38"/>
      <c r="K70" s="23"/>
    </row>
    <row r="71" spans="2:11" ht="12.75">
      <c r="B71" s="387"/>
      <c r="C71" s="298"/>
      <c r="E71" s="208"/>
      <c r="F71" s="207"/>
      <c r="G71" s="42"/>
      <c r="H71" s="206"/>
      <c r="I71" s="38"/>
      <c r="J71" s="38"/>
      <c r="K71" s="23"/>
    </row>
    <row r="72" spans="2:11" ht="12.75">
      <c r="B72" s="388"/>
      <c r="C72" s="61"/>
      <c r="E72" s="208"/>
      <c r="F72" s="207"/>
      <c r="G72" s="42"/>
      <c r="H72" s="206"/>
      <c r="I72" s="191"/>
      <c r="J72" s="170"/>
      <c r="K72" s="23"/>
    </row>
    <row r="73" spans="2:11" ht="12.75">
      <c r="B73" s="389"/>
      <c r="C73" s="204"/>
      <c r="D73" s="197"/>
      <c r="E73" s="198"/>
      <c r="F73" s="54"/>
      <c r="G73" s="54"/>
      <c r="H73" s="384"/>
      <c r="I73" s="38"/>
      <c r="J73" s="38"/>
      <c r="K73" s="23"/>
    </row>
    <row r="74" spans="2:18" ht="12.75">
      <c r="B74" s="388"/>
      <c r="C74" s="61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</row>
    <row r="75" spans="2:11" ht="12.75">
      <c r="B75" s="388"/>
      <c r="C75" s="61"/>
      <c r="E75" s="23"/>
      <c r="F75" s="23"/>
      <c r="G75" s="38"/>
      <c r="H75" s="38"/>
      <c r="I75" s="38"/>
      <c r="J75" s="38"/>
      <c r="K75" s="23"/>
    </row>
    <row r="76" spans="2:11" ht="20.25">
      <c r="B76" s="278"/>
      <c r="C76" s="23"/>
      <c r="E76" s="208"/>
      <c r="F76" s="207"/>
      <c r="G76" s="42"/>
      <c r="H76" s="206"/>
      <c r="I76" s="38"/>
      <c r="J76" s="38"/>
      <c r="K76" s="23"/>
    </row>
    <row r="77" spans="2:11" ht="12.75">
      <c r="B77" s="46"/>
      <c r="C77" s="38"/>
      <c r="E77" s="208"/>
      <c r="F77" s="207"/>
      <c r="G77" s="42"/>
      <c r="H77" s="206"/>
      <c r="I77" s="191"/>
      <c r="J77" s="170"/>
      <c r="K77" s="23"/>
    </row>
    <row r="78" spans="2:11" ht="12.75">
      <c r="B78" s="38"/>
      <c r="C78" s="205"/>
      <c r="D78" s="107"/>
      <c r="E78" s="189"/>
      <c r="F78" s="38"/>
      <c r="G78" s="38"/>
      <c r="H78" s="222"/>
      <c r="I78" s="23"/>
      <c r="J78" s="23"/>
      <c r="K78" s="23"/>
    </row>
    <row r="79" spans="2:18" ht="12.75">
      <c r="B79" s="376"/>
      <c r="C79" s="205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2:11" ht="12.75">
      <c r="B80" s="377"/>
      <c r="C80" s="205"/>
      <c r="E80" s="23"/>
      <c r="F80" s="23"/>
      <c r="G80" s="38"/>
      <c r="H80" s="38"/>
      <c r="I80" s="38"/>
      <c r="J80" s="38"/>
      <c r="K80" s="23"/>
    </row>
    <row r="81" spans="2:11" ht="12.75">
      <c r="B81" s="378"/>
      <c r="C81" s="204"/>
      <c r="E81" s="208"/>
      <c r="F81" s="207"/>
      <c r="G81" s="42"/>
      <c r="H81" s="206"/>
      <c r="I81" s="38"/>
      <c r="J81" s="38"/>
      <c r="K81" s="23"/>
    </row>
    <row r="82" spans="2:11" ht="12.75">
      <c r="B82" s="379"/>
      <c r="C82" s="205"/>
      <c r="E82" s="208"/>
      <c r="F82" s="207"/>
      <c r="G82" s="42"/>
      <c r="H82" s="206"/>
      <c r="I82" s="191"/>
      <c r="J82" s="170"/>
      <c r="K82" s="23"/>
    </row>
    <row r="83" spans="2:11" ht="12.75">
      <c r="B83" s="379"/>
      <c r="C83" s="205"/>
      <c r="D83" s="107"/>
      <c r="E83" s="189"/>
      <c r="F83" s="195"/>
      <c r="G83" s="195"/>
      <c r="H83" s="206"/>
      <c r="I83" s="23"/>
      <c r="J83" s="23"/>
      <c r="K83" s="23"/>
    </row>
    <row r="84" spans="2:18" ht="12.75">
      <c r="B84" s="55"/>
      <c r="C84" s="205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</row>
    <row r="85" spans="2:11" ht="12.75">
      <c r="B85" s="23"/>
      <c r="C85" s="23"/>
      <c r="E85" s="23"/>
      <c r="F85" s="23"/>
      <c r="G85" s="38"/>
      <c r="H85" s="38"/>
      <c r="I85" s="38"/>
      <c r="J85" s="38"/>
      <c r="K85" s="23"/>
    </row>
    <row r="86" spans="2:11" ht="12.75">
      <c r="B86" s="46"/>
      <c r="C86" s="23"/>
      <c r="E86" s="208"/>
      <c r="F86" s="207"/>
      <c r="G86" s="42"/>
      <c r="H86" s="206"/>
      <c r="I86" s="38"/>
      <c r="J86" s="38"/>
      <c r="K86" s="23"/>
    </row>
    <row r="87" spans="2:11" ht="12.75">
      <c r="B87" s="23"/>
      <c r="C87" s="205"/>
      <c r="E87" s="208"/>
      <c r="F87" s="207"/>
      <c r="G87" s="42"/>
      <c r="H87" s="206"/>
      <c r="I87" s="191"/>
      <c r="J87" s="170"/>
      <c r="K87" s="23"/>
    </row>
    <row r="88" spans="2:11" ht="12.75">
      <c r="B88" s="55"/>
      <c r="C88" s="205"/>
      <c r="D88" s="192"/>
      <c r="E88" s="194"/>
      <c r="F88" s="192"/>
      <c r="G88" s="42"/>
      <c r="H88" s="206"/>
      <c r="I88" s="23"/>
      <c r="J88" s="23"/>
      <c r="K88" s="23"/>
    </row>
    <row r="89" spans="2:18" ht="12.75">
      <c r="B89" s="190"/>
      <c r="C89" s="204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</row>
    <row r="90" spans="2:11" ht="12.75">
      <c r="B90" s="55"/>
      <c r="C90" s="205"/>
      <c r="E90" s="23"/>
      <c r="F90" s="23"/>
      <c r="G90" s="38"/>
      <c r="H90" s="38"/>
      <c r="I90" s="38"/>
      <c r="J90" s="38"/>
      <c r="K90" s="23"/>
    </row>
    <row r="91" spans="2:11" ht="12.75">
      <c r="B91" s="55"/>
      <c r="C91" s="205"/>
      <c r="E91" s="208"/>
      <c r="F91" s="207"/>
      <c r="G91" s="42"/>
      <c r="H91" s="206"/>
      <c r="I91" s="38"/>
      <c r="J91" s="38"/>
      <c r="K91" s="23"/>
    </row>
    <row r="92" spans="2:11" ht="12.75">
      <c r="B92" s="55"/>
      <c r="C92" s="205"/>
      <c r="E92" s="208"/>
      <c r="F92" s="207"/>
      <c r="G92" s="42"/>
      <c r="H92" s="206"/>
      <c r="I92" s="191"/>
      <c r="J92" s="170"/>
      <c r="K92" s="23"/>
    </row>
    <row r="93" spans="2:11" ht="12.75">
      <c r="B93" s="46"/>
      <c r="C93" s="106"/>
      <c r="D93" s="107"/>
      <c r="E93" s="189"/>
      <c r="F93" s="38"/>
      <c r="G93" s="38"/>
      <c r="H93" s="206"/>
      <c r="I93" s="23"/>
      <c r="J93" s="23"/>
      <c r="K93" s="23"/>
    </row>
    <row r="94" spans="2:18" ht="12.75">
      <c r="B94" s="23"/>
      <c r="C94" s="106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</row>
    <row r="95" spans="2:18" ht="12.75">
      <c r="B95" s="55"/>
      <c r="C95" s="298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</row>
    <row r="96" spans="2:18" ht="12.75">
      <c r="B96" s="388"/>
      <c r="C96" s="61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</row>
    <row r="97" spans="2:11" ht="12.75">
      <c r="B97" s="389"/>
      <c r="C97" s="204"/>
      <c r="D97" s="197"/>
      <c r="E97" s="198"/>
      <c r="F97" s="54"/>
      <c r="G97" s="54"/>
      <c r="H97" s="384"/>
      <c r="I97" s="23"/>
      <c r="J97" s="23"/>
      <c r="K97" s="23"/>
    </row>
    <row r="98" spans="2:18" ht="12.75">
      <c r="B98" s="388"/>
      <c r="C98" s="61"/>
      <c r="D98" s="428"/>
      <c r="E98" s="428"/>
      <c r="F98" s="428"/>
      <c r="G98" s="428"/>
      <c r="H98" s="428"/>
      <c r="I98" s="428"/>
      <c r="J98" s="428"/>
      <c r="K98" s="428"/>
      <c r="L98" s="428"/>
      <c r="M98" s="428"/>
      <c r="N98" s="428"/>
      <c r="O98" s="428"/>
      <c r="P98" s="428"/>
      <c r="Q98" s="428"/>
      <c r="R98" s="428"/>
    </row>
    <row r="99" spans="2:18" ht="12.75">
      <c r="B99" s="388"/>
      <c r="C99" s="61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</row>
    <row r="100" spans="2:18" ht="12.75">
      <c r="B100" s="23"/>
      <c r="C100" s="61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2:11" ht="12.75">
      <c r="B101" s="46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2:18" ht="12.75">
      <c r="B102" s="23"/>
      <c r="C102" s="205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</row>
    <row r="103" spans="2:18" ht="12.75">
      <c r="B103" s="55"/>
      <c r="C103" s="298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</row>
    <row r="104" spans="2:18" ht="12.75">
      <c r="B104" s="390"/>
      <c r="C104" s="270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</row>
    <row r="105" spans="2:11" ht="12.75">
      <c r="B105" s="190"/>
      <c r="C105" s="204"/>
      <c r="D105" s="197"/>
      <c r="E105" s="198"/>
      <c r="F105" s="54"/>
      <c r="G105" s="54"/>
      <c r="H105" s="384"/>
      <c r="I105" s="23"/>
      <c r="J105" s="23"/>
      <c r="K105" s="23"/>
    </row>
    <row r="106" spans="2:18" ht="12.75">
      <c r="B106" s="391"/>
      <c r="C106" s="205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</row>
    <row r="107" spans="2:18" ht="12.75">
      <c r="B107" s="55"/>
      <c r="C107" s="298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 ht="12.75">
      <c r="B108" s="55"/>
      <c r="C108" s="270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</row>
    <row r="109" spans="2:1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2:11" ht="12.75">
      <c r="B110" s="46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2:11" ht="12.75">
      <c r="B111" s="55"/>
      <c r="C111" s="205"/>
      <c r="D111" s="107"/>
      <c r="E111" s="189"/>
      <c r="F111" s="38"/>
      <c r="G111" s="38"/>
      <c r="H111" s="206"/>
      <c r="I111" s="23"/>
      <c r="J111" s="23"/>
      <c r="K111" s="23"/>
    </row>
    <row r="112" spans="2:11" ht="12.75">
      <c r="B112" s="380"/>
      <c r="C112" s="203"/>
      <c r="D112" s="192"/>
      <c r="E112" s="194"/>
      <c r="F112" s="192"/>
      <c r="G112" s="42"/>
      <c r="H112" s="206"/>
      <c r="I112" s="23"/>
      <c r="J112" s="23"/>
      <c r="K112" s="23"/>
    </row>
    <row r="113" spans="2:11" ht="12.75">
      <c r="B113" s="392"/>
      <c r="C113" s="250"/>
      <c r="D113" s="251"/>
      <c r="E113" s="252"/>
      <c r="F113" s="196"/>
      <c r="G113" s="196"/>
      <c r="H113" s="382"/>
      <c r="I113" s="23"/>
      <c r="J113" s="23"/>
      <c r="K113" s="23"/>
    </row>
    <row r="114" spans="2:11" ht="12.75">
      <c r="B114" s="393"/>
      <c r="C114" s="204"/>
      <c r="D114" s="197"/>
      <c r="E114" s="198"/>
      <c r="F114" s="54"/>
      <c r="G114" s="54"/>
      <c r="H114" s="384"/>
      <c r="I114" s="23"/>
      <c r="J114" s="23"/>
      <c r="K114" s="23"/>
    </row>
    <row r="115" spans="2:11" ht="12.75">
      <c r="B115" s="394"/>
      <c r="C115" s="205"/>
      <c r="D115" s="107"/>
      <c r="E115" s="189"/>
      <c r="F115" s="42"/>
      <c r="G115" s="42"/>
      <c r="H115" s="386"/>
      <c r="I115" s="23"/>
      <c r="J115" s="23"/>
      <c r="K115" s="23"/>
    </row>
    <row r="116" spans="2:11" ht="12.75">
      <c r="B116" s="394"/>
      <c r="C116" s="205"/>
      <c r="D116" s="107"/>
      <c r="E116" s="189"/>
      <c r="F116" s="42"/>
      <c r="G116" s="42"/>
      <c r="H116" s="386"/>
      <c r="I116" s="23"/>
      <c r="J116" s="23"/>
      <c r="K116" s="23"/>
    </row>
    <row r="117" spans="2:1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2:1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12.75">
      <c r="B119" s="45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2:11" ht="12.75">
      <c r="B120" s="38"/>
      <c r="C120" s="205"/>
      <c r="D120" s="107"/>
      <c r="E120" s="189"/>
      <c r="F120" s="38"/>
      <c r="G120" s="38"/>
      <c r="H120" s="333"/>
      <c r="I120" s="395"/>
      <c r="J120" s="396"/>
      <c r="K120" s="23"/>
    </row>
    <row r="121" spans="2:11" ht="12.75">
      <c r="B121" s="376"/>
      <c r="C121" s="397"/>
      <c r="D121" s="107"/>
      <c r="E121" s="189"/>
      <c r="F121" s="195"/>
      <c r="G121" s="249"/>
      <c r="H121" s="398"/>
      <c r="I121" s="398"/>
      <c r="J121" s="396"/>
      <c r="K121" s="23"/>
    </row>
    <row r="122" spans="2:11" ht="12.75">
      <c r="B122" s="377"/>
      <c r="C122" s="397"/>
      <c r="D122" s="107"/>
      <c r="E122" s="189"/>
      <c r="F122" s="195"/>
      <c r="G122" s="195"/>
      <c r="H122" s="226"/>
      <c r="I122" s="398"/>
      <c r="J122" s="396"/>
      <c r="K122" s="23"/>
    </row>
    <row r="123" spans="2:11" ht="12.75">
      <c r="B123" s="377"/>
      <c r="C123" s="399"/>
      <c r="D123" s="251"/>
      <c r="E123" s="252"/>
      <c r="F123" s="253"/>
      <c r="G123" s="253"/>
      <c r="H123" s="226"/>
      <c r="I123" s="398"/>
      <c r="J123" s="396"/>
      <c r="K123" s="23"/>
    </row>
    <row r="124" spans="2:11" ht="12.75">
      <c r="B124" s="379"/>
      <c r="C124" s="397"/>
      <c r="D124" s="107"/>
      <c r="E124" s="189"/>
      <c r="F124" s="195"/>
      <c r="G124" s="195"/>
      <c r="H124" s="334"/>
      <c r="I124" s="398"/>
      <c r="J124" s="396"/>
      <c r="K124" s="23"/>
    </row>
    <row r="125" spans="2:11" ht="12.75">
      <c r="B125" s="379"/>
      <c r="C125" s="397"/>
      <c r="D125" s="332"/>
      <c r="E125" s="189"/>
      <c r="F125" s="195"/>
      <c r="G125" s="195"/>
      <c r="H125" s="226"/>
      <c r="I125" s="398"/>
      <c r="J125" s="396"/>
      <c r="K125" s="23"/>
    </row>
    <row r="126" spans="2:1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</sheetData>
  <sheetProtection password="C977" sheet="1"/>
  <hyperlinks>
    <hyperlink ref="B5:C5" location="Introduction!A1" display="BACK TO INTRODUCTION"/>
  </hyperlinks>
  <printOptions gridLines="1"/>
  <pageMargins left="0.75" right="0.75" top="1" bottom="1" header="0.5" footer="0.5"/>
  <pageSetup fitToHeight="1" fitToWidth="1" horizontalDpi="600" verticalDpi="600" orientation="portrait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11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0.140625" style="0" customWidth="1"/>
    <col min="2" max="2" width="14.00390625" style="0" bestFit="1" customWidth="1"/>
    <col min="4" max="4" width="9.7109375" style="0" bestFit="1" customWidth="1"/>
    <col min="5" max="6" width="15.57421875" style="0" bestFit="1" customWidth="1"/>
    <col min="7" max="19" width="14.00390625" style="0" bestFit="1" customWidth="1"/>
  </cols>
  <sheetData>
    <row r="1" ht="12.75">
      <c r="A1" s="236" t="s">
        <v>820</v>
      </c>
    </row>
    <row r="2" ht="12.75">
      <c r="D2" s="1" t="s">
        <v>551</v>
      </c>
    </row>
    <row r="3" spans="4:19" ht="12.75">
      <c r="D3" s="489">
        <v>3.96</v>
      </c>
      <c r="E3" s="489">
        <v>3.4</v>
      </c>
      <c r="F3" s="409">
        <v>3.44</v>
      </c>
      <c r="G3" s="489">
        <v>3.48</v>
      </c>
      <c r="H3" s="489">
        <v>3.52</v>
      </c>
      <c r="I3" s="489">
        <v>3.56</v>
      </c>
      <c r="J3" s="489">
        <v>3.6</v>
      </c>
      <c r="K3" s="489">
        <v>3.64</v>
      </c>
      <c r="L3" s="489">
        <v>3.68</v>
      </c>
      <c r="M3" s="489">
        <v>3.72</v>
      </c>
      <c r="N3" s="489">
        <v>3.76</v>
      </c>
      <c r="O3" s="489">
        <v>3.8</v>
      </c>
      <c r="P3" s="489">
        <v>3.84</v>
      </c>
      <c r="Q3" s="489">
        <v>3.88</v>
      </c>
      <c r="R3" s="489">
        <v>3.92</v>
      </c>
      <c r="S3" s="489">
        <v>3.96</v>
      </c>
    </row>
    <row r="4" spans="1:19" ht="12.75">
      <c r="A4" s="1" t="s">
        <v>828</v>
      </c>
      <c r="B4" s="301">
        <f>'Return On Investment'!$C$29</f>
        <v>-35248991.7049775</v>
      </c>
      <c r="D4" s="9"/>
      <c r="E4" s="500">
        <v>-26466311.65154291</v>
      </c>
      <c r="F4" s="504">
        <v>-23102889.508578673</v>
      </c>
      <c r="G4" s="500">
        <v>-19739467.365614478</v>
      </c>
      <c r="H4" s="500">
        <v>-16376045.22265026</v>
      </c>
      <c r="I4" s="500">
        <v>-13012623.07968603</v>
      </c>
      <c r="J4" s="500">
        <v>-9649200.936721817</v>
      </c>
      <c r="K4" s="500">
        <v>-6285778.79375761</v>
      </c>
      <c r="L4" s="500">
        <v>-2922356.6507934406</v>
      </c>
      <c r="M4" s="500">
        <v>441065.49217078835</v>
      </c>
      <c r="N4" s="500">
        <v>3804487.6351349875</v>
      </c>
      <c r="O4" s="500">
        <v>7167909.778099209</v>
      </c>
      <c r="P4" s="500">
        <v>10531331.9210634</v>
      </c>
      <c r="Q4" s="500">
        <v>13894754.064027645</v>
      </c>
      <c r="R4" s="301">
        <v>17258176.206991836</v>
      </c>
      <c r="S4" s="301">
        <v>20621598.349956073</v>
      </c>
    </row>
    <row r="5" spans="1:19" ht="12.75">
      <c r="A5" s="1" t="s">
        <v>743</v>
      </c>
      <c r="B5" s="9" t="e">
        <f>'Return On Investment'!$C$30</f>
        <v>#NUM!</v>
      </c>
      <c r="D5" s="9"/>
      <c r="E5" s="9" t="e">
        <v>#NUM!</v>
      </c>
      <c r="F5" s="505" t="e">
        <v>#DIV/0!</v>
      </c>
      <c r="G5" s="9" t="e">
        <v>#NUM!</v>
      </c>
      <c r="H5" s="9" t="e">
        <v>#DIV/0!</v>
      </c>
      <c r="I5" s="9" t="e">
        <v>#DIV/0!</v>
      </c>
      <c r="J5" s="9" t="e">
        <v>#DIV/0!</v>
      </c>
      <c r="K5" s="9">
        <v>-0.11620516634958461</v>
      </c>
      <c r="L5" s="9">
        <v>-0.021892819079291668</v>
      </c>
      <c r="M5" s="9">
        <v>0.04941521282952941</v>
      </c>
      <c r="N5" s="9">
        <v>0.11002754404795526</v>
      </c>
      <c r="O5" s="9">
        <v>0.16449932339326304</v>
      </c>
      <c r="P5" s="9">
        <v>0.21504152953134836</v>
      </c>
      <c r="Q5" s="9">
        <v>0.2628970555213554</v>
      </c>
      <c r="R5" s="7">
        <v>0.30883224199509196</v>
      </c>
      <c r="S5" s="7">
        <v>0.353350354692604</v>
      </c>
    </row>
    <row r="6" spans="1:19" ht="12.75">
      <c r="A6" s="1" t="s">
        <v>744</v>
      </c>
      <c r="B6" s="9">
        <f>'Return On Investment'!$D$34</f>
        <v>-1.0418059474128278</v>
      </c>
      <c r="D6" s="9"/>
      <c r="E6" s="9">
        <v>-0.2894158600874969</v>
      </c>
      <c r="F6" s="505">
        <v>-0.24942913431934421</v>
      </c>
      <c r="G6" s="9">
        <v>-0.20944240855119248</v>
      </c>
      <c r="H6" s="9">
        <v>-0.16945568278303996</v>
      </c>
      <c r="I6" s="9">
        <v>-0.12946895701488764</v>
      </c>
      <c r="J6" s="9">
        <v>-0.08948223124673549</v>
      </c>
      <c r="K6" s="9">
        <v>-0.049495505478583376</v>
      </c>
      <c r="L6" s="9">
        <v>-0.00950877971043156</v>
      </c>
      <c r="M6" s="9">
        <v>0.03047794605772063</v>
      </c>
      <c r="N6" s="9">
        <v>0.0704646718258726</v>
      </c>
      <c r="O6" s="9">
        <v>0.11045139759402489</v>
      </c>
      <c r="P6" s="9">
        <v>0.15043812336217693</v>
      </c>
      <c r="Q6" s="9">
        <v>0.19042484913032962</v>
      </c>
      <c r="R6" s="7">
        <v>0.23041157489848133</v>
      </c>
      <c r="S6" s="7">
        <v>0.27039830066663384</v>
      </c>
    </row>
    <row r="7" spans="1:19" ht="12.75">
      <c r="A7" s="1" t="s">
        <v>745</v>
      </c>
      <c r="B7" s="9">
        <f>'Return On Investment'!$D$36</f>
        <v>-2.0836118948256557</v>
      </c>
      <c r="D7" s="9"/>
      <c r="E7" s="9">
        <v>-0.5788317201749938</v>
      </c>
      <c r="F7" s="505">
        <v>-0.49885826863868843</v>
      </c>
      <c r="G7" s="9">
        <v>-0.41888481710238495</v>
      </c>
      <c r="H7" s="9">
        <v>-0.3389113655660799</v>
      </c>
      <c r="I7" s="9">
        <v>-0.2589379140297753</v>
      </c>
      <c r="J7" s="9">
        <v>-0.17896446249347098</v>
      </c>
      <c r="K7" s="9">
        <v>-0.09899101095716675</v>
      </c>
      <c r="L7" s="9">
        <v>-0.01901755942086312</v>
      </c>
      <c r="M7" s="9">
        <v>0.06095589211544126</v>
      </c>
      <c r="N7" s="9">
        <v>0.1409293436517452</v>
      </c>
      <c r="O7" s="9">
        <v>0.22090279518804978</v>
      </c>
      <c r="P7" s="9">
        <v>0.30087624672435387</v>
      </c>
      <c r="Q7" s="9">
        <v>0.38084969826065923</v>
      </c>
      <c r="R7" s="7">
        <v>0.46082314979696265</v>
      </c>
      <c r="S7" s="7">
        <v>0.5407966013332677</v>
      </c>
    </row>
    <row r="8" spans="1:19" ht="12.75">
      <c r="A8" s="1" t="s">
        <v>831</v>
      </c>
      <c r="B8" s="15">
        <f>'Return On Investment'!$C$32</f>
      </c>
      <c r="C8" s="239"/>
      <c r="D8" s="15"/>
      <c r="E8" s="15" t="s">
        <v>832</v>
      </c>
      <c r="F8" s="506" t="s">
        <v>832</v>
      </c>
      <c r="G8" s="15" t="s">
        <v>832</v>
      </c>
      <c r="H8" s="15" t="s">
        <v>832</v>
      </c>
      <c r="I8" s="15" t="s">
        <v>832</v>
      </c>
      <c r="J8" s="15" t="s">
        <v>832</v>
      </c>
      <c r="K8" s="15" t="s">
        <v>832</v>
      </c>
      <c r="L8" s="15" t="s">
        <v>832</v>
      </c>
      <c r="M8" s="15" t="s">
        <v>832</v>
      </c>
      <c r="N8" s="15">
        <v>10</v>
      </c>
      <c r="O8" s="15">
        <v>8</v>
      </c>
      <c r="P8" s="15">
        <v>6</v>
      </c>
      <c r="Q8" s="15">
        <v>5</v>
      </c>
      <c r="R8" s="239">
        <v>4</v>
      </c>
      <c r="S8" s="239">
        <v>4</v>
      </c>
    </row>
    <row r="9" spans="1:17" ht="12.75">
      <c r="A9" s="1"/>
      <c r="B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12.75">
      <c r="A10" s="236" t="s">
        <v>821</v>
      </c>
    </row>
    <row r="11" ht="12.75">
      <c r="D11" s="1" t="s">
        <v>551</v>
      </c>
    </row>
    <row r="12" spans="4:19" ht="12.75">
      <c r="D12" s="489">
        <v>4.36</v>
      </c>
      <c r="E12" s="489">
        <v>3.8</v>
      </c>
      <c r="F12" s="492">
        <v>3.84</v>
      </c>
      <c r="G12" s="489">
        <v>3.88</v>
      </c>
      <c r="H12" s="492">
        <v>3.92</v>
      </c>
      <c r="I12" s="489">
        <v>3.96</v>
      </c>
      <c r="J12" s="492">
        <v>4</v>
      </c>
      <c r="K12" s="489">
        <v>4.04</v>
      </c>
      <c r="L12" s="492">
        <v>4.08</v>
      </c>
      <c r="M12" s="489">
        <v>4.12</v>
      </c>
      <c r="N12" s="492">
        <v>4.16</v>
      </c>
      <c r="O12" s="489">
        <v>4.2</v>
      </c>
      <c r="P12" s="492">
        <v>4.24</v>
      </c>
      <c r="Q12" s="489">
        <v>4.28</v>
      </c>
      <c r="R12" s="492">
        <v>4.32</v>
      </c>
      <c r="S12" s="489">
        <v>4.36</v>
      </c>
    </row>
    <row r="13" spans="1:19" ht="12.75">
      <c r="A13" s="1" t="s">
        <v>828</v>
      </c>
      <c r="B13" s="301">
        <f>'Return On Investment'!$C$29</f>
        <v>-35248991.7049775</v>
      </c>
      <c r="D13" s="498"/>
      <c r="E13" s="301">
        <v>-39317388.50336781</v>
      </c>
      <c r="F13" s="518">
        <v>-35953966.36040361</v>
      </c>
      <c r="G13" s="301">
        <v>-32590544.21743936</v>
      </c>
      <c r="H13" s="301">
        <v>-29227122.074475203</v>
      </c>
      <c r="I13" s="301">
        <v>-25863699.93151096</v>
      </c>
      <c r="J13" s="301">
        <v>-22500277.788546793</v>
      </c>
      <c r="K13" s="301">
        <v>-19136855.6455826</v>
      </c>
      <c r="L13" s="301">
        <v>-15773433.502618358</v>
      </c>
      <c r="M13" s="301">
        <v>-12410011.359654188</v>
      </c>
      <c r="N13" s="301">
        <v>-9046589.216689914</v>
      </c>
      <c r="O13" s="301">
        <v>-5683167.0737256855</v>
      </c>
      <c r="P13" s="301">
        <v>-2319744.930761501</v>
      </c>
      <c r="Q13" s="301">
        <v>1043677.2122026682</v>
      </c>
      <c r="R13" s="301">
        <v>4407099.355166875</v>
      </c>
      <c r="S13" s="301">
        <v>7770521.498131111</v>
      </c>
    </row>
    <row r="14" spans="1:19" ht="12.75">
      <c r="A14" s="1" t="s">
        <v>743</v>
      </c>
      <c r="B14" s="9" t="e">
        <f>'Return On Investment'!$C$30</f>
        <v>#NUM!</v>
      </c>
      <c r="E14" s="7" t="e">
        <v>#NUM!</v>
      </c>
      <c r="F14" s="519" t="e">
        <v>#DIV/0!</v>
      </c>
      <c r="G14" s="7" t="e">
        <v>#DIV/0!</v>
      </c>
      <c r="H14" s="7" t="e">
        <v>#DIV/0!</v>
      </c>
      <c r="I14" s="7" t="e">
        <v>#NUM!</v>
      </c>
      <c r="J14" s="7" t="e">
        <v>#DIV/0!</v>
      </c>
      <c r="K14" s="7" t="e">
        <v>#NUM!</v>
      </c>
      <c r="L14" s="7" t="e">
        <v>#DIV/0!</v>
      </c>
      <c r="M14" s="7" t="e">
        <v>#NUM!</v>
      </c>
      <c r="N14" s="7" t="e">
        <v>#DIV/0!</v>
      </c>
      <c r="O14" s="7">
        <v>-0.09473239504363117</v>
      </c>
      <c r="P14" s="7">
        <v>-0.007583353449610558</v>
      </c>
      <c r="Q14" s="7">
        <v>0.060708063811045446</v>
      </c>
      <c r="R14" s="7">
        <v>0.11965510212848399</v>
      </c>
      <c r="S14" s="7">
        <v>0.17307464861908303</v>
      </c>
    </row>
    <row r="15" spans="1:19" ht="12.75">
      <c r="A15" s="1" t="s">
        <v>744</v>
      </c>
      <c r="B15" s="9">
        <f>'Return On Investment'!$D$34</f>
        <v>-1.0418059474128278</v>
      </c>
      <c r="E15" s="7">
        <v>-0.4419719690903787</v>
      </c>
      <c r="F15" s="519">
        <v>-0.4019852433222266</v>
      </c>
      <c r="G15" s="7">
        <v>-0.361998517554074</v>
      </c>
      <c r="H15" s="7">
        <v>-0.3220117917859224</v>
      </c>
      <c r="I15" s="7">
        <v>-0.2820250660177696</v>
      </c>
      <c r="J15" s="7">
        <v>-0.24203834024961823</v>
      </c>
      <c r="K15" s="7">
        <v>-0.20205161448146627</v>
      </c>
      <c r="L15" s="7">
        <v>-0.16206488871331348</v>
      </c>
      <c r="M15" s="7">
        <v>-0.12207816294516198</v>
      </c>
      <c r="N15" s="7">
        <v>-0.08209143717700922</v>
      </c>
      <c r="O15" s="7">
        <v>-0.04210471140885687</v>
      </c>
      <c r="P15" s="7">
        <v>-0.002117985640704911</v>
      </c>
      <c r="Q15" s="7">
        <v>0.03786874012744669</v>
      </c>
      <c r="R15" s="7">
        <v>0.07785546589559894</v>
      </c>
      <c r="S15" s="7">
        <v>0.11784219166375134</v>
      </c>
    </row>
    <row r="16" spans="1:19" ht="12.75">
      <c r="A16" s="1" t="s">
        <v>745</v>
      </c>
      <c r="B16" s="9">
        <f>'Return On Investment'!$D$36</f>
        <v>-2.0836118948256557</v>
      </c>
      <c r="E16" s="7">
        <v>-0.8839439381807574</v>
      </c>
      <c r="F16" s="519">
        <v>-0.8039704866444533</v>
      </c>
      <c r="G16" s="7">
        <v>-0.723997035108148</v>
      </c>
      <c r="H16" s="7">
        <v>-0.6440235835718447</v>
      </c>
      <c r="I16" s="7">
        <v>-0.5640501320355392</v>
      </c>
      <c r="J16" s="7">
        <v>-0.48407668049923647</v>
      </c>
      <c r="K16" s="7">
        <v>-0.40410322896293255</v>
      </c>
      <c r="L16" s="7">
        <v>-0.32412977742662696</v>
      </c>
      <c r="M16" s="7">
        <v>-0.24415632589032396</v>
      </c>
      <c r="N16" s="7">
        <v>-0.16418287435401843</v>
      </c>
      <c r="O16" s="7">
        <v>-0.08420942281771374</v>
      </c>
      <c r="P16" s="7">
        <v>-0.004235971281409822</v>
      </c>
      <c r="Q16" s="7">
        <v>0.07573748025489338</v>
      </c>
      <c r="R16" s="7">
        <v>0.15571093179119788</v>
      </c>
      <c r="S16" s="7">
        <v>0.2356843833275027</v>
      </c>
    </row>
    <row r="17" spans="1:19" ht="12.75">
      <c r="A17" s="1" t="s">
        <v>831</v>
      </c>
      <c r="B17" s="15">
        <f>'Return On Investment'!$C$32</f>
      </c>
      <c r="F17" s="1" t="s">
        <v>832</v>
      </c>
      <c r="R17">
        <v>10</v>
      </c>
      <c r="S17">
        <v>7</v>
      </c>
    </row>
    <row r="19" ht="12.75">
      <c r="A19" s="236" t="s">
        <v>822</v>
      </c>
    </row>
    <row r="20" ht="12.75">
      <c r="D20" s="1" t="s">
        <v>551</v>
      </c>
    </row>
    <row r="21" spans="4:19" ht="12.75">
      <c r="D21" s="489">
        <v>4.36</v>
      </c>
      <c r="E21" s="489">
        <v>3.8</v>
      </c>
      <c r="F21" s="492">
        <v>3.84</v>
      </c>
      <c r="G21" s="489">
        <v>3.88</v>
      </c>
      <c r="H21" s="492">
        <v>3.92</v>
      </c>
      <c r="I21" s="489">
        <v>3.96</v>
      </c>
      <c r="J21" s="492">
        <v>4</v>
      </c>
      <c r="K21" s="489">
        <v>4.04</v>
      </c>
      <c r="L21" s="492">
        <v>4.08</v>
      </c>
      <c r="M21" s="489">
        <v>4.12</v>
      </c>
      <c r="N21" s="492">
        <v>4.16</v>
      </c>
      <c r="O21" s="489">
        <v>4.2</v>
      </c>
      <c r="P21" s="492">
        <v>4.24</v>
      </c>
      <c r="Q21" s="489">
        <v>4.28</v>
      </c>
      <c r="R21" s="492">
        <v>4.32</v>
      </c>
      <c r="S21" s="489">
        <v>4.36</v>
      </c>
    </row>
    <row r="22" spans="1:19" ht="12.75">
      <c r="A22" s="1" t="s">
        <v>828</v>
      </c>
      <c r="B22" s="301">
        <f>'Return On Investment'!$C$29</f>
        <v>-35248991.7049775</v>
      </c>
      <c r="D22" s="501"/>
      <c r="E22" s="301">
        <v>-30437212.33065456</v>
      </c>
      <c r="F22" s="518">
        <v>-27073790.187690355</v>
      </c>
      <c r="G22" s="301">
        <v>-23710368.04472609</v>
      </c>
      <c r="H22" s="301">
        <v>-20346945.90176195</v>
      </c>
      <c r="I22" s="301">
        <v>-16983523.75879769</v>
      </c>
      <c r="J22" s="301">
        <v>-13620101.615833543</v>
      </c>
      <c r="K22" s="301">
        <v>-10256679.472869337</v>
      </c>
      <c r="L22" s="301">
        <v>-6893257.329905078</v>
      </c>
      <c r="M22" s="301">
        <v>-3529835.1869409233</v>
      </c>
      <c r="N22" s="301">
        <v>-166413.0439766869</v>
      </c>
      <c r="O22" s="301">
        <v>3197009.0989875495</v>
      </c>
      <c r="P22" s="301">
        <v>6560431.241951749</v>
      </c>
      <c r="Q22" s="301">
        <v>9923853.384915903</v>
      </c>
      <c r="R22" s="301">
        <v>13287275.52788014</v>
      </c>
      <c r="S22" s="301">
        <v>16650697.670844361</v>
      </c>
    </row>
    <row r="23" spans="1:19" ht="12.75">
      <c r="A23" s="1" t="s">
        <v>743</v>
      </c>
      <c r="B23" s="9" t="e">
        <f>'Return On Investment'!$C$30</f>
        <v>#NUM!</v>
      </c>
      <c r="D23" s="7"/>
      <c r="E23" s="7" t="e">
        <v>#DIV/0!</v>
      </c>
      <c r="F23" s="519" t="e">
        <v>#NUM!</v>
      </c>
      <c r="G23" s="7" t="e">
        <v>#DIV/0!</v>
      </c>
      <c r="H23" s="7" t="e">
        <v>#NUM!</v>
      </c>
      <c r="I23" s="7" t="e">
        <v>#NUM!</v>
      </c>
      <c r="J23" s="7" t="e">
        <v>#NUM!</v>
      </c>
      <c r="K23" s="7" t="e">
        <v>#NUM!</v>
      </c>
      <c r="L23" s="7">
        <v>-0.13719306100440135</v>
      </c>
      <c r="M23" s="7">
        <v>-0.03631856638693628</v>
      </c>
      <c r="N23" s="7">
        <v>0.037522365235902716</v>
      </c>
      <c r="O23" s="7">
        <v>0.09946303852361311</v>
      </c>
      <c r="P23" s="7">
        <v>0.1547370900690149</v>
      </c>
      <c r="Q23" s="7">
        <v>0.2058043088753995</v>
      </c>
      <c r="R23" s="7">
        <v>0.2540213032933957</v>
      </c>
      <c r="S23" s="7">
        <v>0.30021406550231544</v>
      </c>
    </row>
    <row r="24" spans="1:19" ht="12.75">
      <c r="A24" s="1" t="s">
        <v>744</v>
      </c>
      <c r="B24" s="9">
        <f>'Return On Investment'!$D$34</f>
        <v>-1.0418059474128278</v>
      </c>
      <c r="D24" s="7"/>
      <c r="E24" s="7">
        <v>-0.33653397862993006</v>
      </c>
      <c r="F24" s="519">
        <v>-0.29654725286177797</v>
      </c>
      <c r="G24" s="7">
        <v>-0.25656052709362526</v>
      </c>
      <c r="H24" s="7">
        <v>-0.21657380132547374</v>
      </c>
      <c r="I24" s="7">
        <v>-0.17658707555732106</v>
      </c>
      <c r="J24" s="7">
        <v>-0.13660034978916974</v>
      </c>
      <c r="K24" s="7">
        <v>-0.09661362402101764</v>
      </c>
      <c r="L24" s="7">
        <v>-0.05662689825286488</v>
      </c>
      <c r="M24" s="7">
        <v>-0.016640172484713483</v>
      </c>
      <c r="N24" s="7">
        <v>0.02334655328343933</v>
      </c>
      <c r="O24" s="7">
        <v>0.06333327905159165</v>
      </c>
      <c r="P24" s="7">
        <v>0.10332000481974368</v>
      </c>
      <c r="Q24" s="7">
        <v>0.14330673058789536</v>
      </c>
      <c r="R24" s="7">
        <v>0.18329345635604752</v>
      </c>
      <c r="S24" s="7">
        <v>0.22328018212419992</v>
      </c>
    </row>
    <row r="25" spans="1:19" ht="12.75">
      <c r="A25" s="1" t="s">
        <v>745</v>
      </c>
      <c r="B25" s="9">
        <f>'Return On Investment'!$D$36</f>
        <v>-2.0836118948256557</v>
      </c>
      <c r="D25" s="7"/>
      <c r="E25" s="7">
        <v>-0.6730679572598601</v>
      </c>
      <c r="F25" s="519">
        <v>-0.5930945057235559</v>
      </c>
      <c r="G25" s="7">
        <v>-0.5131210541872505</v>
      </c>
      <c r="H25" s="7">
        <v>-0.4331476026509475</v>
      </c>
      <c r="I25" s="7">
        <v>-0.3531741511146421</v>
      </c>
      <c r="J25" s="7">
        <v>-0.2732006995783395</v>
      </c>
      <c r="K25" s="7">
        <v>-0.19322724804203528</v>
      </c>
      <c r="L25" s="7">
        <v>-0.11325379650572975</v>
      </c>
      <c r="M25" s="7">
        <v>-0.033280344969426966</v>
      </c>
      <c r="N25" s="7">
        <v>0.04669310656687866</v>
      </c>
      <c r="O25" s="7">
        <v>0.1266665581031833</v>
      </c>
      <c r="P25" s="7">
        <v>0.20664000963948737</v>
      </c>
      <c r="Q25" s="7">
        <v>0.28661346117579073</v>
      </c>
      <c r="R25" s="7">
        <v>0.36658691271209504</v>
      </c>
      <c r="S25" s="7">
        <v>0.44656036424839984</v>
      </c>
    </row>
    <row r="26" spans="1:19" ht="12.75">
      <c r="A26" s="1" t="s">
        <v>831</v>
      </c>
      <c r="B26" s="15">
        <f>'Return On Investment'!$C$32</f>
      </c>
      <c r="F26" s="1" t="s">
        <v>832</v>
      </c>
      <c r="P26">
        <v>8</v>
      </c>
      <c r="Q26">
        <v>6</v>
      </c>
      <c r="R26">
        <v>5</v>
      </c>
      <c r="S26">
        <v>5</v>
      </c>
    </row>
    <row r="28" ht="12.75">
      <c r="A28" s="236" t="s">
        <v>823</v>
      </c>
    </row>
    <row r="29" ht="12.75">
      <c r="D29" s="1" t="s">
        <v>551</v>
      </c>
    </row>
    <row r="30" spans="4:19" ht="12.75">
      <c r="D30" s="496">
        <v>0.225</v>
      </c>
      <c r="E30" s="496">
        <v>0.155</v>
      </c>
      <c r="F30" s="496">
        <v>0.16</v>
      </c>
      <c r="G30" s="496">
        <v>0.165</v>
      </c>
      <c r="H30" s="496">
        <v>0.17</v>
      </c>
      <c r="I30" s="517">
        <v>0.175</v>
      </c>
      <c r="J30" s="509">
        <v>0.18</v>
      </c>
      <c r="K30" s="496">
        <v>0.185</v>
      </c>
      <c r="L30" s="496">
        <v>0.19</v>
      </c>
      <c r="M30" s="496">
        <v>0.195</v>
      </c>
      <c r="N30" s="496">
        <v>0.2</v>
      </c>
      <c r="O30" s="496">
        <v>0.205</v>
      </c>
      <c r="P30" s="496">
        <v>0.21</v>
      </c>
      <c r="Q30" s="496">
        <v>0.215</v>
      </c>
      <c r="R30" s="496">
        <v>0.22</v>
      </c>
      <c r="S30" s="496">
        <v>0.225</v>
      </c>
    </row>
    <row r="31" spans="1:19" ht="12.75">
      <c r="A31" s="1" t="s">
        <v>828</v>
      </c>
      <c r="B31" s="301">
        <f>'Return On Investment'!$C$29</f>
        <v>-35248991.7049775</v>
      </c>
      <c r="D31" s="162"/>
      <c r="E31" s="301">
        <v>25702787.449775033</v>
      </c>
      <c r="F31" s="301">
        <v>18225900.025965534</v>
      </c>
      <c r="G31" s="301">
        <v>10749012.602156043</v>
      </c>
      <c r="H31" s="301">
        <v>3272125.178346649</v>
      </c>
      <c r="I31" s="518">
        <v>-4204762.245462745</v>
      </c>
      <c r="J31" s="507">
        <v>-11681649.669272184</v>
      </c>
      <c r="K31" s="301">
        <v>-19158537.093081627</v>
      </c>
      <c r="L31" s="301">
        <v>-26635424.516891114</v>
      </c>
      <c r="M31" s="301">
        <v>-34112311.940700516</v>
      </c>
      <c r="N31" s="301">
        <v>-41589199.36450994</v>
      </c>
      <c r="O31" s="301">
        <v>-49066086.78831938</v>
      </c>
      <c r="P31" s="301">
        <v>-56542974.21212883</v>
      </c>
      <c r="Q31" s="301">
        <v>-64026089.315776184</v>
      </c>
      <c r="R31" s="301">
        <v>-71513743.55138838</v>
      </c>
      <c r="S31" s="301">
        <v>-79001397.78700066</v>
      </c>
    </row>
    <row r="32" spans="1:19" ht="12.75">
      <c r="A32" s="1" t="s">
        <v>743</v>
      </c>
      <c r="B32" s="9" t="e">
        <f>'Return On Investment'!$C$30</f>
        <v>#NUM!</v>
      </c>
      <c r="E32" s="7">
        <v>0.41865539386880246</v>
      </c>
      <c r="F32" s="7">
        <v>0.32176864547222</v>
      </c>
      <c r="G32" s="7">
        <v>0.2182099748488231</v>
      </c>
      <c r="H32" s="7">
        <v>0.10092085756750704</v>
      </c>
      <c r="I32" s="519">
        <v>-0.053896516825295275</v>
      </c>
      <c r="J32" s="508" t="e">
        <v>#NUM!</v>
      </c>
      <c r="K32" s="7" t="e">
        <v>#NUM!</v>
      </c>
      <c r="L32" s="7" t="e">
        <v>#NUM!</v>
      </c>
      <c r="M32" s="7" t="e">
        <v>#DIV/0!</v>
      </c>
      <c r="N32" s="7" t="e">
        <v>#NUM!</v>
      </c>
      <c r="O32" s="7" t="e">
        <v>#DIV/0!</v>
      </c>
      <c r="P32" s="7" t="e">
        <v>#NUM!</v>
      </c>
      <c r="Q32" s="7" t="e">
        <v>#NUM!</v>
      </c>
      <c r="R32" s="7" t="e">
        <v>#DIV/0!</v>
      </c>
      <c r="S32" s="7" t="e">
        <v>#DIV/0!</v>
      </c>
    </row>
    <row r="33" spans="1:19" ht="12.75">
      <c r="A33" s="1" t="s">
        <v>744</v>
      </c>
      <c r="B33" s="9">
        <f>'Return On Investment'!$D$34</f>
        <v>-1.0418059474128278</v>
      </c>
      <c r="E33" s="7">
        <v>0.33080704701909724</v>
      </c>
      <c r="F33" s="7">
        <v>0.24191655563649456</v>
      </c>
      <c r="G33" s="7">
        <v>0.15302606425389154</v>
      </c>
      <c r="H33" s="7">
        <v>0.06413557287128974</v>
      </c>
      <c r="I33" s="519">
        <v>-0.02475491851131157</v>
      </c>
      <c r="J33" s="508">
        <v>-0.11364540989391388</v>
      </c>
      <c r="K33" s="7">
        <v>-0.2025359012765163</v>
      </c>
      <c r="L33" s="7">
        <v>-0.29142639265911907</v>
      </c>
      <c r="M33" s="7">
        <v>-0.3803168840417209</v>
      </c>
      <c r="N33" s="7">
        <v>-0.4692073754243231</v>
      </c>
      <c r="O33" s="7">
        <v>-0.5580978668069252</v>
      </c>
      <c r="P33" s="7">
        <v>-0.6469883581895275</v>
      </c>
      <c r="Q33" s="7">
        <v>-0.7359009739097142</v>
      </c>
      <c r="R33" s="7">
        <v>-0.8248297152642529</v>
      </c>
      <c r="S33" s="7">
        <v>-0.9137584566187924</v>
      </c>
    </row>
    <row r="34" spans="1:19" ht="12.75">
      <c r="A34" s="1" t="s">
        <v>745</v>
      </c>
      <c r="B34" s="9">
        <f>'Return On Investment'!$D$36</f>
        <v>-2.0836118948256557</v>
      </c>
      <c r="E34" s="7">
        <v>0.6616140940381945</v>
      </c>
      <c r="F34" s="7">
        <v>0.4838331112729891</v>
      </c>
      <c r="G34" s="7">
        <v>0.30605212850778307</v>
      </c>
      <c r="H34" s="7">
        <v>0.12827114574257947</v>
      </c>
      <c r="I34" s="519">
        <v>-0.04950983702262314</v>
      </c>
      <c r="J34" s="508">
        <v>-0.22729081978782775</v>
      </c>
      <c r="K34" s="7">
        <v>-0.4050718025530326</v>
      </c>
      <c r="L34" s="7">
        <v>-0.5828527853182381</v>
      </c>
      <c r="M34" s="7">
        <v>-0.7606337680834419</v>
      </c>
      <c r="N34" s="7">
        <v>-0.9384147508486462</v>
      </c>
      <c r="O34" s="7">
        <v>-1.1161957336138504</v>
      </c>
      <c r="P34" s="7">
        <v>-1.293976716379055</v>
      </c>
      <c r="Q34" s="7">
        <v>-1.4718019478194284</v>
      </c>
      <c r="R34" s="7">
        <v>-1.6496594305285057</v>
      </c>
      <c r="S34" s="7">
        <v>-1.8275169132375848</v>
      </c>
    </row>
    <row r="35" spans="1:19" ht="12.75">
      <c r="A35" s="1" t="s">
        <v>831</v>
      </c>
      <c r="B35" s="15">
        <f>'Return On Investment'!$C$32</f>
      </c>
      <c r="E35">
        <v>3</v>
      </c>
      <c r="F35">
        <v>4</v>
      </c>
      <c r="G35">
        <v>6</v>
      </c>
      <c r="I35" s="1" t="s">
        <v>832</v>
      </c>
    </row>
    <row r="37" ht="12.75">
      <c r="A37" s="236" t="s">
        <v>824</v>
      </c>
    </row>
    <row r="38" ht="12.75">
      <c r="D38" s="1" t="s">
        <v>551</v>
      </c>
    </row>
    <row r="39" spans="4:19" ht="12.75">
      <c r="D39" s="499">
        <v>11.5</v>
      </c>
      <c r="E39" s="499">
        <v>8</v>
      </c>
      <c r="F39" s="499">
        <v>8.25</v>
      </c>
      <c r="G39" s="499">
        <v>8.5</v>
      </c>
      <c r="H39" s="499">
        <v>8.75</v>
      </c>
      <c r="I39" s="499">
        <v>9</v>
      </c>
      <c r="J39" s="499">
        <v>9.25</v>
      </c>
      <c r="K39" s="499">
        <v>9.5</v>
      </c>
      <c r="L39" s="499">
        <v>9.75</v>
      </c>
      <c r="M39" s="499">
        <v>10</v>
      </c>
      <c r="N39" s="499">
        <v>10.25</v>
      </c>
      <c r="O39" s="499">
        <v>10.5</v>
      </c>
      <c r="P39" s="499">
        <v>10.75</v>
      </c>
      <c r="Q39" s="499">
        <v>11</v>
      </c>
      <c r="R39" s="499">
        <v>11.25</v>
      </c>
      <c r="S39" s="499">
        <v>11.5</v>
      </c>
    </row>
    <row r="40" spans="1:19" ht="12.75">
      <c r="A40" s="1" t="s">
        <v>828</v>
      </c>
      <c r="B40" s="301">
        <f>'Return On Investment'!$C$29</f>
        <v>-35248991.7049775</v>
      </c>
      <c r="D40" s="501"/>
      <c r="E40" s="501">
        <v>-39524575.30737438</v>
      </c>
      <c r="F40" s="501">
        <v>-45755314.827215575</v>
      </c>
      <c r="G40" s="501">
        <v>-51986054.347056836</v>
      </c>
      <c r="H40" s="501">
        <v>-58216793.866897985</v>
      </c>
      <c r="I40" s="501">
        <v>-64447533.38673919</v>
      </c>
      <c r="J40" s="501">
        <v>-70687113.6878974</v>
      </c>
      <c r="K40" s="501">
        <v>-76926825.55090764</v>
      </c>
      <c r="L40" s="501">
        <v>-83166537.41391778</v>
      </c>
      <c r="M40" s="501">
        <v>-89406249.27692798</v>
      </c>
      <c r="N40" s="501">
        <v>-95645961.13993818</v>
      </c>
      <c r="O40" s="501">
        <v>-101885673.00294837</v>
      </c>
      <c r="P40" s="501">
        <v>-108125384.86595857</v>
      </c>
      <c r="Q40" s="501">
        <v>-114365096.72896872</v>
      </c>
      <c r="R40" s="501">
        <v>-120604808.59197897</v>
      </c>
      <c r="S40" s="501">
        <v>-126844520.45498914</v>
      </c>
    </row>
    <row r="41" spans="1:19" ht="12.75">
      <c r="A41" s="1" t="s">
        <v>743</v>
      </c>
      <c r="B41" s="9" t="e">
        <f>'Return On Investment'!$C$30</f>
        <v>#NUM!</v>
      </c>
      <c r="D41" s="7"/>
      <c r="E41" s="7" t="e">
        <v>#NUM!</v>
      </c>
      <c r="F41" s="7" t="e">
        <v>#DIV/0!</v>
      </c>
      <c r="G41" s="519" t="e">
        <v>#DIV/0!</v>
      </c>
      <c r="H41" s="7" t="e">
        <v>#NUM!</v>
      </c>
      <c r="I41" s="7" t="e">
        <v>#NUM!</v>
      </c>
      <c r="J41" s="7" t="e">
        <v>#DIV/0!</v>
      </c>
      <c r="K41" s="7" t="e">
        <v>#DIV/0!</v>
      </c>
      <c r="L41" s="7" t="e">
        <v>#DIV/0!</v>
      </c>
      <c r="M41" s="7" t="e">
        <v>#NUM!</v>
      </c>
      <c r="N41" s="7" t="e">
        <v>#NUM!</v>
      </c>
      <c r="O41" s="7" t="e">
        <v>#NUM!</v>
      </c>
      <c r="P41" s="7" t="e">
        <v>#DIV/0!</v>
      </c>
      <c r="Q41" s="7" t="e">
        <v>#DIV/0!</v>
      </c>
      <c r="R41" s="7" t="e">
        <v>#DIV/0!</v>
      </c>
      <c r="S41" s="7" t="e">
        <v>#DIV/0!</v>
      </c>
    </row>
    <row r="42" spans="1:19" ht="12.75">
      <c r="A42" s="1" t="s">
        <v>744</v>
      </c>
      <c r="B42" s="9">
        <f>'Return On Investment'!$D$34</f>
        <v>-1.0418059474128278</v>
      </c>
      <c r="D42" s="7"/>
      <c r="E42" s="7">
        <v>-0.4444351513976965</v>
      </c>
      <c r="F42" s="7">
        <v>-0.5185105608831982</v>
      </c>
      <c r="G42" s="519">
        <v>-0.5925859703687009</v>
      </c>
      <c r="H42" s="7">
        <v>-0.6666613798542024</v>
      </c>
      <c r="I42" s="7">
        <v>-0.740736789339704</v>
      </c>
      <c r="J42" s="7">
        <v>-0.8148436064176734</v>
      </c>
      <c r="K42" s="7">
        <v>-0.8889508908797898</v>
      </c>
      <c r="L42" s="7">
        <v>-0.9630581753419047</v>
      </c>
      <c r="M42" s="7">
        <v>-1.037165459804021</v>
      </c>
      <c r="N42" s="7">
        <v>-1.1112727442661368</v>
      </c>
      <c r="O42" s="7">
        <v>-1.1853800287282525</v>
      </c>
      <c r="P42" s="7">
        <v>-1.259487313190369</v>
      </c>
      <c r="Q42" s="7">
        <v>-1.3335945976524841</v>
      </c>
      <c r="R42" s="7">
        <v>-1.4077018821146008</v>
      </c>
      <c r="S42" s="7">
        <v>-1.4818091665767164</v>
      </c>
    </row>
    <row r="43" spans="1:19" ht="12.75">
      <c r="A43" s="1" t="s">
        <v>745</v>
      </c>
      <c r="B43" s="9">
        <f>'Return On Investment'!$D$36</f>
        <v>-2.0836118948256557</v>
      </c>
      <c r="D43" s="7"/>
      <c r="E43" s="7">
        <v>-0.888870302795393</v>
      </c>
      <c r="F43" s="7">
        <v>-1.0370211217663965</v>
      </c>
      <c r="G43" s="519">
        <v>-1.1851719407374017</v>
      </c>
      <c r="H43" s="7">
        <v>-1.3333227597084047</v>
      </c>
      <c r="I43" s="7">
        <v>-1.481473578679408</v>
      </c>
      <c r="J43" s="7">
        <v>-1.6296872128353468</v>
      </c>
      <c r="K43" s="7">
        <v>-1.7779017817595797</v>
      </c>
      <c r="L43" s="7">
        <v>-1.9261163506838095</v>
      </c>
      <c r="M43" s="7">
        <v>-2.074330919608042</v>
      </c>
      <c r="N43" s="7">
        <v>-2.2225454885322735</v>
      </c>
      <c r="O43" s="7">
        <v>-2.370760057456505</v>
      </c>
      <c r="P43" s="7">
        <v>-2.518974626380738</v>
      </c>
      <c r="Q43" s="7">
        <v>-2.6671891953049682</v>
      </c>
      <c r="R43" s="7">
        <v>-2.8154037642292016</v>
      </c>
      <c r="S43" s="7">
        <v>-2.9636183331534327</v>
      </c>
    </row>
    <row r="44" spans="1:19" ht="12.75">
      <c r="A44" s="1" t="s">
        <v>831</v>
      </c>
      <c r="B44" s="15">
        <f>'Return On Investment'!$C$32</f>
      </c>
      <c r="G44" s="1" t="s">
        <v>832</v>
      </c>
    </row>
    <row r="46" ht="12.75">
      <c r="A46" s="236" t="s">
        <v>829</v>
      </c>
    </row>
    <row r="47" ht="12.75">
      <c r="D47" s="1" t="s">
        <v>551</v>
      </c>
    </row>
    <row r="48" spans="4:19" ht="12.75">
      <c r="D48" s="499">
        <v>0.22</v>
      </c>
      <c r="E48" s="499">
        <v>0.15</v>
      </c>
      <c r="F48" s="499">
        <v>0.155</v>
      </c>
      <c r="G48" s="499">
        <v>0.16</v>
      </c>
      <c r="H48" s="499">
        <v>0.165</v>
      </c>
      <c r="I48" s="499">
        <v>0.17</v>
      </c>
      <c r="J48" s="499">
        <v>0.175</v>
      </c>
      <c r="K48" s="499">
        <v>0.18</v>
      </c>
      <c r="L48" s="499">
        <v>0.185</v>
      </c>
      <c r="M48" s="499">
        <v>0.19</v>
      </c>
      <c r="N48" s="499">
        <v>0.195</v>
      </c>
      <c r="O48" s="499">
        <v>0.2</v>
      </c>
      <c r="P48" s="499">
        <v>0.205</v>
      </c>
      <c r="Q48" s="499">
        <v>0.21</v>
      </c>
      <c r="R48" s="499">
        <v>0.215</v>
      </c>
      <c r="S48" s="499">
        <v>0.22</v>
      </c>
    </row>
    <row r="49" spans="1:19" ht="12.75">
      <c r="A49" s="1" t="s">
        <v>828</v>
      </c>
      <c r="B49" s="301">
        <f>'Return On Investment'!$C$29</f>
        <v>-35248991.7049775</v>
      </c>
      <c r="D49" s="162"/>
      <c r="E49" s="301">
        <v>3500053.434068665</v>
      </c>
      <c r="F49" s="301">
        <v>-3976833.9897407815</v>
      </c>
      <c r="G49" s="301">
        <v>-11453721.413550235</v>
      </c>
      <c r="H49" s="301">
        <v>-18930608.837359734</v>
      </c>
      <c r="I49" s="301">
        <v>-26407496.261169143</v>
      </c>
      <c r="J49" s="301">
        <v>-33884383.68497849</v>
      </c>
      <c r="K49" s="301">
        <v>-41361271.108787976</v>
      </c>
      <c r="L49" s="507">
        <v>-48838158.5325974</v>
      </c>
      <c r="M49" s="301">
        <v>-56315045.95640687</v>
      </c>
      <c r="N49" s="301">
        <v>-63795038.802629195</v>
      </c>
      <c r="O49" s="301">
        <v>-71282693.03824142</v>
      </c>
      <c r="P49" s="301">
        <v>-78770347.27385363</v>
      </c>
      <c r="Q49" s="301">
        <v>-86258001.50946587</v>
      </c>
      <c r="R49" s="301">
        <v>-93745655.74507813</v>
      </c>
      <c r="S49" s="301">
        <v>-101233309.98069033</v>
      </c>
    </row>
    <row r="50" spans="1:19" ht="12.75">
      <c r="A50" s="1" t="s">
        <v>743</v>
      </c>
      <c r="B50" s="9" t="e">
        <f>'Return On Investment'!$C$30</f>
        <v>#NUM!</v>
      </c>
      <c r="E50" s="7">
        <v>0.10466791862199741</v>
      </c>
      <c r="F50" s="7">
        <v>-0.04758841180189655</v>
      </c>
      <c r="G50" s="7" t="e">
        <v>#NUM!</v>
      </c>
      <c r="H50" s="7" t="e">
        <v>#NUM!</v>
      </c>
      <c r="I50" s="7" t="e">
        <v>#NUM!</v>
      </c>
      <c r="J50" s="7" t="e">
        <v>#DIV/0!</v>
      </c>
      <c r="K50" s="7" t="e">
        <v>#NUM!</v>
      </c>
      <c r="L50" s="508" t="e">
        <v>#DIV/0!</v>
      </c>
      <c r="M50" s="7" t="e">
        <v>#NUM!</v>
      </c>
      <c r="N50" s="7" t="e">
        <v>#NUM!</v>
      </c>
      <c r="O50" s="7" t="e">
        <v>#DIV/0!</v>
      </c>
      <c r="P50" s="7" t="e">
        <v>#DIV/0!</v>
      </c>
      <c r="Q50" s="7" t="e">
        <v>#DIV/0!</v>
      </c>
      <c r="R50" s="7" t="e">
        <v>#NUM!</v>
      </c>
      <c r="S50" s="7" t="e">
        <v>#NUM!</v>
      </c>
    </row>
    <row r="51" spans="1:19" ht="12.75">
      <c r="A51" s="1" t="s">
        <v>744</v>
      </c>
      <c r="B51" s="9">
        <f>'Return On Investment'!$D$34</f>
        <v>-1.0418059474128278</v>
      </c>
      <c r="E51" s="7">
        <v>0.06693608304330248</v>
      </c>
      <c r="F51" s="7">
        <v>-0.021954408339299687</v>
      </c>
      <c r="G51" s="7">
        <v>-0.11084489972190234</v>
      </c>
      <c r="H51" s="7">
        <v>-0.19973539110450517</v>
      </c>
      <c r="I51" s="7">
        <v>-0.28862588248710713</v>
      </c>
      <c r="J51" s="7">
        <v>-0.3775163738697084</v>
      </c>
      <c r="K51" s="7">
        <v>-0.4664068652523109</v>
      </c>
      <c r="L51" s="508">
        <v>-0.5552973566349131</v>
      </c>
      <c r="M51" s="7">
        <v>-0.6441878480175159</v>
      </c>
      <c r="N51" s="7">
        <v>-0.7330893716650372</v>
      </c>
      <c r="O51" s="7">
        <v>-0.8220181130195762</v>
      </c>
      <c r="P51" s="7">
        <v>-0.9109468543741149</v>
      </c>
      <c r="Q51" s="7">
        <v>-0.9998755957286545</v>
      </c>
      <c r="R51" s="7">
        <v>-1.0888043370831937</v>
      </c>
      <c r="S51" s="7">
        <v>-1.1777330784377327</v>
      </c>
    </row>
    <row r="52" spans="1:19" ht="12.75">
      <c r="A52" s="1" t="s">
        <v>745</v>
      </c>
      <c r="B52" s="9">
        <f>'Return On Investment'!$D$36</f>
        <v>-2.0836118948256557</v>
      </c>
      <c r="E52" s="7">
        <v>0.13387216608660496</v>
      </c>
      <c r="F52" s="7">
        <v>-0.043908816678599374</v>
      </c>
      <c r="G52" s="7">
        <v>-0.22168979944380468</v>
      </c>
      <c r="H52" s="7">
        <v>-0.39947078220901033</v>
      </c>
      <c r="I52" s="7">
        <v>-0.5772517649742143</v>
      </c>
      <c r="J52" s="7">
        <v>-0.7550327477394168</v>
      </c>
      <c r="K52" s="7">
        <v>-0.9328137305046218</v>
      </c>
      <c r="L52" s="508">
        <v>-1.1105947132698262</v>
      </c>
      <c r="M52" s="7">
        <v>-1.2883756960350319</v>
      </c>
      <c r="N52" s="7">
        <v>-1.4661787433300744</v>
      </c>
      <c r="O52" s="7">
        <v>-1.6440362260391523</v>
      </c>
      <c r="P52" s="7">
        <v>-1.8218937087482299</v>
      </c>
      <c r="Q52" s="7">
        <v>-1.999751191457309</v>
      </c>
      <c r="R52" s="7">
        <v>-2.1776086741663874</v>
      </c>
      <c r="S52" s="7">
        <v>-2.3554661568754653</v>
      </c>
    </row>
    <row r="53" spans="1:19" ht="12.75">
      <c r="A53" s="1" t="s">
        <v>831</v>
      </c>
      <c r="B53" s="15">
        <f>'Return On Investment'!$C$32</f>
      </c>
      <c r="L53" s="1" t="s">
        <v>832</v>
      </c>
    </row>
    <row r="55" ht="12.75">
      <c r="A55" s="236" t="s">
        <v>830</v>
      </c>
    </row>
    <row r="56" ht="12.75">
      <c r="D56" s="1" t="s">
        <v>399</v>
      </c>
    </row>
    <row r="57" spans="4:19" ht="12.75">
      <c r="D57" s="503">
        <v>0.12</v>
      </c>
      <c r="E57" s="503">
        <v>0.05</v>
      </c>
      <c r="F57" s="503">
        <v>0.055</v>
      </c>
      <c r="G57" s="503">
        <v>0.06</v>
      </c>
      <c r="H57" s="503">
        <v>0.065</v>
      </c>
      <c r="I57" s="503">
        <v>0.07</v>
      </c>
      <c r="J57" s="510">
        <v>0.075</v>
      </c>
      <c r="K57" s="503">
        <v>0.08</v>
      </c>
      <c r="L57" s="503">
        <v>0.085</v>
      </c>
      <c r="M57" s="503">
        <v>0.09</v>
      </c>
      <c r="N57" s="503">
        <v>0.095</v>
      </c>
      <c r="O57" s="503">
        <v>0.1</v>
      </c>
      <c r="P57" s="503">
        <v>0.105</v>
      </c>
      <c r="Q57" s="503">
        <v>0.11</v>
      </c>
      <c r="R57" s="503">
        <v>0.115</v>
      </c>
      <c r="S57" s="503">
        <v>0.12</v>
      </c>
    </row>
    <row r="58" spans="1:19" ht="12.75">
      <c r="A58" s="1" t="s">
        <v>828</v>
      </c>
      <c r="B58" s="301">
        <f>'Return On Investment'!$C$29</f>
        <v>-35248991.7049775</v>
      </c>
      <c r="D58" s="162"/>
      <c r="E58" s="301">
        <v>-23943745.04431971</v>
      </c>
      <c r="F58" s="301">
        <v>-23943745.044319704</v>
      </c>
      <c r="G58" s="301">
        <v>-23943745.044319704</v>
      </c>
      <c r="H58" s="301">
        <v>-23943745.044319704</v>
      </c>
      <c r="I58" s="301">
        <v>-23943745.04431971</v>
      </c>
      <c r="J58" s="507">
        <v>-23943745.04431971</v>
      </c>
      <c r="K58" s="301">
        <v>-23943745.044319704</v>
      </c>
      <c r="L58" s="301">
        <v>-23943745.044319704</v>
      </c>
      <c r="M58" s="301">
        <v>-23943745.044319704</v>
      </c>
      <c r="N58" s="301">
        <v>-23943745.044319704</v>
      </c>
      <c r="O58" s="301">
        <v>-23943745.044319704</v>
      </c>
      <c r="P58" s="301">
        <v>-23943745.044319704</v>
      </c>
      <c r="Q58" s="301">
        <v>-23943745.044319704</v>
      </c>
      <c r="R58" s="301">
        <v>-23943745.044319704</v>
      </c>
      <c r="S58" s="301">
        <v>-23943745.044319704</v>
      </c>
    </row>
    <row r="59" spans="1:19" ht="12.75">
      <c r="A59" s="1" t="s">
        <v>743</v>
      </c>
      <c r="B59" s="9" t="e">
        <f>'Return On Investment'!$C$30</f>
        <v>#NUM!</v>
      </c>
      <c r="E59" s="7" t="e">
        <v>#DIV/0!</v>
      </c>
      <c r="F59" s="7" t="e">
        <v>#DIV/0!</v>
      </c>
      <c r="G59" s="7" t="e">
        <v>#DIV/0!</v>
      </c>
      <c r="H59" s="7" t="e">
        <v>#DIV/0!</v>
      </c>
      <c r="I59" s="7" t="e">
        <v>#DIV/0!</v>
      </c>
      <c r="J59" s="508" t="e">
        <v>#DIV/0!</v>
      </c>
      <c r="K59" s="7" t="e">
        <v>#DIV/0!</v>
      </c>
      <c r="L59" s="7" t="e">
        <v>#DIV/0!</v>
      </c>
      <c r="M59" s="7" t="e">
        <v>#DIV/0!</v>
      </c>
      <c r="N59" s="7" t="e">
        <v>#DIV/0!</v>
      </c>
      <c r="O59" s="7" t="e">
        <v>#DIV/0!</v>
      </c>
      <c r="P59" s="7" t="e">
        <v>#DIV/0!</v>
      </c>
      <c r="Q59" s="7" t="e">
        <v>#DIV/0!</v>
      </c>
      <c r="R59" s="7" t="e">
        <v>#DIV/0!</v>
      </c>
      <c r="S59" s="7" t="e">
        <v>#DIV/0!</v>
      </c>
    </row>
    <row r="60" spans="1:19" ht="12.75">
      <c r="A60" s="1" t="s">
        <v>744</v>
      </c>
      <c r="B60" s="9">
        <f>'Return On Investment'!$D$34</f>
        <v>-1.0418059474128278</v>
      </c>
      <c r="E60" s="7">
        <v>-0.25133513953104925</v>
      </c>
      <c r="F60" s="7">
        <v>-0.25291673640001994</v>
      </c>
      <c r="G60" s="7">
        <v>-0.2545168311585128</v>
      </c>
      <c r="H60" s="7">
        <v>-0.25613519707615484</v>
      </c>
      <c r="I60" s="7">
        <v>-0.2577716034120033</v>
      </c>
      <c r="J60" s="508">
        <v>-0.2594258157613821</v>
      </c>
      <c r="K60" s="7">
        <v>-0.26109759639685864</v>
      </c>
      <c r="L60" s="7">
        <v>-0.26278670460278036</v>
      </c>
      <c r="M60" s="7">
        <v>-0.26449289700283785</v>
      </c>
      <c r="N60" s="7">
        <v>-0.26621592788017</v>
      </c>
      <c r="O60" s="7">
        <v>-0.26795554948957667</v>
      </c>
      <c r="P60" s="7">
        <v>-0.2697115123614477</v>
      </c>
      <c r="Q60" s="7">
        <v>-0.2714835655970661</v>
      </c>
      <c r="R60" s="7">
        <v>-0.2732714571549882</v>
      </c>
      <c r="S60" s="7">
        <v>-0.27507493412824296</v>
      </c>
    </row>
    <row r="61" spans="1:19" ht="12.75">
      <c r="A61" s="1" t="s">
        <v>745</v>
      </c>
      <c r="B61" s="9">
        <f>'Return On Investment'!$D$36</f>
        <v>-2.0836118948256557</v>
      </c>
      <c r="E61" s="7">
        <v>-0.5026702790620985</v>
      </c>
      <c r="F61" s="7">
        <v>-0.5058334728000399</v>
      </c>
      <c r="G61" s="7">
        <v>-0.5090336623170256</v>
      </c>
      <c r="H61" s="7">
        <v>-0.5122703941523097</v>
      </c>
      <c r="I61" s="7">
        <v>-0.5155432068240066</v>
      </c>
      <c r="J61" s="508">
        <v>-0.5188516315227641</v>
      </c>
      <c r="K61" s="7">
        <v>-0.5221951927937173</v>
      </c>
      <c r="L61" s="7">
        <v>-0.5255734092055607</v>
      </c>
      <c r="M61" s="7">
        <v>-0.5289857940056757</v>
      </c>
      <c r="N61" s="7">
        <v>-0.53243185576034</v>
      </c>
      <c r="O61" s="7">
        <v>-0.5359110989791533</v>
      </c>
      <c r="P61" s="7">
        <v>-0.5394230247228954</v>
      </c>
      <c r="Q61" s="7">
        <v>-0.5429671311941322</v>
      </c>
      <c r="R61" s="7">
        <v>-0.5465429143099764</v>
      </c>
      <c r="S61" s="7">
        <v>-0.5501498682564859</v>
      </c>
    </row>
    <row r="62" spans="1:19" ht="12.75">
      <c r="A62" s="1" t="s">
        <v>831</v>
      </c>
      <c r="B62" s="15">
        <f>'Return On Investment'!$C$32</f>
      </c>
      <c r="J62" s="1" t="s">
        <v>832</v>
      </c>
    </row>
    <row r="64" ht="12.75">
      <c r="A64" s="236" t="s">
        <v>825</v>
      </c>
    </row>
    <row r="65" ht="12.75">
      <c r="D65" s="1" t="s">
        <v>827</v>
      </c>
    </row>
    <row r="66" spans="4:15" ht="12.75">
      <c r="D66" s="174">
        <v>0.85</v>
      </c>
      <c r="E66" s="174">
        <v>0.75</v>
      </c>
      <c r="F66" s="174">
        <v>0.76</v>
      </c>
      <c r="G66" s="174">
        <v>0.77</v>
      </c>
      <c r="H66" s="174">
        <v>0.78</v>
      </c>
      <c r="I66" s="174">
        <v>0.79</v>
      </c>
      <c r="J66" s="511">
        <v>0.8</v>
      </c>
      <c r="K66" s="174">
        <v>0.81</v>
      </c>
      <c r="L66" s="174">
        <v>0.82</v>
      </c>
      <c r="M66" s="174">
        <v>0.83</v>
      </c>
      <c r="N66" s="174">
        <v>0.84</v>
      </c>
      <c r="O66" s="174">
        <v>0.85</v>
      </c>
    </row>
    <row r="67" spans="1:15" ht="12.75">
      <c r="A67" s="1" t="s">
        <v>828</v>
      </c>
      <c r="B67" s="301">
        <f>'Return On Investment'!$C$29</f>
        <v>-35248991.7049775</v>
      </c>
      <c r="D67" s="162"/>
      <c r="E67" s="502">
        <v>-37775079.626397036</v>
      </c>
      <c r="F67" s="502">
        <v>-35008812.709981546</v>
      </c>
      <c r="G67" s="502">
        <v>-32242545.793566067</v>
      </c>
      <c r="H67" s="502">
        <v>-29476278.877150618</v>
      </c>
      <c r="I67" s="502">
        <v>-26710011.960735187</v>
      </c>
      <c r="J67" s="512">
        <v>-23943745.04431971</v>
      </c>
      <c r="K67" s="502">
        <v>-21177478.127904203</v>
      </c>
      <c r="L67" s="502">
        <v>-18411211.211488724</v>
      </c>
      <c r="M67" s="502">
        <v>-15644944.295073256</v>
      </c>
      <c r="N67" s="502">
        <v>-12878677.37865778</v>
      </c>
      <c r="O67" s="502">
        <v>-10112410.46224232</v>
      </c>
    </row>
    <row r="68" spans="1:15" ht="12.75">
      <c r="A68" s="1" t="s">
        <v>743</v>
      </c>
      <c r="B68" s="9" t="e">
        <f>'Return On Investment'!$C$30</f>
        <v>#NUM!</v>
      </c>
      <c r="E68" s="7" t="e">
        <v>#NUM!</v>
      </c>
      <c r="F68" s="7" t="e">
        <v>#DIV/0!</v>
      </c>
      <c r="G68" s="7" t="e">
        <v>#DIV/0!</v>
      </c>
      <c r="H68" s="7" t="e">
        <v>#DIV/0!</v>
      </c>
      <c r="I68" s="7" t="e">
        <v>#NUM!</v>
      </c>
      <c r="J68" s="508" t="e">
        <v>#DIV/0!</v>
      </c>
      <c r="K68" s="7" t="e">
        <v>#DIV/0!</v>
      </c>
      <c r="L68" s="7" t="e">
        <v>#DIV/0!</v>
      </c>
      <c r="M68" s="7" t="e">
        <v>#NUM!</v>
      </c>
      <c r="N68" s="7" t="e">
        <v>#NUM!</v>
      </c>
      <c r="O68" s="7" t="e">
        <v>#NUM!</v>
      </c>
    </row>
    <row r="69" spans="1:15" ht="12.75">
      <c r="A69" s="1" t="s">
        <v>744</v>
      </c>
      <c r="B69" s="9">
        <f>'Return On Investment'!$D$34</f>
        <v>-1.0418059474128278</v>
      </c>
      <c r="E69" s="7">
        <v>-0.4238583274788941</v>
      </c>
      <c r="F69" s="7">
        <v>-0.3909718251353914</v>
      </c>
      <c r="G69" s="7">
        <v>-0.35808532279188887</v>
      </c>
      <c r="H69" s="7">
        <v>-0.32519882044838677</v>
      </c>
      <c r="I69" s="7">
        <v>-0.29231231810488467</v>
      </c>
      <c r="J69" s="508">
        <v>-0.2594258157613821</v>
      </c>
      <c r="K69" s="7">
        <v>-0.2265393134178793</v>
      </c>
      <c r="L69" s="7">
        <v>-0.19365281107437676</v>
      </c>
      <c r="M69" s="7">
        <v>-0.16076630873087455</v>
      </c>
      <c r="N69" s="7">
        <v>-0.1278798063873718</v>
      </c>
      <c r="O69" s="7">
        <v>-0.09499330404386944</v>
      </c>
    </row>
    <row r="70" spans="1:15" ht="12.75">
      <c r="A70" s="1" t="s">
        <v>745</v>
      </c>
      <c r="B70" s="9">
        <f>'Return On Investment'!$D$36</f>
        <v>-2.0836118948256557</v>
      </c>
      <c r="E70" s="7">
        <v>-0.8477166549577883</v>
      </c>
      <c r="F70" s="7">
        <v>-0.7819436502707828</v>
      </c>
      <c r="G70" s="7">
        <v>-0.7161706455837777</v>
      </c>
      <c r="H70" s="7">
        <v>-0.6503976408967735</v>
      </c>
      <c r="I70" s="7">
        <v>-0.5846246362097693</v>
      </c>
      <c r="J70" s="508">
        <v>-0.5188516315227641</v>
      </c>
      <c r="K70" s="7">
        <v>-0.4530786268357586</v>
      </c>
      <c r="L70" s="7">
        <v>-0.3873056221487535</v>
      </c>
      <c r="M70" s="7">
        <v>-0.3215326174617491</v>
      </c>
      <c r="N70" s="7">
        <v>-0.2557596127747436</v>
      </c>
      <c r="O70" s="7">
        <v>-0.18998660808773887</v>
      </c>
    </row>
    <row r="71" spans="1:15" ht="12.75">
      <c r="A71" s="1" t="s">
        <v>831</v>
      </c>
      <c r="B71" s="15">
        <f>'Return On Investment'!$C$32</f>
      </c>
      <c r="J71" s="1" t="s">
        <v>832</v>
      </c>
    </row>
    <row r="73" ht="12.75">
      <c r="A73" s="236" t="s">
        <v>826</v>
      </c>
    </row>
    <row r="74" ht="12.75">
      <c r="D74" s="1" t="s">
        <v>827</v>
      </c>
    </row>
    <row r="75" spans="4:15" ht="12.75">
      <c r="D75" s="174">
        <v>0.85</v>
      </c>
      <c r="E75" s="174">
        <v>0.75</v>
      </c>
      <c r="F75" s="174">
        <v>0.76</v>
      </c>
      <c r="G75" s="174">
        <v>0.77</v>
      </c>
      <c r="H75" s="174">
        <v>0.78</v>
      </c>
      <c r="I75" s="174">
        <v>0.79</v>
      </c>
      <c r="J75" s="511">
        <v>0.8</v>
      </c>
      <c r="K75" s="174">
        <v>0.81</v>
      </c>
      <c r="L75" s="174">
        <v>0.82</v>
      </c>
      <c r="M75" s="174">
        <v>0.83</v>
      </c>
      <c r="N75" s="174">
        <v>0.84</v>
      </c>
      <c r="O75" s="174">
        <v>0.85</v>
      </c>
    </row>
    <row r="76" spans="1:15" ht="12.75">
      <c r="A76" s="1" t="s">
        <v>828</v>
      </c>
      <c r="B76" s="301">
        <f>'Return On Investment'!$C$29</f>
        <v>-35248991.7049775</v>
      </c>
      <c r="D76" s="162"/>
      <c r="E76" s="502">
        <v>-75931478.61288002</v>
      </c>
      <c r="F76" s="502">
        <v>-74832687.9329794</v>
      </c>
      <c r="G76" s="502">
        <v>-73733897.25307877</v>
      </c>
      <c r="H76" s="502">
        <v>-72635106.5731782</v>
      </c>
      <c r="I76" s="502">
        <v>-71536315.89327759</v>
      </c>
      <c r="J76" s="512">
        <v>-70437525.213377</v>
      </c>
      <c r="K76" s="502">
        <v>-69338734.53347637</v>
      </c>
      <c r="L76" s="502">
        <v>-68239943.85357575</v>
      </c>
      <c r="M76" s="502">
        <v>-67141153.17367516</v>
      </c>
      <c r="N76" s="502">
        <v>-66042362.49377457</v>
      </c>
      <c r="O76" s="502">
        <v>-64943571.813874</v>
      </c>
    </row>
    <row r="77" spans="1:15" ht="12.75">
      <c r="A77" s="1" t="s">
        <v>743</v>
      </c>
      <c r="B77" s="9" t="e">
        <f>'Return On Investment'!$C$30</f>
        <v>#NUM!</v>
      </c>
      <c r="E77" s="7" t="e">
        <v>#DIV/0!</v>
      </c>
      <c r="F77" s="7" t="e">
        <v>#DIV/0!</v>
      </c>
      <c r="G77" s="7" t="e">
        <v>#DIV/0!</v>
      </c>
      <c r="H77" s="7" t="e">
        <v>#DIV/0!</v>
      </c>
      <c r="I77" s="7" t="e">
        <v>#DIV/0!</v>
      </c>
      <c r="J77" s="508" t="e">
        <v>#DIV/0!</v>
      </c>
      <c r="K77" s="7" t="e">
        <v>#DIV/0!</v>
      </c>
      <c r="L77" s="7" t="e">
        <v>#DIV/0!</v>
      </c>
      <c r="M77" s="7" t="e">
        <v>#DIV/0!</v>
      </c>
      <c r="N77" s="7" t="e">
        <v>#DIV/0!</v>
      </c>
      <c r="O77" s="7" t="e">
        <v>#NUM!</v>
      </c>
    </row>
    <row r="78" spans="1:15" ht="12.75">
      <c r="A78" s="1" t="s">
        <v>744</v>
      </c>
      <c r="B78" s="9">
        <f>'Return On Investment'!$D$34</f>
        <v>-1.0418059474128278</v>
      </c>
      <c r="E78" s="7">
        <v>-0.8771281322557088</v>
      </c>
      <c r="F78" s="7">
        <v>-0.8640783688124047</v>
      </c>
      <c r="G78" s="7">
        <v>-0.8510286053691003</v>
      </c>
      <c r="H78" s="7">
        <v>-0.8379788419257966</v>
      </c>
      <c r="I78" s="7">
        <v>-0.8249290784824925</v>
      </c>
      <c r="J78" s="508">
        <v>-0.8118793150391888</v>
      </c>
      <c r="K78" s="7">
        <v>-0.7988295515958843</v>
      </c>
      <c r="L78" s="7">
        <v>-0.7857797881525801</v>
      </c>
      <c r="M78" s="7">
        <v>-0.7727300247092764</v>
      </c>
      <c r="N78" s="7">
        <v>-0.7596802612659725</v>
      </c>
      <c r="O78" s="7">
        <v>-0.746630497822669</v>
      </c>
    </row>
    <row r="79" spans="1:15" ht="12.75">
      <c r="A79" s="1" t="s">
        <v>745</v>
      </c>
      <c r="B79" s="9">
        <f>'Return On Investment'!$D$36</f>
        <v>-2.0836118948256557</v>
      </c>
      <c r="E79" s="7">
        <v>-1.7542562645114177</v>
      </c>
      <c r="F79" s="7">
        <v>-1.7281567376248095</v>
      </c>
      <c r="G79" s="7">
        <v>-1.7020572107382006</v>
      </c>
      <c r="H79" s="7">
        <v>-1.6759576838515933</v>
      </c>
      <c r="I79" s="7">
        <v>-1.649858156964985</v>
      </c>
      <c r="J79" s="508">
        <v>-1.6237586300783775</v>
      </c>
      <c r="K79" s="7">
        <v>-1.5976591031917686</v>
      </c>
      <c r="L79" s="7">
        <v>-1.5715595763051602</v>
      </c>
      <c r="M79" s="7">
        <v>-1.5454600494185529</v>
      </c>
      <c r="N79" s="7">
        <v>-1.519360522531945</v>
      </c>
      <c r="O79" s="7">
        <v>-1.493260995645338</v>
      </c>
    </row>
    <row r="80" spans="1:15" ht="12.75">
      <c r="A80" s="1" t="s">
        <v>831</v>
      </c>
      <c r="B80" s="15">
        <f>'Return On Investment'!$C$32</f>
      </c>
      <c r="J80" s="1" t="s">
        <v>832</v>
      </c>
    </row>
    <row r="82" ht="12.75">
      <c r="A82" s="236" t="s">
        <v>833</v>
      </c>
    </row>
    <row r="83" ht="12.75">
      <c r="D83" s="1" t="s">
        <v>827</v>
      </c>
    </row>
    <row r="84" spans="4:15" ht="12.75">
      <c r="D84" s="174">
        <v>0.85</v>
      </c>
      <c r="E84" s="174">
        <v>0.75</v>
      </c>
      <c r="F84" s="174">
        <v>0.76</v>
      </c>
      <c r="G84" s="174">
        <v>0.77</v>
      </c>
      <c r="H84" s="174">
        <v>0.78</v>
      </c>
      <c r="I84" s="174">
        <v>0.79</v>
      </c>
      <c r="J84" s="511">
        <v>0.8</v>
      </c>
      <c r="K84" s="174">
        <v>0.81</v>
      </c>
      <c r="L84" s="174">
        <v>0.82</v>
      </c>
      <c r="M84" s="174">
        <v>0.83</v>
      </c>
      <c r="N84" s="174">
        <v>0.84</v>
      </c>
      <c r="O84" s="174">
        <v>0.85</v>
      </c>
    </row>
    <row r="85" spans="1:15" ht="12.75">
      <c r="A85" s="1" t="s">
        <v>828</v>
      </c>
      <c r="B85" s="301">
        <f>'Return On Investment'!$C$29</f>
        <v>-35248991.7049775</v>
      </c>
      <c r="D85" s="162"/>
      <c r="E85" s="502">
        <v>-68474305.15488091</v>
      </c>
      <c r="F85" s="502">
        <v>-67089192.63029384</v>
      </c>
      <c r="G85" s="502">
        <v>-65704080.10570677</v>
      </c>
      <c r="H85" s="502">
        <v>-64318967.58111968</v>
      </c>
      <c r="I85" s="502">
        <v>-62933855.05653259</v>
      </c>
      <c r="J85" s="512">
        <v>-61548867.153073475</v>
      </c>
      <c r="K85" s="502">
        <v>-60165733.694865696</v>
      </c>
      <c r="L85" s="502">
        <v>-58782600.236658014</v>
      </c>
      <c r="M85" s="502">
        <v>-57399466.77845025</v>
      </c>
      <c r="N85" s="502">
        <v>-56016333.320242524</v>
      </c>
      <c r="O85" s="502">
        <v>-54633199.86203476</v>
      </c>
    </row>
    <row r="86" spans="1:15" ht="12.75">
      <c r="A86" s="1" t="s">
        <v>743</v>
      </c>
      <c r="B86" s="9" t="e">
        <f>'Return On Investment'!$C$30</f>
        <v>#NUM!</v>
      </c>
      <c r="E86" s="7" t="e">
        <v>#DIV/0!</v>
      </c>
      <c r="F86" s="7" t="e">
        <v>#DIV/0!</v>
      </c>
      <c r="G86" s="7" t="e">
        <v>#DIV/0!</v>
      </c>
      <c r="H86" s="7" t="e">
        <v>#NUM!</v>
      </c>
      <c r="I86" s="7" t="e">
        <v>#NUM!</v>
      </c>
      <c r="J86" s="508" t="e">
        <v>#NUM!</v>
      </c>
      <c r="K86" s="7" t="e">
        <v>#NUM!</v>
      </c>
      <c r="L86" s="7" t="e">
        <v>#NUM!</v>
      </c>
      <c r="M86" s="7" t="e">
        <v>#NUM!</v>
      </c>
      <c r="N86" s="7" t="e">
        <v>#NUM!</v>
      </c>
      <c r="O86" s="7" t="e">
        <v>#DIV/0!</v>
      </c>
    </row>
    <row r="87" spans="1:15" ht="12.75">
      <c r="A87" s="1" t="s">
        <v>744</v>
      </c>
      <c r="B87" s="9">
        <f>'Return On Investment'!$D$34</f>
        <v>-1.0418059474128278</v>
      </c>
      <c r="E87" s="7">
        <v>-0.7886621590863397</v>
      </c>
      <c r="F87" s="7">
        <v>-0.772211877120807</v>
      </c>
      <c r="G87" s="7">
        <v>-0.7557615951552739</v>
      </c>
      <c r="H87" s="7">
        <v>-0.739311313189741</v>
      </c>
      <c r="I87" s="7">
        <v>-0.7228610312242081</v>
      </c>
      <c r="J87" s="508">
        <v>-0.7064111919853373</v>
      </c>
      <c r="K87" s="7">
        <v>-0.6899679408135855</v>
      </c>
      <c r="L87" s="7">
        <v>-0.6735246896418347</v>
      </c>
      <c r="M87" s="7">
        <v>-0.6570814384700833</v>
      </c>
      <c r="N87" s="7">
        <v>-0.6406381872983321</v>
      </c>
      <c r="O87" s="7">
        <v>-0.6241949361265806</v>
      </c>
    </row>
    <row r="88" spans="1:15" ht="12.75">
      <c r="A88" s="1" t="s">
        <v>745</v>
      </c>
      <c r="B88" s="9">
        <f>'Return On Investment'!$D$36</f>
        <v>-2.0836118948256557</v>
      </c>
      <c r="E88" s="7">
        <v>-1.5773243181726795</v>
      </c>
      <c r="F88" s="7">
        <v>-1.544423754241614</v>
      </c>
      <c r="G88" s="7">
        <v>-1.5115231903105477</v>
      </c>
      <c r="H88" s="7">
        <v>-1.478622626379482</v>
      </c>
      <c r="I88" s="7">
        <v>-1.4457220624484162</v>
      </c>
      <c r="J88" s="508">
        <v>-1.4128223839706746</v>
      </c>
      <c r="K88" s="7">
        <v>-1.379935881627171</v>
      </c>
      <c r="L88" s="7">
        <v>-1.3470493792836693</v>
      </c>
      <c r="M88" s="7">
        <v>-1.3141628769401665</v>
      </c>
      <c r="N88" s="7">
        <v>-1.2812763745966642</v>
      </c>
      <c r="O88" s="7">
        <v>-1.2483898722531612</v>
      </c>
    </row>
    <row r="89" spans="1:15" ht="12.75">
      <c r="A89" s="1" t="s">
        <v>831</v>
      </c>
      <c r="B89" s="15">
        <f>'Return On Investment'!$C$32</f>
      </c>
      <c r="J89" s="1" t="s">
        <v>832</v>
      </c>
    </row>
    <row r="91" ht="12.75">
      <c r="A91" s="236" t="s">
        <v>834</v>
      </c>
    </row>
    <row r="92" ht="12.75">
      <c r="D92" s="1" t="s">
        <v>827</v>
      </c>
    </row>
    <row r="93" spans="4:15" ht="12.75">
      <c r="D93" s="174">
        <v>0.85</v>
      </c>
      <c r="E93" s="174">
        <v>0.75</v>
      </c>
      <c r="F93" s="174">
        <v>0.76</v>
      </c>
      <c r="G93" s="174">
        <v>0.77</v>
      </c>
      <c r="H93" s="174">
        <v>0.78</v>
      </c>
      <c r="I93" s="174">
        <v>0.79</v>
      </c>
      <c r="J93" s="511">
        <v>0.8</v>
      </c>
      <c r="K93" s="174">
        <v>0.81</v>
      </c>
      <c r="L93" s="174">
        <v>0.82</v>
      </c>
      <c r="M93" s="174">
        <v>0.83</v>
      </c>
      <c r="N93" s="174">
        <v>0.84</v>
      </c>
      <c r="O93" s="174">
        <v>0.85</v>
      </c>
    </row>
    <row r="94" spans="1:15" ht="12.75">
      <c r="A94" s="1" t="s">
        <v>828</v>
      </c>
      <c r="B94" s="301">
        <f>'Return On Investment'!$C$29</f>
        <v>-35248991.7049775</v>
      </c>
      <c r="D94" s="162"/>
      <c r="E94" s="502">
        <v>-68644787.24439588</v>
      </c>
      <c r="F94" s="502">
        <v>-67225578.30190575</v>
      </c>
      <c r="G94" s="502">
        <v>-65806369.359415695</v>
      </c>
      <c r="H94" s="502">
        <v>-64387160.41692564</v>
      </c>
      <c r="I94" s="502">
        <v>-62967951.47443555</v>
      </c>
      <c r="J94" s="512">
        <v>-61548867.153073475</v>
      </c>
      <c r="K94" s="502">
        <v>-60131687.07199239</v>
      </c>
      <c r="L94" s="502">
        <v>-58714506.99091127</v>
      </c>
      <c r="M94" s="502">
        <v>-57297326.90983015</v>
      </c>
      <c r="N94" s="502">
        <v>-55880146.82874912</v>
      </c>
      <c r="O94" s="502">
        <v>-54462966.74766794</v>
      </c>
    </row>
    <row r="95" spans="1:15" ht="12.75">
      <c r="A95" s="1" t="s">
        <v>743</v>
      </c>
      <c r="B95" s="9" t="e">
        <f>'Return On Investment'!$C$30</f>
        <v>#NUM!</v>
      </c>
      <c r="E95" s="7" t="e">
        <v>#DIV/0!</v>
      </c>
      <c r="F95" s="7" t="e">
        <v>#DIV/0!</v>
      </c>
      <c r="G95" s="7" t="e">
        <v>#DIV/0!</v>
      </c>
      <c r="H95" s="7" t="e">
        <v>#NUM!</v>
      </c>
      <c r="I95" s="7" t="e">
        <v>#NUM!</v>
      </c>
      <c r="J95" s="508" t="e">
        <v>#NUM!</v>
      </c>
      <c r="K95" s="7" t="e">
        <v>#NUM!</v>
      </c>
      <c r="L95" s="7" t="e">
        <v>#NUM!</v>
      </c>
      <c r="M95" s="7" t="e">
        <v>#NUM!</v>
      </c>
      <c r="N95" s="7" t="e">
        <v>#NUM!</v>
      </c>
      <c r="O95" s="7" t="e">
        <v>#DIV/0!</v>
      </c>
    </row>
    <row r="96" spans="1:15" ht="12.75">
      <c r="A96" s="1" t="s">
        <v>744</v>
      </c>
      <c r="B96" s="9">
        <f>'Return On Investment'!$D$34</f>
        <v>-1.0418059474128278</v>
      </c>
      <c r="E96" s="7">
        <v>-0.7906870190904624</v>
      </c>
      <c r="F96" s="7">
        <v>-0.7738317651241043</v>
      </c>
      <c r="G96" s="7">
        <v>-0.7569765111577472</v>
      </c>
      <c r="H96" s="7">
        <v>-0.7401212571913899</v>
      </c>
      <c r="I96" s="7">
        <v>-0.7232660032250325</v>
      </c>
      <c r="J96" s="508">
        <v>-0.7064111919853373</v>
      </c>
      <c r="K96" s="7">
        <v>-0.689563145713642</v>
      </c>
      <c r="L96" s="7">
        <v>-0.6727150994419464</v>
      </c>
      <c r="M96" s="7">
        <v>-0.6558670531702508</v>
      </c>
      <c r="N96" s="7">
        <v>-0.639019006898556</v>
      </c>
      <c r="O96" s="7">
        <v>-0.6221709606268597</v>
      </c>
    </row>
    <row r="97" spans="1:15" ht="12.75">
      <c r="A97" s="1" t="s">
        <v>745</v>
      </c>
      <c r="B97" s="9">
        <f>'Return On Investment'!$D$36</f>
        <v>-2.0836118948256557</v>
      </c>
      <c r="E97" s="7">
        <v>-1.5813740381809247</v>
      </c>
      <c r="F97" s="7">
        <v>-1.5476635302482087</v>
      </c>
      <c r="G97" s="7">
        <v>-1.5139530223154944</v>
      </c>
      <c r="H97" s="7">
        <v>-1.4802425143827798</v>
      </c>
      <c r="I97" s="7">
        <v>-1.446532006450065</v>
      </c>
      <c r="J97" s="508">
        <v>-1.4128223839706746</v>
      </c>
      <c r="K97" s="7">
        <v>-1.379126291427284</v>
      </c>
      <c r="L97" s="7">
        <v>-1.3454301988838928</v>
      </c>
      <c r="M97" s="7">
        <v>-1.3117341063405017</v>
      </c>
      <c r="N97" s="7">
        <v>-1.278038013797112</v>
      </c>
      <c r="O97" s="7">
        <v>-1.2443419212537195</v>
      </c>
    </row>
    <row r="98" spans="1:15" ht="12.75">
      <c r="A98" s="1" t="s">
        <v>831</v>
      </c>
      <c r="B98" s="15">
        <f>'Return On Investment'!$C$32</f>
      </c>
      <c r="J98" s="1" t="s">
        <v>832</v>
      </c>
    </row>
    <row r="100" ht="12.75">
      <c r="A100" s="236" t="s">
        <v>835</v>
      </c>
    </row>
    <row r="101" ht="12.75">
      <c r="D101" s="1" t="s">
        <v>551</v>
      </c>
    </row>
    <row r="102" spans="4:19" ht="12.75">
      <c r="D102" s="489">
        <v>4.5</v>
      </c>
      <c r="E102" s="489">
        <v>3.8</v>
      </c>
      <c r="F102" s="492">
        <v>3.85</v>
      </c>
      <c r="G102" s="489">
        <v>3.9</v>
      </c>
      <c r="H102" s="492">
        <v>3.95</v>
      </c>
      <c r="I102" s="489">
        <v>4</v>
      </c>
      <c r="J102" s="492">
        <v>4.05</v>
      </c>
      <c r="K102" s="489">
        <v>4.1</v>
      </c>
      <c r="L102" s="492">
        <v>4.15</v>
      </c>
      <c r="M102" s="489">
        <v>4.2</v>
      </c>
      <c r="N102" s="492">
        <v>4.25</v>
      </c>
      <c r="O102" s="489">
        <v>4.3</v>
      </c>
      <c r="P102" s="492">
        <v>4.35</v>
      </c>
      <c r="Q102" s="489">
        <v>4.4</v>
      </c>
      <c r="R102" s="492">
        <v>4.45</v>
      </c>
      <c r="S102" s="489">
        <v>4.5</v>
      </c>
    </row>
    <row r="103" spans="1:19" ht="12.75">
      <c r="A103" s="1" t="s">
        <v>828</v>
      </c>
      <c r="B103" s="301">
        <f>'Return On Investment'!$C$29</f>
        <v>-35248991.7049775</v>
      </c>
      <c r="D103" s="9"/>
      <c r="E103" s="500">
        <v>-63291069.76150085</v>
      </c>
      <c r="F103" s="501">
        <v>-59080737.870130934</v>
      </c>
      <c r="G103" s="500">
        <v>-54870405.97876106</v>
      </c>
      <c r="H103" s="500">
        <v>-50660074.08739115</v>
      </c>
      <c r="I103" s="500">
        <v>-46449742.19602128</v>
      </c>
      <c r="J103" s="500">
        <v>-42239410.30465137</v>
      </c>
      <c r="K103" s="500">
        <v>-38029078.413281456</v>
      </c>
      <c r="L103" s="500">
        <v>-33818982.03078418</v>
      </c>
      <c r="M103" s="500">
        <v>-29614704.352078933</v>
      </c>
      <c r="N103" s="500">
        <v>-25410426.67337363</v>
      </c>
      <c r="O103" s="500">
        <v>-21206148.99466843</v>
      </c>
      <c r="P103" s="500">
        <v>-17001871.315963194</v>
      </c>
      <c r="Q103" s="500">
        <v>-12797593.637257868</v>
      </c>
      <c r="R103" s="301">
        <v>-8593315.958552625</v>
      </c>
      <c r="S103" s="301">
        <v>-4389038.279847406</v>
      </c>
    </row>
    <row r="104" spans="1:19" ht="12.75">
      <c r="A104" s="1" t="s">
        <v>743</v>
      </c>
      <c r="B104" s="9" t="e">
        <f>'Return On Investment'!$C$30</f>
        <v>#NUM!</v>
      </c>
      <c r="D104" s="9"/>
      <c r="E104" s="9" t="e">
        <v>#NUM!</v>
      </c>
      <c r="F104" s="513" t="e">
        <v>#NUM!</v>
      </c>
      <c r="G104" s="9" t="e">
        <v>#DIV/0!</v>
      </c>
      <c r="H104" s="9" t="e">
        <v>#DIV/0!</v>
      </c>
      <c r="I104" s="9" t="e">
        <v>#DIV/0!</v>
      </c>
      <c r="J104" s="9" t="e">
        <v>#NUM!</v>
      </c>
      <c r="K104" s="9" t="e">
        <v>#NUM!</v>
      </c>
      <c r="L104" s="9" t="e">
        <v>#DIV/0!</v>
      </c>
      <c r="M104" s="9" t="e">
        <v>#DIV/0!</v>
      </c>
      <c r="N104" s="9" t="e">
        <v>#NUM!</v>
      </c>
      <c r="O104" s="9" t="e">
        <v>#DIV/0!</v>
      </c>
      <c r="P104" s="9" t="e">
        <v>#NUM!</v>
      </c>
      <c r="Q104" s="9" t="e">
        <v>#NUM!</v>
      </c>
      <c r="R104" s="7" t="e">
        <v>#DIV/0!</v>
      </c>
      <c r="S104" s="7" t="e">
        <v>#DIV/0!</v>
      </c>
    </row>
    <row r="105" spans="1:19" ht="12.75">
      <c r="A105" s="1" t="s">
        <v>744</v>
      </c>
      <c r="B105" s="9">
        <f>'Return On Investment'!$D$34</f>
        <v>-1.0418059474128278</v>
      </c>
      <c r="D105" s="9"/>
      <c r="E105" s="9">
        <v>-1.8075073216746023</v>
      </c>
      <c r="F105" s="513">
        <v>-1.6846517810276391</v>
      </c>
      <c r="G105" s="9">
        <v>-1.5617962403806778</v>
      </c>
      <c r="H105" s="9">
        <v>-1.4389406997337155</v>
      </c>
      <c r="I105" s="9">
        <v>-1.316085159086754</v>
      </c>
      <c r="J105" s="9">
        <v>-1.193229618439791</v>
      </c>
      <c r="K105" s="9">
        <v>-1.0703740777928281</v>
      </c>
      <c r="L105" s="9">
        <v>-0.9475205927208504</v>
      </c>
      <c r="M105" s="9">
        <v>-0.824717894618497</v>
      </c>
      <c r="N105" s="9">
        <v>-0.7019151965161423</v>
      </c>
      <c r="O105" s="9">
        <v>-0.5791124984137906</v>
      </c>
      <c r="P105" s="9">
        <v>-0.4563098003114379</v>
      </c>
      <c r="Q105" s="9">
        <v>-0.33350710220908253</v>
      </c>
      <c r="R105" s="7">
        <v>-0.21070440410672955</v>
      </c>
      <c r="S105" s="7">
        <v>-0.08790170600437743</v>
      </c>
    </row>
    <row r="106" spans="1:19" ht="12.75">
      <c r="A106" s="1" t="s">
        <v>745</v>
      </c>
      <c r="B106" s="9">
        <f>'Return On Investment'!$D$36</f>
        <v>-2.0836118948256557</v>
      </c>
      <c r="D106" s="9"/>
      <c r="E106" s="9">
        <v>-3.6150146433492045</v>
      </c>
      <c r="F106" s="513">
        <v>-3.3693035620552783</v>
      </c>
      <c r="G106" s="9">
        <v>-3.1235924807613555</v>
      </c>
      <c r="H106" s="9">
        <v>-2.877881399467431</v>
      </c>
      <c r="I106" s="9">
        <v>-2.632170318173508</v>
      </c>
      <c r="J106" s="9">
        <v>-2.386459236879582</v>
      </c>
      <c r="K106" s="9">
        <v>-2.1407481555856562</v>
      </c>
      <c r="L106" s="9">
        <v>-1.8950411854417009</v>
      </c>
      <c r="M106" s="9">
        <v>-1.649435789236994</v>
      </c>
      <c r="N106" s="9">
        <v>-1.4038303930322846</v>
      </c>
      <c r="O106" s="9">
        <v>-1.1582249968275813</v>
      </c>
      <c r="P106" s="9">
        <v>-0.9126196006228758</v>
      </c>
      <c r="Q106" s="9">
        <v>-0.6670142044181651</v>
      </c>
      <c r="R106" s="7">
        <v>-0.4214088082134591</v>
      </c>
      <c r="S106" s="7">
        <v>-0.17580341200875485</v>
      </c>
    </row>
    <row r="107" spans="1:19" ht="12.75">
      <c r="A107" s="1" t="s">
        <v>831</v>
      </c>
      <c r="B107" s="15">
        <f>'Return On Investment'!$C$32</f>
      </c>
      <c r="C107" s="239"/>
      <c r="D107" s="15"/>
      <c r="E107" s="15" t="s">
        <v>832</v>
      </c>
      <c r="F107" s="514" t="s">
        <v>832</v>
      </c>
      <c r="G107" s="15" t="s">
        <v>832</v>
      </c>
      <c r="H107" s="15" t="s">
        <v>832</v>
      </c>
      <c r="I107" s="15" t="s">
        <v>832</v>
      </c>
      <c r="J107" s="15" t="s">
        <v>832</v>
      </c>
      <c r="K107" s="15" t="s">
        <v>832</v>
      </c>
      <c r="L107" s="15" t="s">
        <v>832</v>
      </c>
      <c r="M107" s="15" t="s">
        <v>832</v>
      </c>
      <c r="N107" s="15" t="s">
        <v>832</v>
      </c>
      <c r="O107" s="15" t="s">
        <v>832</v>
      </c>
      <c r="P107" s="15" t="s">
        <v>832</v>
      </c>
      <c r="Q107" s="15" t="s">
        <v>832</v>
      </c>
      <c r="R107" s="239" t="s">
        <v>832</v>
      </c>
      <c r="S107" s="239" t="s">
        <v>832</v>
      </c>
    </row>
    <row r="109" ht="12.75">
      <c r="A109" s="236" t="s">
        <v>836</v>
      </c>
    </row>
    <row r="110" ht="12.75">
      <c r="D110" s="1" t="s">
        <v>551</v>
      </c>
    </row>
    <row r="111" spans="4:19" ht="12.75">
      <c r="D111" s="489">
        <v>0.679999999999999</v>
      </c>
      <c r="E111" s="489">
        <v>0.4</v>
      </c>
      <c r="F111" s="492">
        <v>0.42</v>
      </c>
      <c r="G111" s="489">
        <v>0.44</v>
      </c>
      <c r="H111" s="492">
        <v>0.46</v>
      </c>
      <c r="I111" s="489">
        <v>0.48</v>
      </c>
      <c r="J111" s="492">
        <v>0.5</v>
      </c>
      <c r="K111" s="489">
        <v>0.52</v>
      </c>
      <c r="L111" s="409">
        <v>0.54</v>
      </c>
      <c r="M111" s="489">
        <v>0.56</v>
      </c>
      <c r="N111" s="492">
        <v>0.58</v>
      </c>
      <c r="O111" s="489">
        <v>0.6</v>
      </c>
      <c r="P111" s="492">
        <v>0.62</v>
      </c>
      <c r="Q111" s="489">
        <v>0.64</v>
      </c>
      <c r="R111" s="492">
        <v>0.66</v>
      </c>
      <c r="S111" s="489">
        <v>0.679999999999999</v>
      </c>
    </row>
    <row r="112" spans="1:19" ht="12.75">
      <c r="A112" s="1" t="s">
        <v>828</v>
      </c>
      <c r="B112" s="301">
        <f>'Return On Investment'!$C$29</f>
        <v>-35248991.7049775</v>
      </c>
      <c r="D112" s="9"/>
      <c r="E112" s="500">
        <v>-11284053.672923965</v>
      </c>
      <c r="F112" s="501">
        <v>-24065057.816187967</v>
      </c>
      <c r="G112" s="500">
        <v>-36850185.48369783</v>
      </c>
      <c r="H112" s="501">
        <v>-49649594.43346234</v>
      </c>
      <c r="I112" s="500">
        <v>-62449003.38322684</v>
      </c>
      <c r="J112" s="500">
        <v>-75248412.3329913</v>
      </c>
      <c r="K112" s="500">
        <v>-88047821.28275585</v>
      </c>
      <c r="L112" s="504">
        <v>-100847230.23252031</v>
      </c>
      <c r="M112" s="500">
        <v>-113646639.1822849</v>
      </c>
      <c r="N112" s="500">
        <v>-126446048.1320493</v>
      </c>
      <c r="O112" s="500">
        <v>-139245457.08181375</v>
      </c>
      <c r="P112" s="500">
        <v>-152044866.0315782</v>
      </c>
      <c r="Q112" s="500">
        <v>-164844274.9813428</v>
      </c>
      <c r="R112" s="301">
        <v>-177643683.9311074</v>
      </c>
      <c r="S112" s="301">
        <v>-190443092.88087124</v>
      </c>
    </row>
    <row r="113" spans="1:19" ht="12.75">
      <c r="A113" s="1" t="s">
        <v>743</v>
      </c>
      <c r="B113" s="9" t="e">
        <f>'Return On Investment'!$C$30</f>
        <v>#NUM!</v>
      </c>
      <c r="D113" s="9"/>
      <c r="E113" s="9" t="e">
        <v>#DIV/0!</v>
      </c>
      <c r="F113" s="513" t="e">
        <v>#NUM!</v>
      </c>
      <c r="G113" s="9" t="e">
        <v>#NUM!</v>
      </c>
      <c r="H113" s="513" t="e">
        <v>#DIV/0!</v>
      </c>
      <c r="I113" s="9" t="e">
        <v>#NUM!</v>
      </c>
      <c r="J113" s="9" t="e">
        <v>#DIV/0!</v>
      </c>
      <c r="K113" s="9" t="e">
        <v>#DIV/0!</v>
      </c>
      <c r="L113" s="505" t="e">
        <v>#NUM!</v>
      </c>
      <c r="M113" s="9" t="e">
        <v>#DIV/0!</v>
      </c>
      <c r="N113" s="9" t="e">
        <v>#DIV/0!</v>
      </c>
      <c r="O113" s="9" t="e">
        <v>#DIV/0!</v>
      </c>
      <c r="P113" s="9" t="e">
        <v>#NUM!</v>
      </c>
      <c r="Q113" s="9" t="e">
        <v>#NUM!</v>
      </c>
      <c r="R113" s="7" t="e">
        <v>#DIV/0!</v>
      </c>
      <c r="S113" s="7" t="e">
        <v>#DIV/0!</v>
      </c>
    </row>
    <row r="114" spans="1:19" ht="12.75">
      <c r="A114" s="1" t="s">
        <v>744</v>
      </c>
      <c r="B114" s="9">
        <f>'Return On Investment'!$D$34</f>
        <v>-1.0418059474128278</v>
      </c>
      <c r="D114" s="9"/>
      <c r="E114" s="9">
        <v>-0.28929813089223494</v>
      </c>
      <c r="F114" s="513">
        <v>-0.6626183331233898</v>
      </c>
      <c r="G114" s="9">
        <v>-1.035974526411677</v>
      </c>
      <c r="H114" s="513">
        <v>-1.409455369978443</v>
      </c>
      <c r="I114" s="9">
        <v>-1.7829362135452087</v>
      </c>
      <c r="J114" s="9">
        <v>-2.1564170571119736</v>
      </c>
      <c r="K114" s="9">
        <v>-2.5298979006787405</v>
      </c>
      <c r="L114" s="505">
        <v>-2.9033787442455052</v>
      </c>
      <c r="M114" s="9">
        <v>-3.276859587812273</v>
      </c>
      <c r="N114" s="9">
        <v>-3.6503404313790364</v>
      </c>
      <c r="O114" s="9">
        <v>-4.0238212749458</v>
      </c>
      <c r="P114" s="9">
        <v>-4.397302118512565</v>
      </c>
      <c r="Q114" s="9">
        <v>-4.770782962079332</v>
      </c>
      <c r="R114" s="7">
        <v>-5.144263805646101</v>
      </c>
      <c r="S114" s="7">
        <v>-5.517744649212847</v>
      </c>
    </row>
    <row r="115" spans="1:19" ht="12.75">
      <c r="A115" s="1" t="s">
        <v>745</v>
      </c>
      <c r="B115" s="9">
        <f>'Return On Investment'!$D$36</f>
        <v>-2.0836118948256557</v>
      </c>
      <c r="D115" s="9"/>
      <c r="E115" s="9">
        <v>-0.5785962617844699</v>
      </c>
      <c r="F115" s="513">
        <v>-1.3252366662467796</v>
      </c>
      <c r="G115" s="9">
        <v>-2.071949052823354</v>
      </c>
      <c r="H115" s="513">
        <v>-2.818910739956886</v>
      </c>
      <c r="I115" s="9">
        <v>-3.5658724270904174</v>
      </c>
      <c r="J115" s="9">
        <v>-4.312834114223947</v>
      </c>
      <c r="K115" s="9">
        <v>-5.059795801357481</v>
      </c>
      <c r="L115" s="505">
        <v>-5.8067574884910105</v>
      </c>
      <c r="M115" s="9">
        <v>-6.553719175624546</v>
      </c>
      <c r="N115" s="9">
        <v>-7.300680862758073</v>
      </c>
      <c r="O115" s="9">
        <v>-8.0476425498916</v>
      </c>
      <c r="P115" s="9">
        <v>-8.79460423702513</v>
      </c>
      <c r="Q115" s="9">
        <v>-9.541565924158665</v>
      </c>
      <c r="R115" s="7">
        <v>-10.288527611292203</v>
      </c>
      <c r="S115" s="7">
        <v>-11.035489298425693</v>
      </c>
    </row>
    <row r="116" spans="1:19" ht="12.75">
      <c r="A116" s="1" t="s">
        <v>831</v>
      </c>
      <c r="B116" s="15">
        <f>'Return On Investment'!$C$32</f>
      </c>
      <c r="C116" s="239"/>
      <c r="D116" s="15"/>
      <c r="E116" s="15" t="s">
        <v>832</v>
      </c>
      <c r="F116" s="514" t="s">
        <v>832</v>
      </c>
      <c r="G116" s="15" t="s">
        <v>832</v>
      </c>
      <c r="H116" s="514" t="s">
        <v>832</v>
      </c>
      <c r="I116" s="15" t="s">
        <v>832</v>
      </c>
      <c r="J116" s="15" t="s">
        <v>832</v>
      </c>
      <c r="K116" s="15" t="s">
        <v>832</v>
      </c>
      <c r="L116" s="506" t="s">
        <v>832</v>
      </c>
      <c r="M116" s="15" t="s">
        <v>832</v>
      </c>
      <c r="N116" s="15" t="s">
        <v>832</v>
      </c>
      <c r="O116" s="15" t="s">
        <v>832</v>
      </c>
      <c r="P116" s="15" t="s">
        <v>832</v>
      </c>
      <c r="Q116" s="15" t="s">
        <v>832</v>
      </c>
      <c r="R116" s="239" t="s">
        <v>832</v>
      </c>
      <c r="S116" s="239" t="s">
        <v>832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zoomScalePageLayoutView="0" workbookViewId="0" topLeftCell="C1">
      <selection activeCell="F14" sqref="F14"/>
    </sheetView>
  </sheetViews>
  <sheetFormatPr defaultColWidth="9.140625" defaultRowHeight="12.75"/>
  <cols>
    <col min="1" max="1" width="41.7109375" style="0" customWidth="1"/>
    <col min="2" max="2" width="10.140625" style="0" bestFit="1" customWidth="1"/>
    <col min="3" max="4" width="11.140625" style="0" bestFit="1" customWidth="1"/>
    <col min="5" max="5" width="12.28125" style="0" customWidth="1"/>
    <col min="6" max="6" width="38.421875" style="0" customWidth="1"/>
    <col min="7" max="7" width="17.28125" style="0" bestFit="1" customWidth="1"/>
    <col min="8" max="8" width="17.421875" style="0" bestFit="1" customWidth="1"/>
    <col min="9" max="9" width="11.140625" style="0" bestFit="1" customWidth="1"/>
  </cols>
  <sheetData>
    <row r="1" spans="1:11" ht="12.75">
      <c r="A1" s="435" t="s">
        <v>791</v>
      </c>
      <c r="B1" s="435"/>
      <c r="C1" s="435"/>
      <c r="D1" s="435"/>
      <c r="E1" s="435"/>
      <c r="F1" s="493" t="s">
        <v>811</v>
      </c>
      <c r="H1" s="488"/>
      <c r="I1" s="488"/>
      <c r="J1" s="488"/>
      <c r="K1" s="488"/>
    </row>
    <row r="3" spans="1:8" ht="12.75">
      <c r="A3" s="434" t="s">
        <v>755</v>
      </c>
      <c r="B3" s="434"/>
      <c r="G3" s="17" t="s">
        <v>812</v>
      </c>
      <c r="H3" s="17" t="s">
        <v>814</v>
      </c>
    </row>
    <row r="4" spans="7:8" ht="12.75">
      <c r="G4" s="17" t="s">
        <v>813</v>
      </c>
      <c r="H4" s="17" t="s">
        <v>815</v>
      </c>
    </row>
    <row r="5" spans="1:8" ht="12.75">
      <c r="A5" s="1" t="s">
        <v>758</v>
      </c>
      <c r="F5" t="s">
        <v>807</v>
      </c>
      <c r="G5" s="6">
        <f>AVERAGE(SUM('Market Projection'!F40:F42),SUM('Market Projection'!G40:G42),SUM('Market Projection'!H40:H42),SUM('Market Projection'!I40:I42),SUM('Market Projection'!J40:J42),SUM('Market Projection'!K40:K42),SUM('Market Projection'!L40:L42),SUM('Market Projection'!M40:M42),SUM('Market Projection'!N40:N42),SUM('Market Projection'!O40:O42))/'Input Value'!F23</f>
        <v>0</v>
      </c>
      <c r="H5" s="489">
        <f>AVERAGE(SUM('Market Projection'!F40:F42),SUM('Market Projection'!G40:G42),SUM('Market Projection'!H40:H42),SUM('Market Projection'!I40:I42),SUM('Market Projection'!J40:J42),SUM('Market Projection'!K40:K42),SUM('Market Projection'!L40:L42),SUM('Market Projection'!M40:M42),SUM('Market Projection'!N40:N42),SUM('Market Projection'!O40:O42))/'Input Value'!M37</f>
        <v>0</v>
      </c>
    </row>
    <row r="6" spans="2:9" ht="12.75">
      <c r="B6" s="1" t="str">
        <f>'Input Value'!I28</f>
        <v>Soybeans</v>
      </c>
      <c r="C6" s="1" t="str">
        <f>'Input Value'!J28</f>
        <v>Canola</v>
      </c>
      <c r="D6" s="1" t="str">
        <f>'Input Value'!K28</f>
        <v>Sunflowers</v>
      </c>
      <c r="F6" t="s">
        <v>808</v>
      </c>
      <c r="G6" s="489">
        <f>AVERAGE(SUM('Market Projection'!F37:F39),SUM('Market Projection'!G37:G39),SUM('Market Projection'!H37:H39),SUM('Market Projection'!I37:I39),SUM('Market Projection'!J37:J39),SUM('Market Projection'!K37:K39),SUM('Market Projection'!L37:L39),SUM('Market Projection'!M37:M39),SUM('Market Projection'!N37:N39),SUM('Market Projection'!O37:O39))/'Input Value'!F23</f>
        <v>1.4108715280380393</v>
      </c>
      <c r="H6" s="489">
        <f>AVERAGE(SUM('Market Projection'!F37:F39),SUM('Market Projection'!G37:G39),SUM('Market Projection'!H37:H39),SUM('Market Projection'!I37:I39),SUM('Market Projection'!J37:J39),SUM('Market Projection'!K37:K39),SUM('Market Projection'!L37:L39),SUM('Market Projection'!M37:M39),SUM('Market Projection'!N37:N39),SUM('Market Projection'!O37:O39))/'Input Value'!M37</f>
        <v>158.66751327463328</v>
      </c>
      <c r="I6" s="1"/>
    </row>
    <row r="7" spans="1:9" ht="12.75">
      <c r="A7" t="s">
        <v>561</v>
      </c>
      <c r="B7" s="449">
        <f>'Input Value'!J37</f>
        <v>0</v>
      </c>
      <c r="C7" s="449">
        <f>'Input Value'!K37</f>
        <v>44460</v>
      </c>
      <c r="D7" s="449">
        <f>'Input Value'!L37</f>
        <v>0</v>
      </c>
      <c r="F7" t="s">
        <v>797</v>
      </c>
      <c r="G7" s="490">
        <f>AVERAGE('Market Projection'!F44:O44)/'Input Value'!F23</f>
        <v>3.5885389016043154</v>
      </c>
      <c r="H7" s="492">
        <f>AVERAGE('Market Projection'!F44:O44)/'Input Value'!M37</f>
        <v>403.56937714848357</v>
      </c>
      <c r="I7" s="16"/>
    </row>
    <row r="8" spans="1:8" ht="12.75">
      <c r="A8" t="s">
        <v>756</v>
      </c>
      <c r="B8" s="358">
        <f>'Input Value'!I75*B7</f>
        <v>0</v>
      </c>
      <c r="C8" s="358">
        <f>'Input Value'!J75*C7</f>
        <v>24719048.639999997</v>
      </c>
      <c r="D8" s="358">
        <f>'Input Value'!K75*D7</f>
        <v>0</v>
      </c>
      <c r="F8" t="s">
        <v>798</v>
      </c>
      <c r="G8" s="6">
        <f>AVERAGE('Market Projection'!F45:O45)/'Input Value'!F23</f>
        <v>0.14379788027143006</v>
      </c>
      <c r="H8" s="496">
        <f>AVERAGE('Market Projection'!F45:O45)/'Input Value'!M37</f>
        <v>16.171601470021375</v>
      </c>
    </row>
    <row r="9" spans="1:8" ht="12.75">
      <c r="A9" t="s">
        <v>762</v>
      </c>
      <c r="B9" s="358">
        <f>'Input Value'!I77*B7</f>
        <v>0</v>
      </c>
      <c r="C9" s="358">
        <f>'Input Value'!J77*C7</f>
        <v>3252506.4</v>
      </c>
      <c r="D9" s="358">
        <f>'Input Value'!K77*D7</f>
        <v>0</v>
      </c>
      <c r="F9" s="1" t="s">
        <v>429</v>
      </c>
      <c r="G9" s="227">
        <f>SUM(G5:G8)</f>
        <v>5.143208309913785</v>
      </c>
      <c r="H9" s="409">
        <f>SUM(H5:H8)</f>
        <v>578.4084918931383</v>
      </c>
    </row>
    <row r="10" spans="1:8" ht="12.75">
      <c r="A10" t="s">
        <v>757</v>
      </c>
      <c r="B10" s="358">
        <f>'Input Value'!I80*B7</f>
        <v>0</v>
      </c>
      <c r="C10" s="358">
        <f>'Input Value'!J80*C7</f>
        <v>31655.875679999997</v>
      </c>
      <c r="D10" s="358">
        <f>'Input Value'!K80*D7</f>
        <v>0</v>
      </c>
      <c r="F10" s="161" t="s">
        <v>809</v>
      </c>
      <c r="G10" s="495">
        <f>AVERAGE('Market Projection'!F64:O64)/'Input Value'!F23</f>
        <v>0.632963858737787</v>
      </c>
      <c r="H10" s="489">
        <f>AVERAGE('Market Projection'!F64:O64)/'Input Value'!M37</f>
        <v>71.18351987604443</v>
      </c>
    </row>
    <row r="11" spans="2:8" ht="12.75">
      <c r="B11" s="358"/>
      <c r="C11" s="358"/>
      <c r="D11" s="358"/>
      <c r="F11" s="161" t="s">
        <v>841</v>
      </c>
      <c r="G11" s="495">
        <f>AVERAGE('Market Projection'!F65:O65)/'Input Value'!F23</f>
        <v>0.013421135492000141</v>
      </c>
      <c r="H11" s="489">
        <f>AVERAGE('Market Projection'!F65:O65)/'Input Value'!M37</f>
        <v>1.5093494705353285</v>
      </c>
    </row>
    <row r="12" spans="1:8" ht="12.75">
      <c r="A12" s="1" t="s">
        <v>759</v>
      </c>
      <c r="B12" s="358"/>
      <c r="C12" s="358"/>
      <c r="D12" s="358"/>
      <c r="F12" s="161" t="s">
        <v>805</v>
      </c>
      <c r="G12" s="495">
        <f>AVERAGE(SUM('Market Projection'!F60:F63),SUM('Market Projection'!G60:G63),SUM('Market Projection'!H60:H63),SUM('Market Projection'!I60:I63),SUM('Market Projection'!J60:J63),SUM('Market Projection'!K60:K63),SUM('Market Projection'!L60:L63),SUM('Market Projection'!M60:M63),SUM('Market Projection'!N60:N63),SUM('Market Projection'!O60:O63))/'Input Value'!F23</f>
        <v>4.974499211276793</v>
      </c>
      <c r="H12" s="489">
        <f>AVERAGE(SUM('Market Projection'!F60:F63),SUM('Market Projection'!G60:G63),SUM('Market Projection'!H60:H63),SUM('Market Projection'!I60:I63),SUM('Market Projection'!J60:J63),SUM('Market Projection'!K60:K63),SUM('Market Projection'!L60:L63),SUM('Market Projection'!M60:M63),SUM('Market Projection'!N60:N63),SUM('Market Projection'!O60:O63))/'Input Value'!M37</f>
        <v>559.4353588930267</v>
      </c>
    </row>
    <row r="13" spans="1:8" ht="12.75">
      <c r="A13" t="s">
        <v>763</v>
      </c>
      <c r="B13" s="358"/>
      <c r="C13" s="358"/>
      <c r="D13" s="358"/>
      <c r="F13" s="1" t="s">
        <v>379</v>
      </c>
      <c r="G13" s="227">
        <f>G9-G10-G11-G12</f>
        <v>-0.4776758955927951</v>
      </c>
      <c r="H13" s="227">
        <f>H9-H10-H11-H12</f>
        <v>-53.71973634646815</v>
      </c>
    </row>
    <row r="14" spans="1:8" ht="12.75">
      <c r="A14" t="s">
        <v>767</v>
      </c>
      <c r="B14" s="358">
        <f>'Input Value'!I77*B7</f>
        <v>0</v>
      </c>
      <c r="C14" s="358">
        <f>'Input Value'!J77*C7</f>
        <v>3252506.4</v>
      </c>
      <c r="D14" s="358">
        <f>'Input Value'!K77*D7</f>
        <v>0</v>
      </c>
      <c r="F14" t="s">
        <v>799</v>
      </c>
      <c r="G14" s="408">
        <f>AVERAGE('Operations Summary'!D19:M19)/'Input Value'!F23</f>
        <v>0</v>
      </c>
      <c r="H14" s="489">
        <f>AVERAGE('Operations Summary'!D19:M19)/'Input Value'!M37</f>
        <v>0</v>
      </c>
    </row>
    <row r="15" spans="1:8" ht="12.75">
      <c r="A15" t="s">
        <v>764</v>
      </c>
      <c r="B15" s="358">
        <f>B19*('Engineering Calcs'!$K$15/100-'Engineering Calcs'!$O$19)</f>
        <v>0</v>
      </c>
      <c r="C15" s="358">
        <f>C19*('Engineering Calcs'!$K$15/100-'Engineering Calcs'!$O$19)</f>
        <v>715551.4079999999</v>
      </c>
      <c r="D15" s="358">
        <f>D19*('Engineering Calcs'!$K$15/100-'Engineering Calcs'!$O$19)</f>
        <v>0</v>
      </c>
      <c r="F15" s="1" t="s">
        <v>810</v>
      </c>
      <c r="G15" s="227">
        <f>SUM(G13:G14)</f>
        <v>-0.4776758955927951</v>
      </c>
      <c r="H15" s="227">
        <f>SUM(H13:H14)</f>
        <v>-53.71973634646815</v>
      </c>
    </row>
    <row r="16" spans="1:8" ht="12.75">
      <c r="A16" t="s">
        <v>770</v>
      </c>
      <c r="B16" s="358">
        <f>B19*'Engineering Calcs'!$D$21*'Engineering Calcs'!$C$28</f>
        <v>0</v>
      </c>
      <c r="C16" s="358">
        <f>C19*'Engineering Calcs'!$D$21*'Engineering Calcs'!$C$28</f>
        <v>238421.7291456</v>
      </c>
      <c r="D16" s="358">
        <f>D19*'Engineering Calcs'!$D$21*'Engineering Calcs'!$C$28</f>
        <v>0</v>
      </c>
      <c r="H16" s="489"/>
    </row>
    <row r="17" spans="2:8" ht="12.75">
      <c r="B17" s="358"/>
      <c r="C17" s="358"/>
      <c r="D17" s="358"/>
      <c r="F17" t="s">
        <v>800</v>
      </c>
      <c r="G17" s="491">
        <f>AVERAGE('Expense Projection'!E17:N17)/'Input Value'!F23</f>
        <v>0.15181507374169065</v>
      </c>
      <c r="H17" s="489">
        <f>AVERAGE('Expense Projection'!E17:N17)/'Input Value'!M37</f>
        <v>17.07322016888109</v>
      </c>
    </row>
    <row r="18" spans="1:8" ht="12.75">
      <c r="A18" t="s">
        <v>765</v>
      </c>
      <c r="B18" s="358"/>
      <c r="C18" s="358"/>
      <c r="D18" s="358"/>
      <c r="F18" t="s">
        <v>806</v>
      </c>
      <c r="G18" s="491">
        <f>AVERAGE('Expense Projection'!E24:N24)/'Input Value'!F23</f>
        <v>0.09326619347333333</v>
      </c>
      <c r="H18" s="489">
        <f>AVERAGE('Expense Projection'!E24:N24)/'Input Value'!M37</f>
        <v>10.48877569425701</v>
      </c>
    </row>
    <row r="19" spans="1:8" ht="12.75">
      <c r="A19" t="s">
        <v>766</v>
      </c>
      <c r="B19" s="358">
        <f>B14</f>
        <v>0</v>
      </c>
      <c r="C19" s="358">
        <f>C14</f>
        <v>3252506.4</v>
      </c>
      <c r="D19" s="358">
        <f>D14</f>
        <v>0</v>
      </c>
      <c r="F19" t="s">
        <v>362</v>
      </c>
      <c r="G19" s="489">
        <f>AVERAGE('Expense Projection'!E35:N35)/'Input Value'!F23</f>
        <v>0.2012519684251349</v>
      </c>
      <c r="H19" s="489">
        <f>AVERAGE('Expense Projection'!E35:N35)/'Input Value'!M37</f>
        <v>22.632924924104238</v>
      </c>
    </row>
    <row r="20" spans="1:8" ht="12.75">
      <c r="A20" t="s">
        <v>877</v>
      </c>
      <c r="B20" s="358">
        <f>B19*'Engineering Calcs'!$D$21*'Engineering Calcs'!$C$18</f>
        <v>0</v>
      </c>
      <c r="C20" s="358">
        <f>C19*'Engineering Calcs'!$D$21*'Engineering Calcs'!$C$18</f>
        <v>2384217.291456</v>
      </c>
      <c r="D20" s="358">
        <f>D19*'Engineering Calcs'!$D$21*'Engineering Calcs'!$C$18</f>
        <v>0</v>
      </c>
      <c r="F20" s="1" t="s">
        <v>801</v>
      </c>
      <c r="G20" s="409">
        <f>SUM(G17:G19)</f>
        <v>0.4463332356401589</v>
      </c>
      <c r="H20" s="409">
        <f>SUM(H17:H19)</f>
        <v>50.19492078724234</v>
      </c>
    </row>
    <row r="21" spans="6:8" ht="12.75">
      <c r="F21" t="s">
        <v>364</v>
      </c>
      <c r="G21" s="489">
        <f>AVERAGE('Expense Projection'!E40:N40)/'Input Value'!$F$23</f>
        <v>0.045515920728571434</v>
      </c>
      <c r="H21" s="489">
        <f>AVERAGE('Expense Projection'!E40:N40)/'Input Value'!M37</f>
        <v>5.118749519632415</v>
      </c>
    </row>
    <row r="22" spans="1:8" ht="12.75">
      <c r="A22" s="435" t="s">
        <v>873</v>
      </c>
      <c r="F22" t="s">
        <v>366</v>
      </c>
      <c r="G22" s="489">
        <f>AVERAGE('Expense Projection'!E42:N42)/'Input Value'!$F$23</f>
        <v>0.010441184145714285</v>
      </c>
      <c r="H22" s="489">
        <f>AVERAGE('Expense Projection'!E42:N42)/'Input Value'!M37</f>
        <v>1.174222238609344</v>
      </c>
    </row>
    <row r="23" spans="6:8" ht="12.75">
      <c r="F23" t="s">
        <v>802</v>
      </c>
      <c r="G23" s="489">
        <f>AVERAGE('Expense Projection'!E44:N44)/'Input Value'!$F$23</f>
        <v>0.010461184145714286</v>
      </c>
      <c r="H23" s="489">
        <f>AVERAGE('Expense Projection'!E44:N44)/'Input Value'!M37</f>
        <v>1.1764714513848724</v>
      </c>
    </row>
    <row r="24" spans="1:8" ht="12.75">
      <c r="A24" t="s">
        <v>763</v>
      </c>
      <c r="F24" t="s">
        <v>372</v>
      </c>
      <c r="G24" s="489">
        <f>AVERAGE('Expense Projection'!E46:N46)/'Input Value'!$F$23</f>
        <v>0.08469683625401753</v>
      </c>
      <c r="H24" s="489">
        <f>AVERAGE('Expense Projection'!E46:N46)/'Input Value'!M37</f>
        <v>9.525060307469357</v>
      </c>
    </row>
    <row r="25" spans="1:8" ht="12.75">
      <c r="A25" t="s">
        <v>874</v>
      </c>
      <c r="B25" s="358">
        <f>'Input Value'!M47</f>
        <v>1747493.6</v>
      </c>
      <c r="F25" t="s">
        <v>344</v>
      </c>
      <c r="G25" s="489">
        <f>AVERAGE('Expense Projection'!E48:N48)/'Input Value'!$F$23</f>
        <v>0.026146444983620197</v>
      </c>
      <c r="H25" s="489">
        <f>AVERAGE('Expense Projection'!E48:N48)/'Input Value'!M37</f>
        <v>2.9404459045906655</v>
      </c>
    </row>
    <row r="26" spans="1:8" ht="12.75">
      <c r="A26" t="s">
        <v>764</v>
      </c>
      <c r="B26" s="358">
        <f>B25*('Engineering Calcs'!$K$15/100-'Engineering Calcs'!$O$19)</f>
        <v>384448.59199999995</v>
      </c>
      <c r="F26" t="s">
        <v>597</v>
      </c>
      <c r="G26" s="489">
        <f>AVERAGE('Expense Projection'!E52:N52)/'Input Value'!$F$23</f>
        <v>0.001</v>
      </c>
      <c r="H26" s="489">
        <f>AVERAGE('Expense Projection'!E52:N52)/'Input Value'!M37</f>
        <v>0.11246063877642826</v>
      </c>
    </row>
    <row r="27" spans="1:8" ht="12.75">
      <c r="A27" t="s">
        <v>875</v>
      </c>
      <c r="B27" s="358">
        <f>B30*'Engineering Calcs'!$D$21*'Engineering Calcs'!$C$28</f>
        <v>128098.2708544</v>
      </c>
      <c r="F27" s="1" t="s">
        <v>803</v>
      </c>
      <c r="G27" s="409">
        <f>SUM(G21:G26)</f>
        <v>0.17826157025763775</v>
      </c>
      <c r="H27" s="409">
        <f>SUM(H21:H26)</f>
        <v>20.04741006046308</v>
      </c>
    </row>
    <row r="28" spans="6:8" ht="12.75">
      <c r="F28" s="161" t="s">
        <v>367</v>
      </c>
      <c r="G28" s="492">
        <f>AVERAGE('Expense Projection'!E63:N63)/'Input Value'!F23</f>
        <v>0.00972</v>
      </c>
      <c r="H28" s="489">
        <f>AVERAGE('Expense Projection'!E63:N63)/'Input Value'!M37</f>
        <v>1.0931174089068827</v>
      </c>
    </row>
    <row r="29" spans="1:8" ht="12.75">
      <c r="A29" t="s">
        <v>765</v>
      </c>
      <c r="F29" s="161" t="s">
        <v>374</v>
      </c>
      <c r="G29" s="492">
        <f>AVERAGE('Expense Projection'!E65:N65)/'Input Value'!F23</f>
        <v>0</v>
      </c>
      <c r="H29" s="489">
        <f>AVERAGE('Expense Projection'!E65:N65)/'Input Value'!M37</f>
        <v>0</v>
      </c>
    </row>
    <row r="30" spans="1:8" ht="12.75">
      <c r="A30" t="s">
        <v>876</v>
      </c>
      <c r="B30" s="358">
        <f>'Input Value'!F23-SUM(B19:D19)</f>
        <v>1747493.6</v>
      </c>
      <c r="F30" s="1" t="s">
        <v>480</v>
      </c>
      <c r="G30" s="409">
        <f>SUM(G28:G29)</f>
        <v>0.00972</v>
      </c>
      <c r="H30" s="409">
        <f>SUM(H28:H29)</f>
        <v>1.0931174089068827</v>
      </c>
    </row>
    <row r="31" spans="1:8" ht="12.75">
      <c r="A31" t="s">
        <v>877</v>
      </c>
      <c r="B31" s="358">
        <f>B30*'Engineering Calcs'!$D$21*'Engineering Calcs'!$C$18</f>
        <v>1280982.708544</v>
      </c>
      <c r="F31" s="1" t="s">
        <v>804</v>
      </c>
      <c r="G31" s="409">
        <f>G20+G27+G30</f>
        <v>0.6343148058977967</v>
      </c>
      <c r="H31" s="409">
        <f>H20+H27+H30</f>
        <v>71.3354482566123</v>
      </c>
    </row>
    <row r="33" spans="1:8" ht="12.75">
      <c r="A33" s="435" t="s">
        <v>878</v>
      </c>
      <c r="F33" s="1" t="s">
        <v>750</v>
      </c>
      <c r="G33" s="227">
        <f>G15-G31</f>
        <v>-1.1119907014905919</v>
      </c>
      <c r="H33" s="227">
        <f>H15-H31</f>
        <v>-125.05518460308045</v>
      </c>
    </row>
    <row r="34" ht="12.75">
      <c r="F34" s="67"/>
    </row>
    <row r="35" spans="1:6" ht="12.75">
      <c r="A35" t="s">
        <v>763</v>
      </c>
      <c r="F35" s="67"/>
    </row>
    <row r="36" spans="1:6" ht="12.75">
      <c r="A36" t="s">
        <v>879</v>
      </c>
      <c r="B36" s="358">
        <f>B25+SUM(B14:D14)</f>
        <v>5000000</v>
      </c>
      <c r="F36" s="67"/>
    </row>
    <row r="37" spans="1:6" ht="12.75">
      <c r="A37" t="s">
        <v>764</v>
      </c>
      <c r="B37" s="358">
        <f>B26+SUM(B15:D15)</f>
        <v>1100000</v>
      </c>
      <c r="F37" s="67"/>
    </row>
    <row r="38" spans="1:6" ht="12.75">
      <c r="A38" t="s">
        <v>880</v>
      </c>
      <c r="B38" s="358">
        <f>B27+SUM(B16:D16)</f>
        <v>366520</v>
      </c>
      <c r="F38" s="67"/>
    </row>
    <row r="39" ht="12.75">
      <c r="F39" s="67"/>
    </row>
    <row r="40" spans="1:6" ht="12.75">
      <c r="A40" t="s">
        <v>765</v>
      </c>
      <c r="F40" s="67"/>
    </row>
    <row r="41" spans="1:6" ht="12.75">
      <c r="A41" t="s">
        <v>876</v>
      </c>
      <c r="B41" s="358">
        <f>B30+SUM(B19:D19)</f>
        <v>5000000</v>
      </c>
      <c r="F41" s="67"/>
    </row>
    <row r="42" spans="1:6" ht="12.75">
      <c r="A42" t="s">
        <v>877</v>
      </c>
      <c r="B42" s="358">
        <f>B31+SUM(B20:D20)</f>
        <v>3665200</v>
      </c>
      <c r="F42" s="67"/>
    </row>
    <row r="43" ht="12.75">
      <c r="F43" s="67"/>
    </row>
    <row r="44" ht="12.75">
      <c r="F44" s="67"/>
    </row>
    <row r="45" ht="12.75">
      <c r="F45" s="67"/>
    </row>
    <row r="46" ht="12.75">
      <c r="F46" s="67"/>
    </row>
    <row r="47" ht="12.75">
      <c r="F47" s="155"/>
    </row>
    <row r="48" ht="12.75">
      <c r="F48" s="155"/>
    </row>
    <row r="49" ht="12.75">
      <c r="F49" s="67"/>
    </row>
    <row r="50" ht="12.75">
      <c r="F50" s="67"/>
    </row>
    <row r="51" ht="12.75">
      <c r="F51" s="67"/>
    </row>
    <row r="52" ht="12.75">
      <c r="F52" s="67"/>
    </row>
    <row r="53" ht="12.75">
      <c r="F53" s="67"/>
    </row>
  </sheetData>
  <sheetProtection password="C977" sheet="1"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P3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42.28125" style="305" customWidth="1"/>
    <col min="2" max="16" width="12.7109375" style="305" customWidth="1"/>
    <col min="17" max="19" width="10.7109375" style="305" customWidth="1"/>
    <col min="20" max="16384" width="9.140625" style="305" customWidth="1"/>
  </cols>
  <sheetData>
    <row r="1" spans="1:2" ht="12.75">
      <c r="A1" s="304" t="s">
        <v>684</v>
      </c>
      <c r="B1" s="304"/>
    </row>
    <row r="2" ht="12.75">
      <c r="C2" s="316" t="s">
        <v>310</v>
      </c>
    </row>
    <row r="3" spans="2:10" ht="12.75">
      <c r="B3" s="316" t="s">
        <v>685</v>
      </c>
      <c r="C3" s="305">
        <v>2</v>
      </c>
      <c r="D3" s="305">
        <v>3</v>
      </c>
      <c r="E3" s="305">
        <v>4</v>
      </c>
      <c r="F3" s="305">
        <v>5</v>
      </c>
      <c r="G3" s="305">
        <v>6</v>
      </c>
      <c r="H3" s="305">
        <v>7</v>
      </c>
      <c r="I3" s="305">
        <v>8</v>
      </c>
      <c r="J3" s="305">
        <v>9</v>
      </c>
    </row>
    <row r="4" spans="1:16" ht="12.75">
      <c r="A4" s="316" t="s">
        <v>315</v>
      </c>
      <c r="B4" s="320">
        <f>Depreciation!D42</f>
        <v>10000</v>
      </c>
      <c r="C4" s="320"/>
      <c r="D4" s="320"/>
      <c r="E4" s="321"/>
      <c r="F4" s="321"/>
      <c r="G4" s="321"/>
      <c r="H4" s="321"/>
      <c r="I4" s="321"/>
      <c r="J4" s="321"/>
      <c r="K4" s="306"/>
      <c r="L4" s="306"/>
      <c r="M4" s="306"/>
      <c r="N4" s="306"/>
      <c r="O4" s="306"/>
      <c r="P4" s="306"/>
    </row>
    <row r="5" spans="1:16" ht="12.75">
      <c r="A5" s="316" t="s">
        <v>309</v>
      </c>
      <c r="B5" s="322"/>
      <c r="C5" s="321">
        <f>0.5*Depreciation!$D$20</f>
        <v>5000</v>
      </c>
      <c r="D5" s="321">
        <f>0.5*Depreciation!$D$20</f>
        <v>5000</v>
      </c>
      <c r="E5" s="321"/>
      <c r="F5" s="321"/>
      <c r="G5" s="321"/>
      <c r="H5" s="321"/>
      <c r="I5" s="321"/>
      <c r="J5" s="321"/>
      <c r="K5" s="306"/>
      <c r="L5" s="306"/>
      <c r="M5" s="306"/>
      <c r="N5" s="306"/>
      <c r="O5" s="306"/>
      <c r="P5" s="306"/>
    </row>
    <row r="6" spans="1:16" ht="12.75">
      <c r="A6" s="316" t="s">
        <v>286</v>
      </c>
      <c r="B6" s="322"/>
      <c r="C6" s="321"/>
      <c r="D6" s="321"/>
      <c r="E6" s="321">
        <f>0.25*Depreciation!$D$17</f>
        <v>146000</v>
      </c>
      <c r="F6" s="321">
        <f>0.25*Depreciation!$D$17</f>
        <v>146000</v>
      </c>
      <c r="G6" s="321">
        <f>0.25*Depreciation!$D$17</f>
        <v>146000</v>
      </c>
      <c r="H6" s="321">
        <f>0.25*Depreciation!$D$17</f>
        <v>146000</v>
      </c>
      <c r="I6" s="321"/>
      <c r="J6" s="321"/>
      <c r="K6" s="306"/>
      <c r="L6" s="306"/>
      <c r="M6" s="306"/>
      <c r="N6" s="306"/>
      <c r="O6" s="306"/>
      <c r="P6" s="306"/>
    </row>
    <row r="7" spans="1:16" ht="12.75">
      <c r="A7" s="316" t="s">
        <v>311</v>
      </c>
      <c r="B7" s="322"/>
      <c r="C7" s="321"/>
      <c r="D7" s="321"/>
      <c r="E7" s="321"/>
      <c r="F7" s="321"/>
      <c r="G7" s="321">
        <f>Depreciation!$I$22/3</f>
        <v>25000</v>
      </c>
      <c r="H7" s="321">
        <f>Depreciation!$I$22/3</f>
        <v>25000</v>
      </c>
      <c r="I7" s="321">
        <f>Depreciation!$I$22/3</f>
        <v>25000</v>
      </c>
      <c r="J7" s="321"/>
      <c r="K7" s="306"/>
      <c r="L7" s="306"/>
      <c r="M7" s="306"/>
      <c r="N7" s="306"/>
      <c r="O7" s="306"/>
      <c r="P7" s="306"/>
    </row>
    <row r="8" spans="1:16" ht="12.75">
      <c r="A8" s="316" t="s">
        <v>695</v>
      </c>
      <c r="B8" s="322"/>
      <c r="C8" s="321"/>
      <c r="D8" s="321">
        <f>0.4*Depreciation!$D$39</f>
        <v>1820636.8291428573</v>
      </c>
      <c r="E8" s="321"/>
      <c r="F8" s="321"/>
      <c r="G8" s="321"/>
      <c r="H8" s="321"/>
      <c r="I8" s="321">
        <f>0.6*Depreciation!$D$39</f>
        <v>2730955.243714286</v>
      </c>
      <c r="J8" s="321"/>
      <c r="K8" s="306"/>
      <c r="L8" s="306"/>
      <c r="M8" s="306"/>
      <c r="N8" s="306"/>
      <c r="O8" s="306"/>
      <c r="P8" s="306"/>
    </row>
    <row r="9" spans="1:16" ht="12.75">
      <c r="A9" s="316" t="s">
        <v>312</v>
      </c>
      <c r="B9" s="322"/>
      <c r="C9" s="321"/>
      <c r="D9" s="321"/>
      <c r="E9" s="321"/>
      <c r="F9" s="321"/>
      <c r="G9" s="321"/>
      <c r="H9" s="321">
        <f>'Expense Projection'!$D$52/3</f>
        <v>1666.6666666666667</v>
      </c>
      <c r="I9" s="321">
        <f>'Expense Projection'!$D$52/3</f>
        <v>1666.6666666666667</v>
      </c>
      <c r="J9" s="321">
        <f>'Expense Projection'!$D$52/3</f>
        <v>1666.6666666666667</v>
      </c>
      <c r="K9" s="306"/>
      <c r="L9" s="306"/>
      <c r="M9" s="306"/>
      <c r="N9" s="306"/>
      <c r="O9" s="306"/>
      <c r="P9" s="306"/>
    </row>
    <row r="10" spans="2:16" ht="12.75">
      <c r="B10" s="320"/>
      <c r="C10" s="321"/>
      <c r="D10" s="321"/>
      <c r="E10" s="321"/>
      <c r="F10" s="321"/>
      <c r="G10" s="321"/>
      <c r="H10" s="321"/>
      <c r="I10" s="321"/>
      <c r="J10" s="321"/>
      <c r="K10" s="306"/>
      <c r="L10" s="306"/>
      <c r="M10" s="306"/>
      <c r="N10" s="306"/>
      <c r="O10" s="306"/>
      <c r="P10" s="306"/>
    </row>
    <row r="11" spans="1:16" ht="12.75">
      <c r="A11" s="305" t="s">
        <v>686</v>
      </c>
      <c r="B11" s="321">
        <f>SUM(B4:B10)</f>
        <v>10000</v>
      </c>
      <c r="C11" s="321">
        <f aca="true" t="shared" si="0" ref="C11:J11">SUM(C4:C10)</f>
        <v>5000</v>
      </c>
      <c r="D11" s="321">
        <f t="shared" si="0"/>
        <v>1825636.8291428573</v>
      </c>
      <c r="E11" s="321">
        <f t="shared" si="0"/>
        <v>146000</v>
      </c>
      <c r="F11" s="321">
        <f t="shared" si="0"/>
        <v>146000</v>
      </c>
      <c r="G11" s="321">
        <f t="shared" si="0"/>
        <v>171000</v>
      </c>
      <c r="H11" s="321">
        <f t="shared" si="0"/>
        <v>172666.66666666666</v>
      </c>
      <c r="I11" s="321">
        <f t="shared" si="0"/>
        <v>2757621.9103809525</v>
      </c>
      <c r="J11" s="321">
        <f t="shared" si="0"/>
        <v>1666.6666666666667</v>
      </c>
      <c r="K11" s="306"/>
      <c r="L11" s="306"/>
      <c r="M11" s="306"/>
      <c r="N11" s="306"/>
      <c r="O11" s="306"/>
      <c r="P11" s="306"/>
    </row>
    <row r="12" spans="2:16" ht="12.75">
      <c r="B12" s="320"/>
      <c r="C12" s="321"/>
      <c r="D12" s="321"/>
      <c r="E12" s="321"/>
      <c r="F12" s="321"/>
      <c r="G12" s="321"/>
      <c r="H12" s="321"/>
      <c r="I12" s="321"/>
      <c r="J12" s="321"/>
      <c r="K12" s="306"/>
      <c r="L12" s="306"/>
      <c r="M12" s="306"/>
      <c r="N12" s="306"/>
      <c r="O12" s="306"/>
      <c r="P12" s="306"/>
    </row>
    <row r="13" spans="1:16" ht="12.75">
      <c r="A13" s="316" t="s">
        <v>692</v>
      </c>
      <c r="B13" s="321">
        <f>'Input Value'!C7+'Input Value'!C8-B11</f>
        <v>6266710.487428572</v>
      </c>
      <c r="C13" s="320">
        <f>B13-C11</f>
        <v>6261710.487428572</v>
      </c>
      <c r="D13" s="320">
        <f aca="true" t="shared" si="1" ref="D13:J13">C13-D11</f>
        <v>4436073.658285715</v>
      </c>
      <c r="E13" s="320">
        <f t="shared" si="1"/>
        <v>4290073.658285715</v>
      </c>
      <c r="F13" s="320">
        <f t="shared" si="1"/>
        <v>4144073.6582857147</v>
      </c>
      <c r="G13" s="320">
        <f t="shared" si="1"/>
        <v>3973073.6582857147</v>
      </c>
      <c r="H13" s="320">
        <f t="shared" si="1"/>
        <v>3800406.991619048</v>
      </c>
      <c r="I13" s="320">
        <f t="shared" si="1"/>
        <v>1042785.0812380956</v>
      </c>
      <c r="J13" s="320">
        <f t="shared" si="1"/>
        <v>1041118.414571429</v>
      </c>
      <c r="K13" s="306"/>
      <c r="L13" s="306"/>
      <c r="M13" s="306"/>
      <c r="N13" s="306"/>
      <c r="O13" s="306"/>
      <c r="P13" s="306"/>
    </row>
    <row r="14" spans="2:16" ht="12.75">
      <c r="B14" s="320"/>
      <c r="C14" s="321"/>
      <c r="D14" s="321"/>
      <c r="E14" s="321"/>
      <c r="F14" s="321"/>
      <c r="G14" s="321"/>
      <c r="H14" s="321"/>
      <c r="I14" s="321"/>
      <c r="J14" s="321"/>
      <c r="K14" s="306"/>
      <c r="L14" s="306"/>
      <c r="M14" s="306"/>
      <c r="N14" s="306"/>
      <c r="O14" s="306"/>
      <c r="P14" s="306"/>
    </row>
    <row r="15" spans="1:16" ht="12.75">
      <c r="A15" s="316" t="s">
        <v>693</v>
      </c>
      <c r="B15" s="318"/>
      <c r="C15" s="319"/>
      <c r="D15" s="319"/>
      <c r="E15" s="319"/>
      <c r="F15" s="319"/>
      <c r="G15" s="319"/>
      <c r="H15" s="319"/>
      <c r="I15" s="319"/>
      <c r="J15" s="318"/>
      <c r="K15" s="307"/>
      <c r="M15" s="306"/>
      <c r="N15" s="306"/>
      <c r="O15" s="306"/>
      <c r="P15" s="306"/>
    </row>
    <row r="16" spans="3:16" ht="12.75"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</row>
    <row r="17" spans="3:16" ht="12.75"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</row>
    <row r="18" spans="3:16" ht="12.75"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</row>
    <row r="19" spans="3:16" ht="12.75"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</row>
    <row r="20" spans="3:16" ht="12.75"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</row>
    <row r="21" spans="3:16" ht="12.75"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</row>
    <row r="22" spans="3:16" ht="12.75"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</row>
    <row r="23" spans="3:16" ht="12.75"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</row>
    <row r="24" spans="3:16" ht="12.75"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</row>
    <row r="25" spans="3:16" ht="12.75"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</row>
    <row r="26" spans="3:16" ht="12.75"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</row>
    <row r="27" spans="3:16" ht="12.75"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</row>
    <row r="28" spans="3:16" ht="12.75"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</row>
    <row r="29" spans="3:16" ht="12.75"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</row>
    <row r="30" spans="3:16" ht="12.75"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</row>
    <row r="31" spans="3:16" ht="12.75"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</row>
    <row r="32" spans="3:16" ht="12.75"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</row>
    <row r="33" spans="3:16" ht="12.75"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</row>
    <row r="34" spans="3:16" ht="12.75"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</row>
    <row r="35" spans="3:16" ht="12.75"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</row>
  </sheetData>
  <sheetProtection password="C977" sheet="1"/>
  <printOptions/>
  <pageMargins left="0.75" right="0.75" top="1" bottom="1" header="0.5" footer="0.5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K65"/>
  <sheetViews>
    <sheetView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D2" sqref="AD2"/>
    </sheetView>
  </sheetViews>
  <sheetFormatPr defaultColWidth="9.140625" defaultRowHeight="12.75"/>
  <cols>
    <col min="1" max="1" width="38.28125" style="305" customWidth="1"/>
    <col min="2" max="37" width="9.421875" style="305" customWidth="1"/>
    <col min="38" max="16384" width="9.140625" style="305" customWidth="1"/>
  </cols>
  <sheetData>
    <row r="1" spans="1:37" ht="12.75">
      <c r="A1" s="323" t="s">
        <v>687</v>
      </c>
      <c r="B1" s="323" t="s">
        <v>685</v>
      </c>
      <c r="C1" s="323">
        <v>2</v>
      </c>
      <c r="D1" s="323">
        <v>3</v>
      </c>
      <c r="E1" s="323">
        <v>4</v>
      </c>
      <c r="F1" s="323">
        <v>5</v>
      </c>
      <c r="G1" s="323">
        <v>6</v>
      </c>
      <c r="H1" s="323">
        <v>7</v>
      </c>
      <c r="I1" s="323">
        <v>8</v>
      </c>
      <c r="J1" s="323">
        <v>9</v>
      </c>
      <c r="K1" s="323">
        <v>10</v>
      </c>
      <c r="L1" s="323">
        <v>11</v>
      </c>
      <c r="M1" s="323">
        <v>12</v>
      </c>
      <c r="N1" s="323">
        <v>13</v>
      </c>
      <c r="O1" s="323">
        <v>14</v>
      </c>
      <c r="P1" s="323">
        <v>15</v>
      </c>
      <c r="Q1" s="323">
        <v>16</v>
      </c>
      <c r="R1" s="323">
        <v>17</v>
      </c>
      <c r="S1" s="323">
        <v>18</v>
      </c>
      <c r="T1" s="323">
        <v>19</v>
      </c>
      <c r="U1" s="323">
        <v>20</v>
      </c>
      <c r="V1" s="323">
        <v>21</v>
      </c>
      <c r="W1" s="323">
        <v>22</v>
      </c>
      <c r="X1" s="323">
        <v>23</v>
      </c>
      <c r="Y1" s="323">
        <v>24</v>
      </c>
      <c r="Z1" s="323">
        <v>25</v>
      </c>
      <c r="AA1" s="323">
        <v>26</v>
      </c>
      <c r="AB1" s="323">
        <v>27</v>
      </c>
      <c r="AC1" s="323">
        <v>28</v>
      </c>
      <c r="AD1" s="323">
        <v>29</v>
      </c>
      <c r="AE1" s="323">
        <v>30</v>
      </c>
      <c r="AF1" s="323">
        <v>31</v>
      </c>
      <c r="AG1" s="323">
        <v>32</v>
      </c>
      <c r="AH1" s="323">
        <v>33</v>
      </c>
      <c r="AI1" s="323">
        <v>34</v>
      </c>
      <c r="AJ1" s="323">
        <v>35</v>
      </c>
      <c r="AK1" s="323">
        <v>36</v>
      </c>
    </row>
    <row r="2" spans="1:37" ht="12.75">
      <c r="A2" s="323" t="s">
        <v>688</v>
      </c>
      <c r="B2" s="327">
        <f>'Balance Sheets'!C7</f>
        <v>1046118.4145714287</v>
      </c>
      <c r="C2" s="327">
        <f aca="true" t="shared" si="0" ref="C2:AK2">+B38</f>
        <v>496336.55590865365</v>
      </c>
      <c r="D2" s="327">
        <f t="shared" si="0"/>
        <v>65715.24056587857</v>
      </c>
      <c r="E2" s="327">
        <f t="shared" si="0"/>
        <v>-364906.0747768965</v>
      </c>
      <c r="F2" s="327">
        <f t="shared" si="0"/>
        <v>-795527.3901196716</v>
      </c>
      <c r="G2" s="327">
        <f t="shared" si="0"/>
        <v>-1226148.7054624467</v>
      </c>
      <c r="H2" s="327">
        <f t="shared" si="0"/>
        <v>-1656770.0208052217</v>
      </c>
      <c r="I2" s="327">
        <f t="shared" si="0"/>
        <v>-2087391.3361479968</v>
      </c>
      <c r="J2" s="327">
        <f t="shared" si="0"/>
        <v>-2518012.651490772</v>
      </c>
      <c r="K2" s="327">
        <f t="shared" si="0"/>
        <v>-2948633.966833547</v>
      </c>
      <c r="L2" s="327">
        <f t="shared" si="0"/>
        <v>-3379255.2821763223</v>
      </c>
      <c r="M2" s="327">
        <f t="shared" si="0"/>
        <v>-3809876.5975190974</v>
      </c>
      <c r="N2" s="327">
        <f t="shared" si="0"/>
        <v>-4240497.912861872</v>
      </c>
      <c r="O2" s="327">
        <f t="shared" si="0"/>
        <v>-4679764.385055314</v>
      </c>
      <c r="P2" s="327">
        <f t="shared" si="0"/>
        <v>-5112839.251815556</v>
      </c>
      <c r="Q2" s="327">
        <f t="shared" si="0"/>
        <v>-5545914.1185757965</v>
      </c>
      <c r="R2" s="327">
        <f t="shared" si="0"/>
        <v>-5978988.985336037</v>
      </c>
      <c r="S2" s="327">
        <f t="shared" si="0"/>
        <v>-6412063.852096278</v>
      </c>
      <c r="T2" s="327">
        <f t="shared" si="0"/>
        <v>-6845138.718856519</v>
      </c>
      <c r="U2" s="327">
        <f t="shared" si="0"/>
        <v>-7278213.58561676</v>
      </c>
      <c r="V2" s="327">
        <f t="shared" si="0"/>
        <v>-7711288.452377001</v>
      </c>
      <c r="W2" s="327">
        <f t="shared" si="0"/>
        <v>-8144363.319137242</v>
      </c>
      <c r="X2" s="327">
        <f t="shared" si="0"/>
        <v>-8577438.185897483</v>
      </c>
      <c r="Y2" s="327">
        <f t="shared" si="0"/>
        <v>-9010513.052657723</v>
      </c>
      <c r="Z2" s="327">
        <f t="shared" si="0"/>
        <v>-9443587.919417964</v>
      </c>
      <c r="AA2" s="327">
        <f t="shared" si="0"/>
        <v>-9885394.39459738</v>
      </c>
      <c r="AB2" s="327">
        <f t="shared" si="0"/>
        <v>-10320947.348289263</v>
      </c>
      <c r="AC2" s="327">
        <f t="shared" si="0"/>
        <v>-10756500.301981146</v>
      </c>
      <c r="AD2" s="327">
        <f t="shared" si="0"/>
        <v>-11192053.255673029</v>
      </c>
      <c r="AE2" s="327">
        <f t="shared" si="0"/>
        <v>-11627606.209364912</v>
      </c>
      <c r="AF2" s="327">
        <f t="shared" si="0"/>
        <v>-12063159.163056795</v>
      </c>
      <c r="AG2" s="327">
        <f t="shared" si="0"/>
        <v>-12498712.116748678</v>
      </c>
      <c r="AH2" s="327">
        <f t="shared" si="0"/>
        <v>-12934265.07044056</v>
      </c>
      <c r="AI2" s="327">
        <f t="shared" si="0"/>
        <v>-13369818.024132444</v>
      </c>
      <c r="AJ2" s="327">
        <f t="shared" si="0"/>
        <v>-13805370.977824327</v>
      </c>
      <c r="AK2" s="327">
        <f t="shared" si="0"/>
        <v>-14240923.93151621</v>
      </c>
    </row>
    <row r="3" spans="1:37" ht="12.75">
      <c r="A3" s="324" t="s">
        <v>689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</row>
    <row r="4" spans="1:37" ht="12.75">
      <c r="A4" s="325" t="s">
        <v>778</v>
      </c>
      <c r="B4" s="329">
        <v>0</v>
      </c>
      <c r="C4" s="329">
        <f>(SUM('Market Projection'!$F$40:$F$42))/12</f>
        <v>0</v>
      </c>
      <c r="D4" s="329">
        <f>(SUM('Market Projection'!$F$40:$F$42))/12</f>
        <v>0</v>
      </c>
      <c r="E4" s="329">
        <f>(SUM('Market Projection'!$F$40:$F$42))/12</f>
        <v>0</v>
      </c>
      <c r="F4" s="329">
        <f>(SUM('Market Projection'!$F$40:$F$42))/12</f>
        <v>0</v>
      </c>
      <c r="G4" s="329">
        <f>(SUM('Market Projection'!$F$40:$F$42))/12</f>
        <v>0</v>
      </c>
      <c r="H4" s="329">
        <f>(SUM('Market Projection'!$F$40:$F$42))/12</f>
        <v>0</v>
      </c>
      <c r="I4" s="329">
        <f>(SUM('Market Projection'!$F$40:$F$42))/12</f>
        <v>0</v>
      </c>
      <c r="J4" s="329">
        <f>(SUM('Market Projection'!$F$40:$F$42))/12</f>
        <v>0</v>
      </c>
      <c r="K4" s="329">
        <f>(SUM('Market Projection'!$F$40:$F$42))/12</f>
        <v>0</v>
      </c>
      <c r="L4" s="329">
        <f>(SUM('Market Projection'!$F$40:$F$42))/12</f>
        <v>0</v>
      </c>
      <c r="M4" s="329">
        <f>(SUM('Market Projection'!$F$40:$F$42))/12</f>
        <v>0</v>
      </c>
      <c r="N4" s="329">
        <f>(SUM('Market Projection'!$F$40:$F$42))/12</f>
        <v>0</v>
      </c>
      <c r="O4" s="329">
        <f>(SUM('Market Projection'!$G$40:$G$42))/12</f>
        <v>0</v>
      </c>
      <c r="P4" s="329">
        <f>(SUM('Market Projection'!$G$40:$G$42))/12</f>
        <v>0</v>
      </c>
      <c r="Q4" s="329">
        <f>(SUM('Market Projection'!$G$40:$G$42))/12</f>
        <v>0</v>
      </c>
      <c r="R4" s="329">
        <f>(SUM('Market Projection'!$G$40:$G$42))/12</f>
        <v>0</v>
      </c>
      <c r="S4" s="329">
        <f>(SUM('Market Projection'!$G$40:$G$42))/12</f>
        <v>0</v>
      </c>
      <c r="T4" s="329">
        <f>(SUM('Market Projection'!$G$40:$G$42))/12</f>
        <v>0</v>
      </c>
      <c r="U4" s="329">
        <f>(SUM('Market Projection'!$G$40:$G$42))/12</f>
        <v>0</v>
      </c>
      <c r="V4" s="329">
        <f>(SUM('Market Projection'!$G$40:$G$42))/12</f>
        <v>0</v>
      </c>
      <c r="W4" s="329">
        <f>(SUM('Market Projection'!$G$40:$G$42))/12</f>
        <v>0</v>
      </c>
      <c r="X4" s="329">
        <f>(SUM('Market Projection'!$G$40:$G$42))/12</f>
        <v>0</v>
      </c>
      <c r="Y4" s="329">
        <f>(SUM('Market Projection'!$G$40:$G$42))/12</f>
        <v>0</v>
      </c>
      <c r="Z4" s="329">
        <f>(SUM('Market Projection'!$G$40:$G$42))/12</f>
        <v>0</v>
      </c>
      <c r="AA4" s="329">
        <f>(SUM('Market Projection'!$H$40:$H$42))/12</f>
        <v>0</v>
      </c>
      <c r="AB4" s="329">
        <f>(SUM('Market Projection'!$H$40:$H$42))/12</f>
        <v>0</v>
      </c>
      <c r="AC4" s="329">
        <f>(SUM('Market Projection'!$H$40:$H$42))/12</f>
        <v>0</v>
      </c>
      <c r="AD4" s="329">
        <f>(SUM('Market Projection'!$H$40:$H$42))/12</f>
        <v>0</v>
      </c>
      <c r="AE4" s="329">
        <f>(SUM('Market Projection'!$H$40:$H$42))/12</f>
        <v>0</v>
      </c>
      <c r="AF4" s="329">
        <f>(SUM('Market Projection'!$H$40:$H$42))/12</f>
        <v>0</v>
      </c>
      <c r="AG4" s="329">
        <f>(SUM('Market Projection'!$H$40:$H$42))/12</f>
        <v>0</v>
      </c>
      <c r="AH4" s="329">
        <f>(SUM('Market Projection'!$H$40:$H$42))/12</f>
        <v>0</v>
      </c>
      <c r="AI4" s="329">
        <f>(SUM('Market Projection'!$H$40:$H$42))/12</f>
        <v>0</v>
      </c>
      <c r="AJ4" s="329">
        <f>(SUM('Market Projection'!$H$40:$H$42))/12</f>
        <v>0</v>
      </c>
      <c r="AK4" s="329">
        <f>(SUM('Market Projection'!$H$40:$H$42))/12</f>
        <v>0</v>
      </c>
    </row>
    <row r="5" spans="1:37" ht="12.75">
      <c r="A5" s="325" t="s">
        <v>779</v>
      </c>
      <c r="B5" s="329">
        <v>0</v>
      </c>
      <c r="C5" s="329">
        <f>(SUM('Market Projection'!$F$37:$F$39))/12</f>
        <v>561891.7933199999</v>
      </c>
      <c r="D5" s="329">
        <f>(SUM('Market Projection'!$F$37:$F$39))/12</f>
        <v>561891.7933199999</v>
      </c>
      <c r="E5" s="329">
        <f>(SUM('Market Projection'!$F$37:$F$39))/12</f>
        <v>561891.7933199999</v>
      </c>
      <c r="F5" s="329">
        <f>(SUM('Market Projection'!$F$37:$F$39))/12</f>
        <v>561891.7933199999</v>
      </c>
      <c r="G5" s="329">
        <f>(SUM('Market Projection'!$F$37:$F$39))/12</f>
        <v>561891.7933199999</v>
      </c>
      <c r="H5" s="329">
        <f>(SUM('Market Projection'!$F$37:$F$39))/12</f>
        <v>561891.7933199999</v>
      </c>
      <c r="I5" s="329">
        <f>(SUM('Market Projection'!$F$37:$F$39))/12</f>
        <v>561891.7933199999</v>
      </c>
      <c r="J5" s="329">
        <f>(SUM('Market Projection'!$F$37:$F$39))/12</f>
        <v>561891.7933199999</v>
      </c>
      <c r="K5" s="329">
        <f>(SUM('Market Projection'!$F$37:$F$39))/12</f>
        <v>561891.7933199999</v>
      </c>
      <c r="L5" s="329">
        <f>(SUM('Market Projection'!$F$37:$F$39))/12</f>
        <v>561891.7933199999</v>
      </c>
      <c r="M5" s="329">
        <f>(SUM('Market Projection'!$F$37:$F$39))/12</f>
        <v>561891.7933199999</v>
      </c>
      <c r="N5" s="329">
        <f>(SUM('Market Projection'!$F$37:$F$39))/12</f>
        <v>561891.7933199999</v>
      </c>
      <c r="O5" s="329">
        <f>(SUM('Market Projection'!$G$37:$G$39))/12</f>
        <v>567510.7112532</v>
      </c>
      <c r="P5" s="329">
        <f>(SUM('Market Projection'!$G$37:$G$39))/12</f>
        <v>567510.7112532</v>
      </c>
      <c r="Q5" s="329">
        <f>(SUM('Market Projection'!$G$37:$G$39))/12</f>
        <v>567510.7112532</v>
      </c>
      <c r="R5" s="329">
        <f>(SUM('Market Projection'!$G$37:$G$39))/12</f>
        <v>567510.7112532</v>
      </c>
      <c r="S5" s="329">
        <f>(SUM('Market Projection'!$G$37:$G$39))/12</f>
        <v>567510.7112532</v>
      </c>
      <c r="T5" s="329">
        <f>(SUM('Market Projection'!$G$37:$G$39))/12</f>
        <v>567510.7112532</v>
      </c>
      <c r="U5" s="329">
        <f>(SUM('Market Projection'!$G$37:$G$39))/12</f>
        <v>567510.7112532</v>
      </c>
      <c r="V5" s="329">
        <f>(SUM('Market Projection'!$G$37:$G$39))/12</f>
        <v>567510.7112532</v>
      </c>
      <c r="W5" s="329">
        <f>(SUM('Market Projection'!$G$37:$G$39))/12</f>
        <v>567510.7112532</v>
      </c>
      <c r="X5" s="329">
        <f>(SUM('Market Projection'!$G$37:$G$39))/12</f>
        <v>567510.7112532</v>
      </c>
      <c r="Y5" s="329">
        <f>(SUM('Market Projection'!$G$37:$G$39))/12</f>
        <v>567510.7112532</v>
      </c>
      <c r="Z5" s="329">
        <f>(SUM('Market Projection'!$G$37:$G$39))/12</f>
        <v>567510.7112532</v>
      </c>
      <c r="AA5" s="329">
        <f>(SUM('Market Projection'!$H$37:$H$39))/12</f>
        <v>573185.8183657319</v>
      </c>
      <c r="AB5" s="329">
        <f>(SUM('Market Projection'!$H$37:$H$39))/12</f>
        <v>573185.8183657319</v>
      </c>
      <c r="AC5" s="329">
        <f>(SUM('Market Projection'!$H$37:$H$39))/12</f>
        <v>573185.8183657319</v>
      </c>
      <c r="AD5" s="329">
        <f>(SUM('Market Projection'!$H$37:$H$39))/12</f>
        <v>573185.8183657319</v>
      </c>
      <c r="AE5" s="329">
        <f>(SUM('Market Projection'!$H$37:$H$39))/12</f>
        <v>573185.8183657319</v>
      </c>
      <c r="AF5" s="329">
        <f>(SUM('Market Projection'!$H$37:$H$39))/12</f>
        <v>573185.8183657319</v>
      </c>
      <c r="AG5" s="329">
        <f>(SUM('Market Projection'!$H$37:$H$39))/12</f>
        <v>573185.8183657319</v>
      </c>
      <c r="AH5" s="329">
        <f>(SUM('Market Projection'!$H$37:$H$39))/12</f>
        <v>573185.8183657319</v>
      </c>
      <c r="AI5" s="329">
        <f>(SUM('Market Projection'!$H$37:$H$39))/12</f>
        <v>573185.8183657319</v>
      </c>
      <c r="AJ5" s="329">
        <f>(SUM('Market Projection'!$H$37:$H$39))/12</f>
        <v>573185.8183657319</v>
      </c>
      <c r="AK5" s="329">
        <f>(SUM('Market Projection'!$H$37:$H$39))/12</f>
        <v>573185.8183657319</v>
      </c>
    </row>
    <row r="6" spans="1:37" ht="12.75">
      <c r="A6" s="325" t="s">
        <v>143</v>
      </c>
      <c r="B6" s="329">
        <f>'Market Projection'!$F$44/12</f>
        <v>1429166.6666666667</v>
      </c>
      <c r="C6" s="329">
        <f>'Market Projection'!$F$44/12</f>
        <v>1429166.6666666667</v>
      </c>
      <c r="D6" s="329">
        <f>'Market Projection'!$F$44/12</f>
        <v>1429166.6666666667</v>
      </c>
      <c r="E6" s="329">
        <f>'Market Projection'!$F$44/12</f>
        <v>1429166.6666666667</v>
      </c>
      <c r="F6" s="329">
        <f>'Market Projection'!$F$44/12</f>
        <v>1429166.6666666667</v>
      </c>
      <c r="G6" s="329">
        <f>'Market Projection'!$F$44/12</f>
        <v>1429166.6666666667</v>
      </c>
      <c r="H6" s="329">
        <f>'Market Projection'!$F$44/12</f>
        <v>1429166.6666666667</v>
      </c>
      <c r="I6" s="329">
        <f>'Market Projection'!$F$44/12</f>
        <v>1429166.6666666667</v>
      </c>
      <c r="J6" s="329">
        <f>'Market Projection'!$F$44/12</f>
        <v>1429166.6666666667</v>
      </c>
      <c r="K6" s="329">
        <f>'Market Projection'!$F$44/12</f>
        <v>1429166.6666666667</v>
      </c>
      <c r="L6" s="329">
        <f>'Market Projection'!$F$44/12</f>
        <v>1429166.6666666667</v>
      </c>
      <c r="M6" s="329">
        <f>'Market Projection'!$F$44/12</f>
        <v>1429166.6666666667</v>
      </c>
      <c r="N6" s="329">
        <f>'Market Projection'!$G$44/12</f>
        <v>1443458.3333333333</v>
      </c>
      <c r="O6" s="329">
        <f>'Market Projection'!$G$44/12</f>
        <v>1443458.3333333333</v>
      </c>
      <c r="P6" s="329">
        <f>'Market Projection'!$G$44/12</f>
        <v>1443458.3333333333</v>
      </c>
      <c r="Q6" s="329">
        <f>'Market Projection'!$G$44/12</f>
        <v>1443458.3333333333</v>
      </c>
      <c r="R6" s="329">
        <f>'Market Projection'!$G$44/12</f>
        <v>1443458.3333333333</v>
      </c>
      <c r="S6" s="329">
        <f>'Market Projection'!$G$44/12</f>
        <v>1443458.3333333333</v>
      </c>
      <c r="T6" s="329">
        <f>'Market Projection'!$G$44/12</f>
        <v>1443458.3333333333</v>
      </c>
      <c r="U6" s="329">
        <f>'Market Projection'!$G$44/12</f>
        <v>1443458.3333333333</v>
      </c>
      <c r="V6" s="329">
        <f>'Market Projection'!$G$44/12</f>
        <v>1443458.3333333333</v>
      </c>
      <c r="W6" s="329">
        <f>'Market Projection'!$G$44/12</f>
        <v>1443458.3333333333</v>
      </c>
      <c r="X6" s="329">
        <f>'Market Projection'!$G$44/12</f>
        <v>1443458.3333333333</v>
      </c>
      <c r="Y6" s="329">
        <f>'Market Projection'!$G$44/12</f>
        <v>1443458.3333333333</v>
      </c>
      <c r="Z6" s="329">
        <f>'Market Projection'!$H$44/12</f>
        <v>1457892.9166666667</v>
      </c>
      <c r="AA6" s="329">
        <f>'Market Projection'!$H$44/12</f>
        <v>1457892.9166666667</v>
      </c>
      <c r="AB6" s="329">
        <f>'Market Projection'!$H$44/12</f>
        <v>1457892.9166666667</v>
      </c>
      <c r="AC6" s="329">
        <f>'Market Projection'!$H$44/12</f>
        <v>1457892.9166666667</v>
      </c>
      <c r="AD6" s="329">
        <f>'Market Projection'!$H$44/12</f>
        <v>1457892.9166666667</v>
      </c>
      <c r="AE6" s="329">
        <f>'Market Projection'!$H$44/12</f>
        <v>1457892.9166666667</v>
      </c>
      <c r="AF6" s="329">
        <f>'Market Projection'!$H$44/12</f>
        <v>1457892.9166666667</v>
      </c>
      <c r="AG6" s="329">
        <f>'Market Projection'!$H$44/12</f>
        <v>1457892.9166666667</v>
      </c>
      <c r="AH6" s="329">
        <f>'Market Projection'!$H$44/12</f>
        <v>1457892.9166666667</v>
      </c>
      <c r="AI6" s="329">
        <f>'Market Projection'!$H$44/12</f>
        <v>1457892.9166666667</v>
      </c>
      <c r="AJ6" s="329">
        <f>'Market Projection'!$H$44/12</f>
        <v>1457892.9166666667</v>
      </c>
      <c r="AK6" s="329">
        <f>'Market Projection'!$H$44/12</f>
        <v>1457892.9166666667</v>
      </c>
    </row>
    <row r="7" spans="1:37" ht="12.75">
      <c r="A7" s="325" t="s">
        <v>144</v>
      </c>
      <c r="B7" s="329">
        <v>0</v>
      </c>
      <c r="C7" s="329">
        <f>'Market Projection'!$F$45/12</f>
        <v>57268.74999999999</v>
      </c>
      <c r="D7" s="329">
        <f>'Market Projection'!$F$45/12</f>
        <v>57268.74999999999</v>
      </c>
      <c r="E7" s="329">
        <f>'Market Projection'!$F$45/12</f>
        <v>57268.74999999999</v>
      </c>
      <c r="F7" s="329">
        <f>'Market Projection'!$F$45/12</f>
        <v>57268.74999999999</v>
      </c>
      <c r="G7" s="329">
        <f>'Market Projection'!$F$45/12</f>
        <v>57268.74999999999</v>
      </c>
      <c r="H7" s="329">
        <f>'Market Projection'!$F$45/12</f>
        <v>57268.74999999999</v>
      </c>
      <c r="I7" s="329">
        <f>'Market Projection'!$F$45/12</f>
        <v>57268.74999999999</v>
      </c>
      <c r="J7" s="329">
        <f>'Market Projection'!$F$45/12</f>
        <v>57268.74999999999</v>
      </c>
      <c r="K7" s="329">
        <f>'Market Projection'!$F$45/12</f>
        <v>57268.74999999999</v>
      </c>
      <c r="L7" s="329">
        <f>'Market Projection'!$F$45/12</f>
        <v>57268.74999999999</v>
      </c>
      <c r="M7" s="329">
        <f>'Market Projection'!$F$45/12</f>
        <v>57268.74999999999</v>
      </c>
      <c r="N7" s="329">
        <f>'Market Projection'!$F$45/12</f>
        <v>57268.74999999999</v>
      </c>
      <c r="O7" s="329">
        <f>'Market Projection'!$G$45/12</f>
        <v>57841.43749999999</v>
      </c>
      <c r="P7" s="329">
        <f>'Market Projection'!$G$45/12</f>
        <v>57841.43749999999</v>
      </c>
      <c r="Q7" s="329">
        <f>'Market Projection'!$G$45/12</f>
        <v>57841.43749999999</v>
      </c>
      <c r="R7" s="329">
        <f>'Market Projection'!$G$45/12</f>
        <v>57841.43749999999</v>
      </c>
      <c r="S7" s="329">
        <f>'Market Projection'!$G$45/12</f>
        <v>57841.43749999999</v>
      </c>
      <c r="T7" s="329">
        <f>'Market Projection'!$G$45/12</f>
        <v>57841.43749999999</v>
      </c>
      <c r="U7" s="329">
        <f>'Market Projection'!$G$45/12</f>
        <v>57841.43749999999</v>
      </c>
      <c r="V7" s="329">
        <f>'Market Projection'!$G$45/12</f>
        <v>57841.43749999999</v>
      </c>
      <c r="W7" s="329">
        <f>'Market Projection'!$G$45/12</f>
        <v>57841.43749999999</v>
      </c>
      <c r="X7" s="329">
        <f>'Market Projection'!$G$45/12</f>
        <v>57841.43749999999</v>
      </c>
      <c r="Y7" s="329">
        <f>'Market Projection'!$G$45/12</f>
        <v>57841.43749999999</v>
      </c>
      <c r="Z7" s="329">
        <f>'Market Projection'!$G$45/12</f>
        <v>57841.43749999999</v>
      </c>
      <c r="AA7" s="329">
        <f>'Market Projection'!$H$45/12</f>
        <v>58419.851874999986</v>
      </c>
      <c r="AB7" s="329">
        <f>'Market Projection'!$H$45/12</f>
        <v>58419.851874999986</v>
      </c>
      <c r="AC7" s="329">
        <f>'Market Projection'!$H$45/12</f>
        <v>58419.851874999986</v>
      </c>
      <c r="AD7" s="329">
        <f>'Market Projection'!$H$45/12</f>
        <v>58419.851874999986</v>
      </c>
      <c r="AE7" s="329">
        <f>'Market Projection'!$H$45/12</f>
        <v>58419.851874999986</v>
      </c>
      <c r="AF7" s="329">
        <f>'Market Projection'!$H$45/12</f>
        <v>58419.851874999986</v>
      </c>
      <c r="AG7" s="329">
        <f>'Market Projection'!$H$45/12</f>
        <v>58419.851874999986</v>
      </c>
      <c r="AH7" s="329">
        <f>'Market Projection'!$H$45/12</f>
        <v>58419.851874999986</v>
      </c>
      <c r="AI7" s="329">
        <f>'Market Projection'!$H$45/12</f>
        <v>58419.851874999986</v>
      </c>
      <c r="AJ7" s="329">
        <f>'Market Projection'!$H$45/12</f>
        <v>58419.851874999986</v>
      </c>
      <c r="AK7" s="329">
        <f>'Market Projection'!$H$45/12</f>
        <v>58419.851874999986</v>
      </c>
    </row>
    <row r="8" spans="1:37" ht="12.75">
      <c r="A8" s="325" t="s">
        <v>741</v>
      </c>
      <c r="B8" s="329">
        <f>'Input Value'!$F$17</f>
        <v>500000</v>
      </c>
      <c r="C8" s="329">
        <f>'Input Value'!$F$17</f>
        <v>500000</v>
      </c>
      <c r="D8" s="329">
        <f>'Input Value'!$F$17</f>
        <v>500000</v>
      </c>
      <c r="E8" s="329">
        <f>'Input Value'!$F$17</f>
        <v>500000</v>
      </c>
      <c r="F8" s="329">
        <f>'Input Value'!$F$17</f>
        <v>500000</v>
      </c>
      <c r="G8" s="329">
        <f>'Input Value'!$F$17</f>
        <v>500000</v>
      </c>
      <c r="H8" s="329">
        <f>'Input Value'!$F$17</f>
        <v>500000</v>
      </c>
      <c r="I8" s="329">
        <f>'Input Value'!$F$17</f>
        <v>500000</v>
      </c>
      <c r="J8" s="329">
        <f>'Input Value'!$F$17</f>
        <v>500000</v>
      </c>
      <c r="K8" s="329">
        <f>'Input Value'!$F$17</f>
        <v>500000</v>
      </c>
      <c r="L8" s="329">
        <f>'Input Value'!$F$17</f>
        <v>500000</v>
      </c>
      <c r="M8" s="329">
        <f>'Input Value'!$F$17</f>
        <v>500000</v>
      </c>
      <c r="N8" s="329">
        <f>'Input Value'!$F$17</f>
        <v>500000</v>
      </c>
      <c r="O8" s="329">
        <f>'Input Value'!$F$17</f>
        <v>500000</v>
      </c>
      <c r="P8" s="329">
        <f>'Input Value'!$F$17</f>
        <v>500000</v>
      </c>
      <c r="Q8" s="329">
        <f>'Input Value'!$F$17</f>
        <v>500000</v>
      </c>
      <c r="R8" s="329">
        <f>'Input Value'!$F$17</f>
        <v>500000</v>
      </c>
      <c r="S8" s="329">
        <f>'Input Value'!$F$17</f>
        <v>500000</v>
      </c>
      <c r="T8" s="329">
        <f>'Input Value'!$F$17</f>
        <v>500000</v>
      </c>
      <c r="U8" s="329">
        <f>'Input Value'!$F$17</f>
        <v>500000</v>
      </c>
      <c r="V8" s="329">
        <f>'Input Value'!$F$17</f>
        <v>500000</v>
      </c>
      <c r="W8" s="329">
        <f>'Input Value'!$F$17</f>
        <v>500000</v>
      </c>
      <c r="X8" s="329">
        <f>'Input Value'!$F$17</f>
        <v>500000</v>
      </c>
      <c r="Y8" s="329">
        <f>'Input Value'!$F$17</f>
        <v>500000</v>
      </c>
      <c r="Z8" s="329">
        <f>'Input Value'!$F$17</f>
        <v>500000</v>
      </c>
      <c r="AA8" s="329">
        <f>'Input Value'!$F$17</f>
        <v>500000</v>
      </c>
      <c r="AB8" s="329">
        <f>'Input Value'!$F$17</f>
        <v>500000</v>
      </c>
      <c r="AC8" s="329">
        <f>'Input Value'!$F$17</f>
        <v>500000</v>
      </c>
      <c r="AD8" s="329">
        <f>'Input Value'!$F$17</f>
        <v>500000</v>
      </c>
      <c r="AE8" s="329">
        <f>'Input Value'!$F$17</f>
        <v>500000</v>
      </c>
      <c r="AF8" s="329">
        <f>'Input Value'!$F$17</f>
        <v>500000</v>
      </c>
      <c r="AG8" s="329">
        <f>'Input Value'!$F$17</f>
        <v>500000</v>
      </c>
      <c r="AH8" s="329">
        <f>'Input Value'!$F$17</f>
        <v>500000</v>
      </c>
      <c r="AI8" s="329">
        <f>'Input Value'!$F$17</f>
        <v>500000</v>
      </c>
      <c r="AJ8" s="329">
        <f>'Input Value'!$F$17</f>
        <v>500000</v>
      </c>
      <c r="AK8" s="329">
        <f>'Input Value'!$F$17</f>
        <v>500000</v>
      </c>
    </row>
    <row r="9" spans="1:37" ht="12.75">
      <c r="A9" s="323" t="s">
        <v>690</v>
      </c>
      <c r="B9" s="327">
        <f>SUM(B4:B8)</f>
        <v>1929166.6666666667</v>
      </c>
      <c r="C9" s="327">
        <f aca="true" t="shared" si="1" ref="C9:AK9">SUM(C4:C8)</f>
        <v>2548327.2099866667</v>
      </c>
      <c r="D9" s="327">
        <f t="shared" si="1"/>
        <v>2548327.2099866667</v>
      </c>
      <c r="E9" s="327">
        <f t="shared" si="1"/>
        <v>2548327.2099866667</v>
      </c>
      <c r="F9" s="327">
        <f t="shared" si="1"/>
        <v>2548327.2099866667</v>
      </c>
      <c r="G9" s="327">
        <f t="shared" si="1"/>
        <v>2548327.2099866667</v>
      </c>
      <c r="H9" s="327">
        <f t="shared" si="1"/>
        <v>2548327.2099866667</v>
      </c>
      <c r="I9" s="327">
        <f t="shared" si="1"/>
        <v>2548327.2099866667</v>
      </c>
      <c r="J9" s="327">
        <f t="shared" si="1"/>
        <v>2548327.2099866667</v>
      </c>
      <c r="K9" s="327">
        <f t="shared" si="1"/>
        <v>2548327.2099866667</v>
      </c>
      <c r="L9" s="327">
        <f t="shared" si="1"/>
        <v>2548327.2099866667</v>
      </c>
      <c r="M9" s="327">
        <f t="shared" si="1"/>
        <v>2548327.2099866667</v>
      </c>
      <c r="N9" s="327">
        <f t="shared" si="1"/>
        <v>2562618.876653333</v>
      </c>
      <c r="O9" s="327">
        <f t="shared" si="1"/>
        <v>2568810.482086533</v>
      </c>
      <c r="P9" s="327">
        <f t="shared" si="1"/>
        <v>2568810.482086533</v>
      </c>
      <c r="Q9" s="327">
        <f t="shared" si="1"/>
        <v>2568810.482086533</v>
      </c>
      <c r="R9" s="327">
        <f t="shared" si="1"/>
        <v>2568810.482086533</v>
      </c>
      <c r="S9" s="327">
        <f t="shared" si="1"/>
        <v>2568810.482086533</v>
      </c>
      <c r="T9" s="327">
        <f t="shared" si="1"/>
        <v>2568810.482086533</v>
      </c>
      <c r="U9" s="327">
        <f t="shared" si="1"/>
        <v>2568810.482086533</v>
      </c>
      <c r="V9" s="327">
        <f t="shared" si="1"/>
        <v>2568810.482086533</v>
      </c>
      <c r="W9" s="327">
        <f t="shared" si="1"/>
        <v>2568810.482086533</v>
      </c>
      <c r="X9" s="327">
        <f t="shared" si="1"/>
        <v>2568810.482086533</v>
      </c>
      <c r="Y9" s="327">
        <f t="shared" si="1"/>
        <v>2568810.482086533</v>
      </c>
      <c r="Z9" s="327">
        <f t="shared" si="1"/>
        <v>2583245.0654198667</v>
      </c>
      <c r="AA9" s="327">
        <f t="shared" si="1"/>
        <v>2589498.586907399</v>
      </c>
      <c r="AB9" s="327">
        <f t="shared" si="1"/>
        <v>2589498.586907399</v>
      </c>
      <c r="AC9" s="327">
        <f t="shared" si="1"/>
        <v>2589498.586907399</v>
      </c>
      <c r="AD9" s="327">
        <f t="shared" si="1"/>
        <v>2589498.586907399</v>
      </c>
      <c r="AE9" s="327">
        <f t="shared" si="1"/>
        <v>2589498.586907399</v>
      </c>
      <c r="AF9" s="327">
        <f t="shared" si="1"/>
        <v>2589498.586907399</v>
      </c>
      <c r="AG9" s="327">
        <f t="shared" si="1"/>
        <v>2589498.586907399</v>
      </c>
      <c r="AH9" s="327">
        <f t="shared" si="1"/>
        <v>2589498.586907399</v>
      </c>
      <c r="AI9" s="327">
        <f t="shared" si="1"/>
        <v>2589498.586907399</v>
      </c>
      <c r="AJ9" s="327">
        <f t="shared" si="1"/>
        <v>2589498.586907399</v>
      </c>
      <c r="AK9" s="327">
        <f t="shared" si="1"/>
        <v>2589498.586907399</v>
      </c>
    </row>
    <row r="10" spans="1:37" ht="12.75">
      <c r="A10" s="325"/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</row>
    <row r="11" spans="1:37" ht="12.75">
      <c r="A11" s="324" t="s">
        <v>691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</row>
    <row r="12" spans="1:37" ht="12.75">
      <c r="A12" s="325" t="s">
        <v>780</v>
      </c>
      <c r="B12" s="329">
        <f>(SUM('Market Projection'!$F$60:$F$62))/12</f>
        <v>1394562</v>
      </c>
      <c r="C12" s="329">
        <f>(SUM('Market Projection'!$F$60:$F$62))/12</f>
        <v>1394562</v>
      </c>
      <c r="D12" s="329">
        <f>(SUM('Market Projection'!$F$60:$F$62))/12</f>
        <v>1394562</v>
      </c>
      <c r="E12" s="329">
        <f>(SUM('Market Projection'!$F$60:$F$62))/12</f>
        <v>1394562</v>
      </c>
      <c r="F12" s="329">
        <f>(SUM('Market Projection'!$F$60:$F$62))/12</f>
        <v>1394562</v>
      </c>
      <c r="G12" s="329">
        <f>(SUM('Market Projection'!$F$60:$F$62))/12</f>
        <v>1394562</v>
      </c>
      <c r="H12" s="329">
        <f>(SUM('Market Projection'!$F$60:$F$62))/12</f>
        <v>1394562</v>
      </c>
      <c r="I12" s="329">
        <f>(SUM('Market Projection'!$F$60:$F$62))/12</f>
        <v>1394562</v>
      </c>
      <c r="J12" s="329">
        <f>(SUM('Market Projection'!$F$60:$F$62))/12</f>
        <v>1394562</v>
      </c>
      <c r="K12" s="329">
        <f>(SUM('Market Projection'!$F$60:$F$62))/12</f>
        <v>1394562</v>
      </c>
      <c r="L12" s="329">
        <f>(SUM('Market Projection'!$F$60:$F$62))/12</f>
        <v>1394562</v>
      </c>
      <c r="M12" s="329">
        <f>(SUM('Market Projection'!$F$60:$F$62))/12</f>
        <v>1394562</v>
      </c>
      <c r="N12" s="329">
        <f>(SUM('Market Projection'!$G$60:$G$62))/12</f>
        <v>1408507.62</v>
      </c>
      <c r="O12" s="329">
        <f>(SUM('Market Projection'!$G$60:$G$62))/12</f>
        <v>1408507.62</v>
      </c>
      <c r="P12" s="329">
        <f>(SUM('Market Projection'!$G$60:$G$62))/12</f>
        <v>1408507.62</v>
      </c>
      <c r="Q12" s="329">
        <f>(SUM('Market Projection'!$G$60:$G$62))/12</f>
        <v>1408507.62</v>
      </c>
      <c r="R12" s="329">
        <f>(SUM('Market Projection'!$G$60:$G$62))/12</f>
        <v>1408507.62</v>
      </c>
      <c r="S12" s="329">
        <f>(SUM('Market Projection'!$G$60:$G$62))/12</f>
        <v>1408507.62</v>
      </c>
      <c r="T12" s="329">
        <f>(SUM('Market Projection'!$G$60:$G$62))/12</f>
        <v>1408507.62</v>
      </c>
      <c r="U12" s="329">
        <f>(SUM('Market Projection'!$G$60:$G$62))/12</f>
        <v>1408507.62</v>
      </c>
      <c r="V12" s="329">
        <f>(SUM('Market Projection'!$G$60:$G$62))/12</f>
        <v>1408507.62</v>
      </c>
      <c r="W12" s="329">
        <f>(SUM('Market Projection'!$G$60:$G$62))/12</f>
        <v>1408507.62</v>
      </c>
      <c r="X12" s="329">
        <f>(SUM('Market Projection'!$G$60:$G$62))/12</f>
        <v>1408507.62</v>
      </c>
      <c r="Y12" s="329">
        <f>(SUM('Market Projection'!$G$60:$G$62))/12</f>
        <v>1408507.62</v>
      </c>
      <c r="Z12" s="329">
        <f>(SUM('Market Projection'!$H$60:$H$62))/12</f>
        <v>1422592.6962000001</v>
      </c>
      <c r="AA12" s="329">
        <f>(SUM('Market Projection'!$H$60:$H$62))/12</f>
        <v>1422592.6962000001</v>
      </c>
      <c r="AB12" s="329">
        <f>(SUM('Market Projection'!$H$60:$H$62))/12</f>
        <v>1422592.6962000001</v>
      </c>
      <c r="AC12" s="329">
        <f>(SUM('Market Projection'!$H$60:$H$62))/12</f>
        <v>1422592.6962000001</v>
      </c>
      <c r="AD12" s="329">
        <f>(SUM('Market Projection'!$H$60:$H$62))/12</f>
        <v>1422592.6962000001</v>
      </c>
      <c r="AE12" s="329">
        <f>(SUM('Market Projection'!$H$60:$H$62))/12</f>
        <v>1422592.6962000001</v>
      </c>
      <c r="AF12" s="329">
        <f>(SUM('Market Projection'!$H$60:$H$62))/12</f>
        <v>1422592.6962000001</v>
      </c>
      <c r="AG12" s="329">
        <f>(SUM('Market Projection'!$H$60:$H$62))/12</f>
        <v>1422592.6962000001</v>
      </c>
      <c r="AH12" s="329">
        <f>(SUM('Market Projection'!$H$60:$H$62))/12</f>
        <v>1422592.6962000001</v>
      </c>
      <c r="AI12" s="329">
        <f>(SUM('Market Projection'!$H$60:$H$62))/12</f>
        <v>1422592.6962000001</v>
      </c>
      <c r="AJ12" s="329">
        <f>(SUM('Market Projection'!$H$60:$H$62))/12</f>
        <v>1422592.6962000001</v>
      </c>
      <c r="AK12" s="329">
        <f>(SUM('Market Projection'!$H$60:$H$62))/12</f>
        <v>1422592.6962000001</v>
      </c>
    </row>
    <row r="13" spans="1:37" ht="12.75">
      <c r="A13" s="325" t="s">
        <v>781</v>
      </c>
      <c r="B13" s="329">
        <f>'Market Projection'!$F$63/12</f>
        <v>586575.3517333333</v>
      </c>
      <c r="C13" s="329">
        <f>'Market Projection'!$F$63/12</f>
        <v>586575.3517333333</v>
      </c>
      <c r="D13" s="329">
        <f>'Market Projection'!$F$63/12</f>
        <v>586575.3517333333</v>
      </c>
      <c r="E13" s="329">
        <f>'Market Projection'!$F$63/12</f>
        <v>586575.3517333333</v>
      </c>
      <c r="F13" s="329">
        <f>'Market Projection'!$F$63/12</f>
        <v>586575.3517333333</v>
      </c>
      <c r="G13" s="329">
        <f>'Market Projection'!$F$63/12</f>
        <v>586575.3517333333</v>
      </c>
      <c r="H13" s="329">
        <f>'Market Projection'!$F$63/12</f>
        <v>586575.3517333333</v>
      </c>
      <c r="I13" s="329">
        <f>'Market Projection'!$F$63/12</f>
        <v>586575.3517333333</v>
      </c>
      <c r="J13" s="329">
        <f>'Market Projection'!$F$63/12</f>
        <v>586575.3517333333</v>
      </c>
      <c r="K13" s="329">
        <f>'Market Projection'!$F$63/12</f>
        <v>586575.3517333333</v>
      </c>
      <c r="L13" s="329">
        <f>'Market Projection'!$F$63/12</f>
        <v>586575.3517333333</v>
      </c>
      <c r="M13" s="329">
        <f>'Market Projection'!$F$63/12</f>
        <v>586575.3517333333</v>
      </c>
      <c r="N13" s="329">
        <f>'Market Projection'!$G$63/12</f>
        <v>592441.1052506666</v>
      </c>
      <c r="O13" s="329">
        <f>'Market Projection'!$G$63/12</f>
        <v>592441.1052506666</v>
      </c>
      <c r="P13" s="329">
        <f>'Market Projection'!$G$63/12</f>
        <v>592441.1052506666</v>
      </c>
      <c r="Q13" s="329">
        <f>'Market Projection'!$G$63/12</f>
        <v>592441.1052506666</v>
      </c>
      <c r="R13" s="329">
        <f>'Market Projection'!$G$63/12</f>
        <v>592441.1052506666</v>
      </c>
      <c r="S13" s="329">
        <f>'Market Projection'!$G$63/12</f>
        <v>592441.1052506666</v>
      </c>
      <c r="T13" s="329">
        <f>'Market Projection'!$G$63/12</f>
        <v>592441.1052506666</v>
      </c>
      <c r="U13" s="329">
        <f>'Market Projection'!$G$63/12</f>
        <v>592441.1052506666</v>
      </c>
      <c r="V13" s="329">
        <f>'Market Projection'!$G$63/12</f>
        <v>592441.1052506666</v>
      </c>
      <c r="W13" s="329">
        <f>'Market Projection'!$G$63/12</f>
        <v>592441.1052506666</v>
      </c>
      <c r="X13" s="329">
        <f>'Market Projection'!$G$63/12</f>
        <v>592441.1052506666</v>
      </c>
      <c r="Y13" s="329">
        <f>'Market Projection'!$G$63/12</f>
        <v>592441.1052506666</v>
      </c>
      <c r="Z13" s="329">
        <f>'Market Projection'!$H$63/12</f>
        <v>598365.5163031734</v>
      </c>
      <c r="AA13" s="329">
        <f>'Market Projection'!$H$63/12</f>
        <v>598365.5163031734</v>
      </c>
      <c r="AB13" s="329">
        <f>'Market Projection'!$H$63/12</f>
        <v>598365.5163031734</v>
      </c>
      <c r="AC13" s="329">
        <f>'Market Projection'!$H$63/12</f>
        <v>598365.5163031734</v>
      </c>
      <c r="AD13" s="329">
        <f>'Market Projection'!$H$63/12</f>
        <v>598365.5163031734</v>
      </c>
      <c r="AE13" s="329">
        <f>'Market Projection'!$H$63/12</f>
        <v>598365.5163031734</v>
      </c>
      <c r="AF13" s="329">
        <f>'Market Projection'!$H$63/12</f>
        <v>598365.5163031734</v>
      </c>
      <c r="AG13" s="329">
        <f>'Market Projection'!$H$63/12</f>
        <v>598365.5163031734</v>
      </c>
      <c r="AH13" s="329">
        <f>'Market Projection'!$H$63/12</f>
        <v>598365.5163031734</v>
      </c>
      <c r="AI13" s="329">
        <f>'Market Projection'!$H$63/12</f>
        <v>598365.5163031734</v>
      </c>
      <c r="AJ13" s="329">
        <f>'Market Projection'!$H$63/12</f>
        <v>598365.5163031734</v>
      </c>
      <c r="AK13" s="329">
        <f>'Market Projection'!$H$63/12</f>
        <v>598365.5163031734</v>
      </c>
    </row>
    <row r="14" spans="1:37" ht="12.75">
      <c r="A14" s="325" t="s">
        <v>145</v>
      </c>
      <c r="B14" s="329">
        <f>'Market Projection'!$F$64/12</f>
        <v>252083.33333333328</v>
      </c>
      <c r="C14" s="329">
        <f>'Market Projection'!$F$64/12</f>
        <v>252083.33333333328</v>
      </c>
      <c r="D14" s="329">
        <f>'Market Projection'!$F$64/12</f>
        <v>252083.33333333328</v>
      </c>
      <c r="E14" s="329">
        <f>'Market Projection'!$F$64/12</f>
        <v>252083.33333333328</v>
      </c>
      <c r="F14" s="329">
        <f>'Market Projection'!$F$64/12</f>
        <v>252083.33333333328</v>
      </c>
      <c r="G14" s="329">
        <f>'Market Projection'!$F$64/12</f>
        <v>252083.33333333328</v>
      </c>
      <c r="H14" s="329">
        <f>'Market Projection'!$F$64/12</f>
        <v>252083.33333333328</v>
      </c>
      <c r="I14" s="329">
        <f>'Market Projection'!$F$64/12</f>
        <v>252083.33333333328</v>
      </c>
      <c r="J14" s="329">
        <f>'Market Projection'!$F$64/12</f>
        <v>252083.33333333328</v>
      </c>
      <c r="K14" s="329">
        <f>'Market Projection'!$F$64/12</f>
        <v>252083.33333333328</v>
      </c>
      <c r="L14" s="329">
        <f>'Market Projection'!$F$64/12</f>
        <v>252083.33333333328</v>
      </c>
      <c r="M14" s="329">
        <f>'Market Projection'!$F$64/12</f>
        <v>252083.33333333328</v>
      </c>
      <c r="N14" s="329">
        <f>'Market Projection'!$G$64/12</f>
        <v>254604.1666666666</v>
      </c>
      <c r="O14" s="329">
        <f>'Market Projection'!$G$64/12</f>
        <v>254604.1666666666</v>
      </c>
      <c r="P14" s="329">
        <f>'Market Projection'!$G$64/12</f>
        <v>254604.1666666666</v>
      </c>
      <c r="Q14" s="329">
        <f>'Market Projection'!$G$64/12</f>
        <v>254604.1666666666</v>
      </c>
      <c r="R14" s="329">
        <f>'Market Projection'!$G$64/12</f>
        <v>254604.1666666666</v>
      </c>
      <c r="S14" s="329">
        <f>'Market Projection'!$G$64/12</f>
        <v>254604.1666666666</v>
      </c>
      <c r="T14" s="329">
        <f>'Market Projection'!$G$64/12</f>
        <v>254604.1666666666</v>
      </c>
      <c r="U14" s="329">
        <f>'Market Projection'!$G$64/12</f>
        <v>254604.1666666666</v>
      </c>
      <c r="V14" s="329">
        <f>'Market Projection'!$G$64/12</f>
        <v>254604.1666666666</v>
      </c>
      <c r="W14" s="329">
        <f>'Market Projection'!$G$64/12</f>
        <v>254604.1666666666</v>
      </c>
      <c r="X14" s="329">
        <f>'Market Projection'!$G$64/12</f>
        <v>254604.1666666666</v>
      </c>
      <c r="Y14" s="329">
        <f>'Market Projection'!$G$64/12</f>
        <v>254604.1666666666</v>
      </c>
      <c r="Z14" s="329">
        <f>'Market Projection'!$H$64/12</f>
        <v>257150.20833333328</v>
      </c>
      <c r="AA14" s="329">
        <f>'Market Projection'!$H$64/12</f>
        <v>257150.20833333328</v>
      </c>
      <c r="AB14" s="329">
        <f>'Market Projection'!$H$64/12</f>
        <v>257150.20833333328</v>
      </c>
      <c r="AC14" s="329">
        <f>'Market Projection'!$H$64/12</f>
        <v>257150.20833333328</v>
      </c>
      <c r="AD14" s="329">
        <f>'Market Projection'!$H$64/12</f>
        <v>257150.20833333328</v>
      </c>
      <c r="AE14" s="329">
        <f>'Market Projection'!$H$64/12</f>
        <v>257150.20833333328</v>
      </c>
      <c r="AF14" s="329">
        <f>'Market Projection'!$H$64/12</f>
        <v>257150.20833333328</v>
      </c>
      <c r="AG14" s="329">
        <f>'Market Projection'!$H$64/12</f>
        <v>257150.20833333328</v>
      </c>
      <c r="AH14" s="329">
        <f>'Market Projection'!$H$64/12</f>
        <v>257150.20833333328</v>
      </c>
      <c r="AI14" s="329">
        <f>'Market Projection'!$H$64/12</f>
        <v>257150.20833333328</v>
      </c>
      <c r="AJ14" s="329">
        <f>'Market Projection'!$H$64/12</f>
        <v>257150.20833333328</v>
      </c>
      <c r="AK14" s="329">
        <f>'Market Projection'!$H$64/12</f>
        <v>257150.20833333328</v>
      </c>
    </row>
    <row r="15" spans="1:37" ht="12.75">
      <c r="A15" s="325" t="s">
        <v>316</v>
      </c>
      <c r="B15" s="329">
        <f>'Expense Projection'!$E$9/12</f>
        <v>15958.333333333334</v>
      </c>
      <c r="C15" s="329">
        <f>'Expense Projection'!$E$9/12</f>
        <v>15958.333333333334</v>
      </c>
      <c r="D15" s="329">
        <f>'Expense Projection'!$E$9/12</f>
        <v>15958.333333333334</v>
      </c>
      <c r="E15" s="329">
        <f>'Expense Projection'!$E$9/12</f>
        <v>15958.333333333334</v>
      </c>
      <c r="F15" s="329">
        <f>'Expense Projection'!$E$9/12</f>
        <v>15958.333333333334</v>
      </c>
      <c r="G15" s="329">
        <f>'Expense Projection'!$E$9/12</f>
        <v>15958.333333333334</v>
      </c>
      <c r="H15" s="329">
        <f>'Expense Projection'!$E$9/12</f>
        <v>15958.333333333334</v>
      </c>
      <c r="I15" s="329">
        <f>'Expense Projection'!$E$9/12</f>
        <v>15958.333333333334</v>
      </c>
      <c r="J15" s="329">
        <f>'Expense Projection'!$E$9/12</f>
        <v>15958.333333333334</v>
      </c>
      <c r="K15" s="329">
        <f>'Expense Projection'!$E$9/12</f>
        <v>15958.333333333334</v>
      </c>
      <c r="L15" s="329">
        <f>'Expense Projection'!$E$9/12</f>
        <v>15958.333333333334</v>
      </c>
      <c r="M15" s="329">
        <f>'Expense Projection'!$E$9/12</f>
        <v>15958.333333333334</v>
      </c>
      <c r="N15" s="329">
        <f>'Expense Projection'!$F$9/12</f>
        <v>16117.916666666666</v>
      </c>
      <c r="O15" s="329">
        <f>'Expense Projection'!$F$9/12</f>
        <v>16117.916666666666</v>
      </c>
      <c r="P15" s="329">
        <f>'Expense Projection'!$F$9/12</f>
        <v>16117.916666666666</v>
      </c>
      <c r="Q15" s="329">
        <f>'Expense Projection'!$F$9/12</f>
        <v>16117.916666666666</v>
      </c>
      <c r="R15" s="329">
        <f>'Expense Projection'!$F$9/12</f>
        <v>16117.916666666666</v>
      </c>
      <c r="S15" s="329">
        <f>'Expense Projection'!$F$9/12</f>
        <v>16117.916666666666</v>
      </c>
      <c r="T15" s="329">
        <f>'Expense Projection'!$F$9/12</f>
        <v>16117.916666666666</v>
      </c>
      <c r="U15" s="329">
        <f>'Expense Projection'!$F$9/12</f>
        <v>16117.916666666666</v>
      </c>
      <c r="V15" s="329">
        <f>'Expense Projection'!$F$9/12</f>
        <v>16117.916666666666</v>
      </c>
      <c r="W15" s="329">
        <f>'Expense Projection'!$F$9/12</f>
        <v>16117.916666666666</v>
      </c>
      <c r="X15" s="329">
        <f>'Expense Projection'!$F$9/12</f>
        <v>16117.916666666666</v>
      </c>
      <c r="Y15" s="329">
        <f>'Expense Projection'!$F$9/12</f>
        <v>16117.916666666666</v>
      </c>
      <c r="Z15" s="329">
        <f>'Expense Projection'!$G$9/12</f>
        <v>16279.095833333335</v>
      </c>
      <c r="AA15" s="329">
        <f>'Expense Projection'!$G$9/12</f>
        <v>16279.095833333335</v>
      </c>
      <c r="AB15" s="329">
        <f>'Expense Projection'!$G$9/12</f>
        <v>16279.095833333335</v>
      </c>
      <c r="AC15" s="329">
        <f>'Expense Projection'!$G$9/12</f>
        <v>16279.095833333335</v>
      </c>
      <c r="AD15" s="329">
        <f>'Expense Projection'!$G$9/12</f>
        <v>16279.095833333335</v>
      </c>
      <c r="AE15" s="329">
        <f>'Expense Projection'!$G$9/12</f>
        <v>16279.095833333335</v>
      </c>
      <c r="AF15" s="329">
        <f>'Expense Projection'!$G$9/12</f>
        <v>16279.095833333335</v>
      </c>
      <c r="AG15" s="329">
        <f>'Expense Projection'!$G$9/12</f>
        <v>16279.095833333335</v>
      </c>
      <c r="AH15" s="329">
        <f>'Expense Projection'!$G$9/12</f>
        <v>16279.095833333335</v>
      </c>
      <c r="AI15" s="329">
        <f>'Expense Projection'!$G$9/12</f>
        <v>16279.095833333335</v>
      </c>
      <c r="AJ15" s="329">
        <f>'Expense Projection'!$G$9/12</f>
        <v>16279.095833333335</v>
      </c>
      <c r="AK15" s="329">
        <f>'Expense Projection'!$G$9/12</f>
        <v>16279.095833333335</v>
      </c>
    </row>
    <row r="16" spans="1:37" ht="12.75">
      <c r="A16" s="325" t="s">
        <v>119</v>
      </c>
      <c r="B16" s="329">
        <f>'Expense Projection'!$E$15/12</f>
        <v>44503.333333333336</v>
      </c>
      <c r="C16" s="329">
        <f>'Expense Projection'!$E$15/12</f>
        <v>44503.333333333336</v>
      </c>
      <c r="D16" s="329">
        <f>'Expense Projection'!$E$15/12</f>
        <v>44503.333333333336</v>
      </c>
      <c r="E16" s="329">
        <f>'Expense Projection'!$E$15/12</f>
        <v>44503.333333333336</v>
      </c>
      <c r="F16" s="329">
        <f>'Expense Projection'!$E$15/12</f>
        <v>44503.333333333336</v>
      </c>
      <c r="G16" s="329">
        <f>'Expense Projection'!$E$15/12</f>
        <v>44503.333333333336</v>
      </c>
      <c r="H16" s="329">
        <f>'Expense Projection'!$E$15/12</f>
        <v>44503.333333333336</v>
      </c>
      <c r="I16" s="329">
        <f>'Expense Projection'!$E$15/12</f>
        <v>44503.333333333336</v>
      </c>
      <c r="J16" s="329">
        <f>'Expense Projection'!$E$15/12</f>
        <v>44503.333333333336</v>
      </c>
      <c r="K16" s="329">
        <f>'Expense Projection'!$E$15/12</f>
        <v>44503.333333333336</v>
      </c>
      <c r="L16" s="329">
        <f>'Expense Projection'!$E$15/12</f>
        <v>44503.333333333336</v>
      </c>
      <c r="M16" s="329">
        <f>'Expense Projection'!$E$15/12</f>
        <v>44503.333333333336</v>
      </c>
      <c r="N16" s="329">
        <f>'Expense Projection'!$F$15/12</f>
        <v>44948.36666666667</v>
      </c>
      <c r="O16" s="329">
        <f>'Expense Projection'!$F$15/12</f>
        <v>44948.36666666667</v>
      </c>
      <c r="P16" s="329">
        <f>'Expense Projection'!$F$15/12</f>
        <v>44948.36666666667</v>
      </c>
      <c r="Q16" s="329">
        <f>'Expense Projection'!$F$15/12</f>
        <v>44948.36666666667</v>
      </c>
      <c r="R16" s="329">
        <f>'Expense Projection'!$F$15/12</f>
        <v>44948.36666666667</v>
      </c>
      <c r="S16" s="329">
        <f>'Expense Projection'!$F$15/12</f>
        <v>44948.36666666667</v>
      </c>
      <c r="T16" s="329">
        <f>'Expense Projection'!$F$15/12</f>
        <v>44948.36666666667</v>
      </c>
      <c r="U16" s="329">
        <f>'Expense Projection'!$F$15/12</f>
        <v>44948.36666666667</v>
      </c>
      <c r="V16" s="329">
        <f>'Expense Projection'!$F$15/12</f>
        <v>44948.36666666667</v>
      </c>
      <c r="W16" s="329">
        <f>'Expense Projection'!$F$15/12</f>
        <v>44948.36666666667</v>
      </c>
      <c r="X16" s="329">
        <f>'Expense Projection'!$F$15/12</f>
        <v>44948.36666666667</v>
      </c>
      <c r="Y16" s="329">
        <f>'Expense Projection'!$F$15/12</f>
        <v>44948.36666666667</v>
      </c>
      <c r="Z16" s="329">
        <f>'Expense Projection'!$G$15/12</f>
        <v>45397.850333333336</v>
      </c>
      <c r="AA16" s="329">
        <f>'Expense Projection'!$G$15/12</f>
        <v>45397.850333333336</v>
      </c>
      <c r="AB16" s="329">
        <f>'Expense Projection'!$G$15/12</f>
        <v>45397.850333333336</v>
      </c>
      <c r="AC16" s="329">
        <f>'Expense Projection'!$G$15/12</f>
        <v>45397.850333333336</v>
      </c>
      <c r="AD16" s="329">
        <f>'Expense Projection'!$G$15/12</f>
        <v>45397.850333333336</v>
      </c>
      <c r="AE16" s="329">
        <f>'Expense Projection'!$G$15/12</f>
        <v>45397.850333333336</v>
      </c>
      <c r="AF16" s="329">
        <f>'Expense Projection'!$G$15/12</f>
        <v>45397.850333333336</v>
      </c>
      <c r="AG16" s="329">
        <f>'Expense Projection'!$G$15/12</f>
        <v>45397.850333333336</v>
      </c>
      <c r="AH16" s="329">
        <f>'Expense Projection'!$G$15/12</f>
        <v>45397.850333333336</v>
      </c>
      <c r="AI16" s="329">
        <f>'Expense Projection'!$G$15/12</f>
        <v>45397.850333333336</v>
      </c>
      <c r="AJ16" s="329">
        <f>'Expense Projection'!$G$15/12</f>
        <v>45397.850333333336</v>
      </c>
      <c r="AK16" s="329">
        <f>'Expense Projection'!$G$15/12</f>
        <v>45397.850333333336</v>
      </c>
    </row>
    <row r="17" spans="1:37" ht="12.75">
      <c r="A17" s="325" t="s">
        <v>317</v>
      </c>
      <c r="B17" s="329">
        <f>'Expense Projection'!$E$24/12</f>
        <v>38860.91394722222</v>
      </c>
      <c r="C17" s="329">
        <f>'Expense Projection'!$E$24/12</f>
        <v>38860.91394722222</v>
      </c>
      <c r="D17" s="329">
        <f>'Expense Projection'!$E$24/12</f>
        <v>38860.91394722222</v>
      </c>
      <c r="E17" s="329">
        <f>'Expense Projection'!$E$24/12</f>
        <v>38860.91394722222</v>
      </c>
      <c r="F17" s="329">
        <f>'Expense Projection'!$E$24/12</f>
        <v>38860.91394722222</v>
      </c>
      <c r="G17" s="329">
        <f>'Expense Projection'!$E$24/12</f>
        <v>38860.91394722222</v>
      </c>
      <c r="H17" s="329">
        <f>'Expense Projection'!$E$24/12</f>
        <v>38860.91394722222</v>
      </c>
      <c r="I17" s="329">
        <f>'Expense Projection'!$E$24/12</f>
        <v>38860.91394722222</v>
      </c>
      <c r="J17" s="329">
        <f>'Expense Projection'!$E$24/12</f>
        <v>38860.91394722222</v>
      </c>
      <c r="K17" s="329">
        <f>'Expense Projection'!$E$24/12</f>
        <v>38860.91394722222</v>
      </c>
      <c r="L17" s="329">
        <f>'Expense Projection'!$E$24/12</f>
        <v>38860.91394722222</v>
      </c>
      <c r="M17" s="329">
        <f>'Expense Projection'!$E$24/12</f>
        <v>38860.91394722222</v>
      </c>
      <c r="N17" s="329">
        <f>'Expense Projection'!$F$24/12</f>
        <v>38860.91394722222</v>
      </c>
      <c r="O17" s="329">
        <f>'Expense Projection'!$F$24/12</f>
        <v>38860.91394722222</v>
      </c>
      <c r="P17" s="329">
        <f>'Expense Projection'!$F$24/12</f>
        <v>38860.91394722222</v>
      </c>
      <c r="Q17" s="329">
        <f>'Expense Projection'!$F$24/12</f>
        <v>38860.91394722222</v>
      </c>
      <c r="R17" s="329">
        <f>'Expense Projection'!$F$24/12</f>
        <v>38860.91394722222</v>
      </c>
      <c r="S17" s="329">
        <f>'Expense Projection'!$F$24/12</f>
        <v>38860.91394722222</v>
      </c>
      <c r="T17" s="329">
        <f>'Expense Projection'!$F$24/12</f>
        <v>38860.91394722222</v>
      </c>
      <c r="U17" s="329">
        <f>'Expense Projection'!$F$24/12</f>
        <v>38860.91394722222</v>
      </c>
      <c r="V17" s="329">
        <f>'Expense Projection'!$F$24/12</f>
        <v>38860.91394722222</v>
      </c>
      <c r="W17" s="329">
        <f>'Expense Projection'!$F$24/12</f>
        <v>38860.91394722222</v>
      </c>
      <c r="X17" s="329">
        <f>'Expense Projection'!$F$24/12</f>
        <v>38860.91394722222</v>
      </c>
      <c r="Y17" s="329">
        <f>'Expense Projection'!$F$24/12</f>
        <v>38860.91394722222</v>
      </c>
      <c r="Z17" s="329">
        <f>'Expense Projection'!$G$24/12</f>
        <v>38860.91394722222</v>
      </c>
      <c r="AA17" s="329">
        <f>'Expense Projection'!$G$24/12</f>
        <v>38860.91394722222</v>
      </c>
      <c r="AB17" s="329">
        <f>'Expense Projection'!$G$24/12</f>
        <v>38860.91394722222</v>
      </c>
      <c r="AC17" s="329">
        <f>'Expense Projection'!$G$24/12</f>
        <v>38860.91394722222</v>
      </c>
      <c r="AD17" s="329">
        <f>'Expense Projection'!$G$24/12</f>
        <v>38860.91394722222</v>
      </c>
      <c r="AE17" s="329">
        <f>'Expense Projection'!$G$24/12</f>
        <v>38860.91394722222</v>
      </c>
      <c r="AF17" s="329">
        <f>'Expense Projection'!$G$24/12</f>
        <v>38860.91394722222</v>
      </c>
      <c r="AG17" s="329">
        <f>'Expense Projection'!$G$24/12</f>
        <v>38860.91394722222</v>
      </c>
      <c r="AH17" s="329">
        <f>'Expense Projection'!$G$24/12</f>
        <v>38860.91394722222</v>
      </c>
      <c r="AI17" s="329">
        <f>'Expense Projection'!$G$24/12</f>
        <v>38860.91394722222</v>
      </c>
      <c r="AJ17" s="329">
        <f>'Expense Projection'!$G$24/12</f>
        <v>38860.91394722222</v>
      </c>
      <c r="AK17" s="329">
        <f>'Expense Projection'!$G$24/12</f>
        <v>38860.91394722222</v>
      </c>
    </row>
    <row r="18" spans="1:37" ht="12.75">
      <c r="A18" s="325" t="s">
        <v>318</v>
      </c>
      <c r="B18" s="329">
        <f>'Expense Projection'!$E$35/12</f>
        <v>83854.98684380618</v>
      </c>
      <c r="C18" s="329">
        <f>'Expense Projection'!$E$35/12</f>
        <v>83854.98684380618</v>
      </c>
      <c r="D18" s="329">
        <f>'Expense Projection'!$E$35/12</f>
        <v>83854.98684380618</v>
      </c>
      <c r="E18" s="329">
        <f>'Expense Projection'!$E$35/12</f>
        <v>83854.98684380618</v>
      </c>
      <c r="F18" s="329">
        <f>'Expense Projection'!$E$35/12</f>
        <v>83854.98684380618</v>
      </c>
      <c r="G18" s="329">
        <f>'Expense Projection'!$E$35/12</f>
        <v>83854.98684380618</v>
      </c>
      <c r="H18" s="329">
        <f>'Expense Projection'!$E$35/12</f>
        <v>83854.98684380618</v>
      </c>
      <c r="I18" s="329">
        <f>'Expense Projection'!$E$35/12</f>
        <v>83854.98684380618</v>
      </c>
      <c r="J18" s="329">
        <f>'Expense Projection'!$E$35/12</f>
        <v>83854.98684380618</v>
      </c>
      <c r="K18" s="329">
        <f>'Expense Projection'!$E$35/12</f>
        <v>83854.98684380618</v>
      </c>
      <c r="L18" s="329">
        <f>'Expense Projection'!$E$35/12</f>
        <v>83854.98684380618</v>
      </c>
      <c r="M18" s="329">
        <f>'Expense Projection'!$E$35/12</f>
        <v>83854.98684380618</v>
      </c>
      <c r="N18" s="329">
        <f>'Expense Projection'!$F$35/12</f>
        <v>83854.98684380618</v>
      </c>
      <c r="O18" s="329">
        <f>'Expense Projection'!$F$35/12</f>
        <v>83854.98684380618</v>
      </c>
      <c r="P18" s="329">
        <f>'Expense Projection'!$F$35/12</f>
        <v>83854.98684380618</v>
      </c>
      <c r="Q18" s="329">
        <f>'Expense Projection'!$F$35/12</f>
        <v>83854.98684380618</v>
      </c>
      <c r="R18" s="329">
        <f>'Expense Projection'!$F$35/12</f>
        <v>83854.98684380618</v>
      </c>
      <c r="S18" s="329">
        <f>'Expense Projection'!$F$35/12</f>
        <v>83854.98684380618</v>
      </c>
      <c r="T18" s="329">
        <f>'Expense Projection'!$F$35/12</f>
        <v>83854.98684380618</v>
      </c>
      <c r="U18" s="329">
        <f>'Expense Projection'!$F$35/12</f>
        <v>83854.98684380618</v>
      </c>
      <c r="V18" s="329">
        <f>'Expense Projection'!$F$35/12</f>
        <v>83854.98684380618</v>
      </c>
      <c r="W18" s="329">
        <f>'Expense Projection'!$F$35/12</f>
        <v>83854.98684380618</v>
      </c>
      <c r="X18" s="329">
        <f>'Expense Projection'!$F$35/12</f>
        <v>83854.98684380618</v>
      </c>
      <c r="Y18" s="329">
        <f>'Expense Projection'!$F$35/12</f>
        <v>83854.98684380618</v>
      </c>
      <c r="Z18" s="329">
        <f>'Expense Projection'!$G$35/12</f>
        <v>83854.98684380618</v>
      </c>
      <c r="AA18" s="329">
        <f>'Expense Projection'!$G$35/12</f>
        <v>83854.98684380618</v>
      </c>
      <c r="AB18" s="329">
        <f>'Expense Projection'!$G$35/12</f>
        <v>83854.98684380618</v>
      </c>
      <c r="AC18" s="329">
        <f>'Expense Projection'!$G$35/12</f>
        <v>83854.98684380618</v>
      </c>
      <c r="AD18" s="329">
        <f>'Expense Projection'!$G$35/12</f>
        <v>83854.98684380618</v>
      </c>
      <c r="AE18" s="329">
        <f>'Expense Projection'!$G$35/12</f>
        <v>83854.98684380618</v>
      </c>
      <c r="AF18" s="329">
        <f>'Expense Projection'!$G$35/12</f>
        <v>83854.98684380618</v>
      </c>
      <c r="AG18" s="329">
        <f>'Expense Projection'!$G$35/12</f>
        <v>83854.98684380618</v>
      </c>
      <c r="AH18" s="329">
        <f>'Expense Projection'!$G$35/12</f>
        <v>83854.98684380618</v>
      </c>
      <c r="AI18" s="329">
        <f>'Expense Projection'!$G$35/12</f>
        <v>83854.98684380618</v>
      </c>
      <c r="AJ18" s="329">
        <f>'Expense Projection'!$G$35/12</f>
        <v>83854.98684380618</v>
      </c>
      <c r="AK18" s="329">
        <f>'Expense Projection'!$G$35/12</f>
        <v>83854.98684380618</v>
      </c>
    </row>
    <row r="19" spans="1:37" ht="12.75">
      <c r="A19" s="325" t="s">
        <v>364</v>
      </c>
      <c r="B19" s="329">
        <f>'Expense Projection'!$E$40/12</f>
        <v>18964.966970238096</v>
      </c>
      <c r="C19" s="329">
        <f>'Expense Projection'!$E$40/12</f>
        <v>18964.966970238096</v>
      </c>
      <c r="D19" s="329">
        <f>'Expense Projection'!$E$40/12</f>
        <v>18964.966970238096</v>
      </c>
      <c r="E19" s="329">
        <f>'Expense Projection'!$E$40/12</f>
        <v>18964.966970238096</v>
      </c>
      <c r="F19" s="329">
        <f>'Expense Projection'!$E$40/12</f>
        <v>18964.966970238096</v>
      </c>
      <c r="G19" s="329">
        <f>'Expense Projection'!$E$40/12</f>
        <v>18964.966970238096</v>
      </c>
      <c r="H19" s="329">
        <f>'Expense Projection'!$E$40/12</f>
        <v>18964.966970238096</v>
      </c>
      <c r="I19" s="329">
        <f>'Expense Projection'!$E$40/12</f>
        <v>18964.966970238096</v>
      </c>
      <c r="J19" s="329">
        <f>'Expense Projection'!$E$40/12</f>
        <v>18964.966970238096</v>
      </c>
      <c r="K19" s="329">
        <f>'Expense Projection'!$E$40/12</f>
        <v>18964.966970238096</v>
      </c>
      <c r="L19" s="329">
        <f>'Expense Projection'!$E$40/12</f>
        <v>18964.966970238096</v>
      </c>
      <c r="M19" s="329">
        <f>'Expense Projection'!$E$40/12</f>
        <v>18964.966970238096</v>
      </c>
      <c r="N19" s="329">
        <f>'Expense Projection'!$F$40/12</f>
        <v>18964.966970238096</v>
      </c>
      <c r="O19" s="329">
        <f>'Expense Projection'!$F$40/12</f>
        <v>18964.966970238096</v>
      </c>
      <c r="P19" s="329">
        <f>'Expense Projection'!$F$40/12</f>
        <v>18964.966970238096</v>
      </c>
      <c r="Q19" s="329">
        <f>'Expense Projection'!$F$40/12</f>
        <v>18964.966970238096</v>
      </c>
      <c r="R19" s="329">
        <f>'Expense Projection'!$F$40/12</f>
        <v>18964.966970238096</v>
      </c>
      <c r="S19" s="329">
        <f>'Expense Projection'!$F$40/12</f>
        <v>18964.966970238096</v>
      </c>
      <c r="T19" s="329">
        <f>'Expense Projection'!$F$40/12</f>
        <v>18964.966970238096</v>
      </c>
      <c r="U19" s="329">
        <f>'Expense Projection'!$F$40/12</f>
        <v>18964.966970238096</v>
      </c>
      <c r="V19" s="329">
        <f>'Expense Projection'!$F$40/12</f>
        <v>18964.966970238096</v>
      </c>
      <c r="W19" s="329">
        <f>'Expense Projection'!$F$40/12</f>
        <v>18964.966970238096</v>
      </c>
      <c r="X19" s="329">
        <f>'Expense Projection'!$F$40/12</f>
        <v>18964.966970238096</v>
      </c>
      <c r="Y19" s="329">
        <f>'Expense Projection'!$F$40/12</f>
        <v>18964.966970238096</v>
      </c>
      <c r="Z19" s="329">
        <f>'Expense Projection'!$G$40/12</f>
        <v>18964.966970238096</v>
      </c>
      <c r="AA19" s="329">
        <f>'Expense Projection'!$G$40/12</f>
        <v>18964.966970238096</v>
      </c>
      <c r="AB19" s="329">
        <f>'Expense Projection'!$G$40/12</f>
        <v>18964.966970238096</v>
      </c>
      <c r="AC19" s="329">
        <f>'Expense Projection'!$G$40/12</f>
        <v>18964.966970238096</v>
      </c>
      <c r="AD19" s="329">
        <f>'Expense Projection'!$G$40/12</f>
        <v>18964.966970238096</v>
      </c>
      <c r="AE19" s="329">
        <f>'Expense Projection'!$G$40/12</f>
        <v>18964.966970238096</v>
      </c>
      <c r="AF19" s="329">
        <f>'Expense Projection'!$G$40/12</f>
        <v>18964.966970238096</v>
      </c>
      <c r="AG19" s="329">
        <f>'Expense Projection'!$G$40/12</f>
        <v>18964.966970238096</v>
      </c>
      <c r="AH19" s="329">
        <f>'Expense Projection'!$G$40/12</f>
        <v>18964.966970238096</v>
      </c>
      <c r="AI19" s="329">
        <f>'Expense Projection'!$G$40/12</f>
        <v>18964.966970238096</v>
      </c>
      <c r="AJ19" s="329">
        <f>'Expense Projection'!$G$40/12</f>
        <v>18964.966970238096</v>
      </c>
      <c r="AK19" s="329">
        <f>'Expense Projection'!$G$40/12</f>
        <v>18964.966970238096</v>
      </c>
    </row>
    <row r="20" spans="1:37" ht="12.75">
      <c r="A20" s="325" t="s">
        <v>366</v>
      </c>
      <c r="B20" s="329">
        <f>'Expense Projection'!$E$42/12</f>
        <v>4350.493394047619</v>
      </c>
      <c r="C20" s="329">
        <f>'Expense Projection'!$E$42/12</f>
        <v>4350.493394047619</v>
      </c>
      <c r="D20" s="329">
        <f>'Expense Projection'!$E$42/12</f>
        <v>4350.493394047619</v>
      </c>
      <c r="E20" s="329">
        <f>'Expense Projection'!$E$42/12</f>
        <v>4350.493394047619</v>
      </c>
      <c r="F20" s="329">
        <f>'Expense Projection'!$E$42/12</f>
        <v>4350.493394047619</v>
      </c>
      <c r="G20" s="329">
        <f>'Expense Projection'!$E$42/12</f>
        <v>4350.493394047619</v>
      </c>
      <c r="H20" s="329">
        <f>'Expense Projection'!$E$42/12</f>
        <v>4350.493394047619</v>
      </c>
      <c r="I20" s="329">
        <f>'Expense Projection'!$E$42/12</f>
        <v>4350.493394047619</v>
      </c>
      <c r="J20" s="329">
        <f>'Expense Projection'!$E$42/12</f>
        <v>4350.493394047619</v>
      </c>
      <c r="K20" s="329">
        <f>'Expense Projection'!$E$42/12</f>
        <v>4350.493394047619</v>
      </c>
      <c r="L20" s="329">
        <f>'Expense Projection'!$E$42/12</f>
        <v>4350.493394047619</v>
      </c>
      <c r="M20" s="329">
        <f>'Expense Projection'!$E$42/12</f>
        <v>4350.493394047619</v>
      </c>
      <c r="N20" s="329">
        <f>'Expense Projection'!$F$42/12</f>
        <v>4350.493394047619</v>
      </c>
      <c r="O20" s="329">
        <f>'Expense Projection'!$F$42/12</f>
        <v>4350.493394047619</v>
      </c>
      <c r="P20" s="329">
        <f>'Expense Projection'!$F$42/12</f>
        <v>4350.493394047619</v>
      </c>
      <c r="Q20" s="329">
        <f>'Expense Projection'!$F$42/12</f>
        <v>4350.493394047619</v>
      </c>
      <c r="R20" s="329">
        <f>'Expense Projection'!$F$42/12</f>
        <v>4350.493394047619</v>
      </c>
      <c r="S20" s="329">
        <f>'Expense Projection'!$F$42/12</f>
        <v>4350.493394047619</v>
      </c>
      <c r="T20" s="329">
        <f>'Expense Projection'!$F$42/12</f>
        <v>4350.493394047619</v>
      </c>
      <c r="U20" s="329">
        <f>'Expense Projection'!$F$42/12</f>
        <v>4350.493394047619</v>
      </c>
      <c r="V20" s="329">
        <f>'Expense Projection'!$F$42/12</f>
        <v>4350.493394047619</v>
      </c>
      <c r="W20" s="329">
        <f>'Expense Projection'!$F$42/12</f>
        <v>4350.493394047619</v>
      </c>
      <c r="X20" s="329">
        <f>'Expense Projection'!$F$42/12</f>
        <v>4350.493394047619</v>
      </c>
      <c r="Y20" s="329">
        <f>'Expense Projection'!$F$42/12</f>
        <v>4350.493394047619</v>
      </c>
      <c r="Z20" s="329">
        <f>'Expense Projection'!$G$42/12</f>
        <v>4350.493394047619</v>
      </c>
      <c r="AA20" s="329">
        <f>'Expense Projection'!$G$42/12</f>
        <v>4350.493394047619</v>
      </c>
      <c r="AB20" s="329">
        <f>'Expense Projection'!$G$42/12</f>
        <v>4350.493394047619</v>
      </c>
      <c r="AC20" s="329">
        <f>'Expense Projection'!$G$42/12</f>
        <v>4350.493394047619</v>
      </c>
      <c r="AD20" s="329">
        <f>'Expense Projection'!$G$42/12</f>
        <v>4350.493394047619</v>
      </c>
      <c r="AE20" s="329">
        <f>'Expense Projection'!$G$42/12</f>
        <v>4350.493394047619</v>
      </c>
      <c r="AF20" s="329">
        <f>'Expense Projection'!$G$42/12</f>
        <v>4350.493394047619</v>
      </c>
      <c r="AG20" s="329">
        <f>'Expense Projection'!$G$42/12</f>
        <v>4350.493394047619</v>
      </c>
      <c r="AH20" s="329">
        <f>'Expense Projection'!$G$42/12</f>
        <v>4350.493394047619</v>
      </c>
      <c r="AI20" s="329">
        <f>'Expense Projection'!$G$42/12</f>
        <v>4350.493394047619</v>
      </c>
      <c r="AJ20" s="329">
        <f>'Expense Projection'!$G$42/12</f>
        <v>4350.493394047619</v>
      </c>
      <c r="AK20" s="329">
        <f>'Expense Projection'!$G$42/12</f>
        <v>4350.493394047619</v>
      </c>
    </row>
    <row r="21" spans="1:37" ht="12.75">
      <c r="A21" s="325" t="s">
        <v>365</v>
      </c>
      <c r="B21" s="329">
        <f>'Expense Projection'!$E$44/12</f>
        <v>4358.826727380953</v>
      </c>
      <c r="C21" s="329">
        <f>'Expense Projection'!$E$44/12</f>
        <v>4358.826727380953</v>
      </c>
      <c r="D21" s="329">
        <f>'Expense Projection'!$E$44/12</f>
        <v>4358.826727380953</v>
      </c>
      <c r="E21" s="329">
        <f>'Expense Projection'!$E$44/12</f>
        <v>4358.826727380953</v>
      </c>
      <c r="F21" s="329">
        <f>'Expense Projection'!$E$44/12</f>
        <v>4358.826727380953</v>
      </c>
      <c r="G21" s="329">
        <f>'Expense Projection'!$E$44/12</f>
        <v>4358.826727380953</v>
      </c>
      <c r="H21" s="329">
        <f>'Expense Projection'!$E$44/12</f>
        <v>4358.826727380953</v>
      </c>
      <c r="I21" s="329">
        <f>'Expense Projection'!$E$44/12</f>
        <v>4358.826727380953</v>
      </c>
      <c r="J21" s="329">
        <f>'Expense Projection'!$E$44/12</f>
        <v>4358.826727380953</v>
      </c>
      <c r="K21" s="329">
        <f>'Expense Projection'!$E$44/12</f>
        <v>4358.826727380953</v>
      </c>
      <c r="L21" s="329">
        <f>'Expense Projection'!$E$44/12</f>
        <v>4358.826727380953</v>
      </c>
      <c r="M21" s="329">
        <f>'Expense Projection'!$E$44/12</f>
        <v>4358.826727380953</v>
      </c>
      <c r="N21" s="329">
        <f>'Expense Projection'!$F$44/12</f>
        <v>4358.826727380953</v>
      </c>
      <c r="O21" s="329">
        <f>'Expense Projection'!$F$44/12</f>
        <v>4358.826727380953</v>
      </c>
      <c r="P21" s="329">
        <f>'Expense Projection'!$F$44/12</f>
        <v>4358.826727380953</v>
      </c>
      <c r="Q21" s="329">
        <f>'Expense Projection'!$F$44/12</f>
        <v>4358.826727380953</v>
      </c>
      <c r="R21" s="329">
        <f>'Expense Projection'!$F$44/12</f>
        <v>4358.826727380953</v>
      </c>
      <c r="S21" s="329">
        <f>'Expense Projection'!$F$44/12</f>
        <v>4358.826727380953</v>
      </c>
      <c r="T21" s="329">
        <f>'Expense Projection'!$F$44/12</f>
        <v>4358.826727380953</v>
      </c>
      <c r="U21" s="329">
        <f>'Expense Projection'!$F$44/12</f>
        <v>4358.826727380953</v>
      </c>
      <c r="V21" s="329">
        <f>'Expense Projection'!$F$44/12</f>
        <v>4358.826727380953</v>
      </c>
      <c r="W21" s="329">
        <f>'Expense Projection'!$F$44/12</f>
        <v>4358.826727380953</v>
      </c>
      <c r="X21" s="329">
        <f>'Expense Projection'!$F$44/12</f>
        <v>4358.826727380953</v>
      </c>
      <c r="Y21" s="329">
        <f>'Expense Projection'!$F$44/12</f>
        <v>4358.826727380953</v>
      </c>
      <c r="Z21" s="329">
        <f>'Expense Projection'!$G$44/12</f>
        <v>4358.826727380953</v>
      </c>
      <c r="AA21" s="329">
        <f>'Expense Projection'!$G$44/12</f>
        <v>4358.826727380953</v>
      </c>
      <c r="AB21" s="329">
        <f>'Expense Projection'!$G$44/12</f>
        <v>4358.826727380953</v>
      </c>
      <c r="AC21" s="329">
        <f>'Expense Projection'!$G$44/12</f>
        <v>4358.826727380953</v>
      </c>
      <c r="AD21" s="329">
        <f>'Expense Projection'!$G$44/12</f>
        <v>4358.826727380953</v>
      </c>
      <c r="AE21" s="329">
        <f>'Expense Projection'!$G$44/12</f>
        <v>4358.826727380953</v>
      </c>
      <c r="AF21" s="329">
        <f>'Expense Projection'!$G$44/12</f>
        <v>4358.826727380953</v>
      </c>
      <c r="AG21" s="329">
        <f>'Expense Projection'!$G$44/12</f>
        <v>4358.826727380953</v>
      </c>
      <c r="AH21" s="329">
        <f>'Expense Projection'!$G$44/12</f>
        <v>4358.826727380953</v>
      </c>
      <c r="AI21" s="329">
        <f>'Expense Projection'!$G$44/12</f>
        <v>4358.826727380953</v>
      </c>
      <c r="AJ21" s="329">
        <f>'Expense Projection'!$G$44/12</f>
        <v>4358.826727380953</v>
      </c>
      <c r="AK21" s="329">
        <f>'Expense Projection'!$G$44/12</f>
        <v>4358.826727380953</v>
      </c>
    </row>
    <row r="22" spans="1:37" ht="12.75">
      <c r="A22" s="323" t="s">
        <v>324</v>
      </c>
      <c r="B22" s="327">
        <f>SUM(B12:B21)</f>
        <v>2444072.539616029</v>
      </c>
      <c r="C22" s="327">
        <f aca="true" t="shared" si="2" ref="C22:AK22">SUM(C12:C21)</f>
        <v>2444072.539616029</v>
      </c>
      <c r="D22" s="327">
        <f t="shared" si="2"/>
        <v>2444072.539616029</v>
      </c>
      <c r="E22" s="327">
        <f t="shared" si="2"/>
        <v>2444072.539616029</v>
      </c>
      <c r="F22" s="327">
        <f t="shared" si="2"/>
        <v>2444072.539616029</v>
      </c>
      <c r="G22" s="327">
        <f t="shared" si="2"/>
        <v>2444072.539616029</v>
      </c>
      <c r="H22" s="327">
        <f t="shared" si="2"/>
        <v>2444072.539616029</v>
      </c>
      <c r="I22" s="327">
        <f t="shared" si="2"/>
        <v>2444072.539616029</v>
      </c>
      <c r="J22" s="327">
        <f t="shared" si="2"/>
        <v>2444072.539616029</v>
      </c>
      <c r="K22" s="327">
        <f t="shared" si="2"/>
        <v>2444072.539616029</v>
      </c>
      <c r="L22" s="327">
        <f t="shared" si="2"/>
        <v>2444072.539616029</v>
      </c>
      <c r="M22" s="327">
        <f t="shared" si="2"/>
        <v>2444072.539616029</v>
      </c>
      <c r="N22" s="327">
        <f t="shared" si="2"/>
        <v>2467009.3631333616</v>
      </c>
      <c r="O22" s="327">
        <f t="shared" si="2"/>
        <v>2467009.3631333616</v>
      </c>
      <c r="P22" s="327">
        <f t="shared" si="2"/>
        <v>2467009.3631333616</v>
      </c>
      <c r="Q22" s="327">
        <f t="shared" si="2"/>
        <v>2467009.3631333616</v>
      </c>
      <c r="R22" s="327">
        <f t="shared" si="2"/>
        <v>2467009.3631333616</v>
      </c>
      <c r="S22" s="327">
        <f t="shared" si="2"/>
        <v>2467009.3631333616</v>
      </c>
      <c r="T22" s="327">
        <f t="shared" si="2"/>
        <v>2467009.3631333616</v>
      </c>
      <c r="U22" s="327">
        <f t="shared" si="2"/>
        <v>2467009.3631333616</v>
      </c>
      <c r="V22" s="327">
        <f t="shared" si="2"/>
        <v>2467009.3631333616</v>
      </c>
      <c r="W22" s="327">
        <f t="shared" si="2"/>
        <v>2467009.3631333616</v>
      </c>
      <c r="X22" s="327">
        <f t="shared" si="2"/>
        <v>2467009.3631333616</v>
      </c>
      <c r="Y22" s="327">
        <f t="shared" si="2"/>
        <v>2467009.3631333616</v>
      </c>
      <c r="Z22" s="327">
        <f t="shared" si="2"/>
        <v>2490175.5548858684</v>
      </c>
      <c r="AA22" s="327">
        <f t="shared" si="2"/>
        <v>2490175.5548858684</v>
      </c>
      <c r="AB22" s="327">
        <f t="shared" si="2"/>
        <v>2490175.5548858684</v>
      </c>
      <c r="AC22" s="327">
        <f t="shared" si="2"/>
        <v>2490175.5548858684</v>
      </c>
      <c r="AD22" s="327">
        <f t="shared" si="2"/>
        <v>2490175.5548858684</v>
      </c>
      <c r="AE22" s="327">
        <f t="shared" si="2"/>
        <v>2490175.5548858684</v>
      </c>
      <c r="AF22" s="327">
        <f t="shared" si="2"/>
        <v>2490175.5548858684</v>
      </c>
      <c r="AG22" s="327">
        <f t="shared" si="2"/>
        <v>2490175.5548858684</v>
      </c>
      <c r="AH22" s="327">
        <f t="shared" si="2"/>
        <v>2490175.5548858684</v>
      </c>
      <c r="AI22" s="327">
        <f t="shared" si="2"/>
        <v>2490175.5548858684</v>
      </c>
      <c r="AJ22" s="327">
        <f t="shared" si="2"/>
        <v>2490175.5548858684</v>
      </c>
      <c r="AK22" s="327">
        <f t="shared" si="2"/>
        <v>2490175.5548858684</v>
      </c>
    </row>
    <row r="23" spans="1:37" ht="12.75">
      <c r="A23" s="325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</row>
    <row r="24" spans="1:37" ht="12.75">
      <c r="A24" s="323" t="s">
        <v>277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</row>
    <row r="25" spans="1:37" ht="12.75">
      <c r="A25" s="325" t="s">
        <v>319</v>
      </c>
      <c r="B25" s="329">
        <f>'Loan Amortization'!$C$22/12</f>
        <v>3125</v>
      </c>
      <c r="C25" s="329">
        <f>'Loan Amortization'!$C$22/12</f>
        <v>3125</v>
      </c>
      <c r="D25" s="329">
        <f>'Loan Amortization'!$C$22/12</f>
        <v>3125</v>
      </c>
      <c r="E25" s="329">
        <f>'Loan Amortization'!$C$22/12</f>
        <v>3125</v>
      </c>
      <c r="F25" s="329">
        <f>'Loan Amortization'!$C$22/12</f>
        <v>3125</v>
      </c>
      <c r="G25" s="329">
        <f>'Loan Amortization'!$C$22/12</f>
        <v>3125</v>
      </c>
      <c r="H25" s="329">
        <f>'Loan Amortization'!$C$22/12</f>
        <v>3125</v>
      </c>
      <c r="I25" s="329">
        <f>'Loan Amortization'!$C$22/12</f>
        <v>3125</v>
      </c>
      <c r="J25" s="329">
        <f>'Loan Amortization'!$C$22/12</f>
        <v>3125</v>
      </c>
      <c r="K25" s="329">
        <f>'Loan Amortization'!$C$22/12</f>
        <v>3125</v>
      </c>
      <c r="L25" s="329">
        <f>'Loan Amortization'!$C$22/12</f>
        <v>3125</v>
      </c>
      <c r="M25" s="329">
        <f>'Loan Amortization'!$C$22/12</f>
        <v>3125</v>
      </c>
      <c r="N25" s="329">
        <f>'Loan Amortization'!$D$22/12</f>
        <v>3125</v>
      </c>
      <c r="O25" s="329">
        <f>'Loan Amortization'!$D$22/12</f>
        <v>3125</v>
      </c>
      <c r="P25" s="329">
        <f>'Loan Amortization'!$D$22/12</f>
        <v>3125</v>
      </c>
      <c r="Q25" s="329">
        <f>'Loan Amortization'!$D$22/12</f>
        <v>3125</v>
      </c>
      <c r="R25" s="329">
        <f>'Loan Amortization'!$D$22/12</f>
        <v>3125</v>
      </c>
      <c r="S25" s="329">
        <f>'Loan Amortization'!$D$22/12</f>
        <v>3125</v>
      </c>
      <c r="T25" s="329">
        <f>'Loan Amortization'!$D$22/12</f>
        <v>3125</v>
      </c>
      <c r="U25" s="329">
        <f>'Loan Amortization'!$D$22/12</f>
        <v>3125</v>
      </c>
      <c r="V25" s="329">
        <f>'Loan Amortization'!$D$22/12</f>
        <v>3125</v>
      </c>
      <c r="W25" s="329">
        <f>'Loan Amortization'!$D$22/12</f>
        <v>3125</v>
      </c>
      <c r="X25" s="329">
        <f>'Loan Amortization'!$D$22/12</f>
        <v>3125</v>
      </c>
      <c r="Y25" s="329">
        <f>'Loan Amortization'!$D$22/12</f>
        <v>3125</v>
      </c>
      <c r="Z25" s="329">
        <f>'Loan Amortization'!$E$22/12</f>
        <v>3125</v>
      </c>
      <c r="AA25" s="329">
        <f>'Loan Amortization'!$E$22/12</f>
        <v>3125</v>
      </c>
      <c r="AB25" s="329">
        <f>'Loan Amortization'!$E$22/12</f>
        <v>3125</v>
      </c>
      <c r="AC25" s="329">
        <f>'Loan Amortization'!$E$22/12</f>
        <v>3125</v>
      </c>
      <c r="AD25" s="329">
        <f>'Loan Amortization'!$E$22/12</f>
        <v>3125</v>
      </c>
      <c r="AE25" s="329">
        <f>'Loan Amortization'!$E$22/12</f>
        <v>3125</v>
      </c>
      <c r="AF25" s="329">
        <f>'Loan Amortization'!$E$22/12</f>
        <v>3125</v>
      </c>
      <c r="AG25" s="329">
        <f>'Loan Amortization'!$E$22/12</f>
        <v>3125</v>
      </c>
      <c r="AH25" s="329">
        <f>'Loan Amortization'!$E$22/12</f>
        <v>3125</v>
      </c>
      <c r="AI25" s="329">
        <f>'Loan Amortization'!$E$22/12</f>
        <v>3125</v>
      </c>
      <c r="AJ25" s="329">
        <f>'Loan Amortization'!$E$22/12</f>
        <v>3125</v>
      </c>
      <c r="AK25" s="329">
        <f>'Loan Amortization'!$E$22/12</f>
        <v>3125</v>
      </c>
    </row>
    <row r="26" spans="1:37" ht="12.75">
      <c r="A26" s="325" t="s">
        <v>320</v>
      </c>
      <c r="B26" s="329">
        <v>0</v>
      </c>
      <c r="C26" s="329">
        <f>B8</f>
        <v>500000</v>
      </c>
      <c r="D26" s="329">
        <f aca="true" t="shared" si="3" ref="D26:AK26">C8</f>
        <v>500000</v>
      </c>
      <c r="E26" s="329">
        <f t="shared" si="3"/>
        <v>500000</v>
      </c>
      <c r="F26" s="329">
        <f t="shared" si="3"/>
        <v>500000</v>
      </c>
      <c r="G26" s="329">
        <f t="shared" si="3"/>
        <v>500000</v>
      </c>
      <c r="H26" s="329">
        <f t="shared" si="3"/>
        <v>500000</v>
      </c>
      <c r="I26" s="329">
        <f t="shared" si="3"/>
        <v>500000</v>
      </c>
      <c r="J26" s="329">
        <f t="shared" si="3"/>
        <v>500000</v>
      </c>
      <c r="K26" s="329">
        <f t="shared" si="3"/>
        <v>500000</v>
      </c>
      <c r="L26" s="329">
        <f t="shared" si="3"/>
        <v>500000</v>
      </c>
      <c r="M26" s="329">
        <f t="shared" si="3"/>
        <v>500000</v>
      </c>
      <c r="N26" s="329">
        <f t="shared" si="3"/>
        <v>500000</v>
      </c>
      <c r="O26" s="329">
        <f t="shared" si="3"/>
        <v>500000</v>
      </c>
      <c r="P26" s="329">
        <f t="shared" si="3"/>
        <v>500000</v>
      </c>
      <c r="Q26" s="329">
        <f t="shared" si="3"/>
        <v>500000</v>
      </c>
      <c r="R26" s="329">
        <f t="shared" si="3"/>
        <v>500000</v>
      </c>
      <c r="S26" s="329">
        <f t="shared" si="3"/>
        <v>500000</v>
      </c>
      <c r="T26" s="329">
        <f t="shared" si="3"/>
        <v>500000</v>
      </c>
      <c r="U26" s="329">
        <f t="shared" si="3"/>
        <v>500000</v>
      </c>
      <c r="V26" s="329">
        <f t="shared" si="3"/>
        <v>500000</v>
      </c>
      <c r="W26" s="329">
        <f t="shared" si="3"/>
        <v>500000</v>
      </c>
      <c r="X26" s="329">
        <f t="shared" si="3"/>
        <v>500000</v>
      </c>
      <c r="Y26" s="329">
        <f t="shared" si="3"/>
        <v>500000</v>
      </c>
      <c r="Z26" s="329">
        <f t="shared" si="3"/>
        <v>500000</v>
      </c>
      <c r="AA26" s="329">
        <f t="shared" si="3"/>
        <v>500000</v>
      </c>
      <c r="AB26" s="329">
        <f t="shared" si="3"/>
        <v>500000</v>
      </c>
      <c r="AC26" s="329">
        <f t="shared" si="3"/>
        <v>500000</v>
      </c>
      <c r="AD26" s="329">
        <f t="shared" si="3"/>
        <v>500000</v>
      </c>
      <c r="AE26" s="329">
        <f t="shared" si="3"/>
        <v>500000</v>
      </c>
      <c r="AF26" s="329">
        <f t="shared" si="3"/>
        <v>500000</v>
      </c>
      <c r="AG26" s="329">
        <f t="shared" si="3"/>
        <v>500000</v>
      </c>
      <c r="AH26" s="329">
        <f t="shared" si="3"/>
        <v>500000</v>
      </c>
      <c r="AI26" s="329">
        <f t="shared" si="3"/>
        <v>500000</v>
      </c>
      <c r="AJ26" s="329">
        <f t="shared" si="3"/>
        <v>500000</v>
      </c>
      <c r="AK26" s="329">
        <f t="shared" si="3"/>
        <v>500000</v>
      </c>
    </row>
    <row r="27" spans="1:37" ht="12.75">
      <c r="A27" s="325" t="s">
        <v>278</v>
      </c>
      <c r="B27" s="329">
        <f>'Loan Amortization'!$C$12/12</f>
        <v>16345.600227678573</v>
      </c>
      <c r="C27" s="329">
        <f>'Loan Amortization'!$C$12/12</f>
        <v>16345.600227678573</v>
      </c>
      <c r="D27" s="329">
        <f>'Loan Amortization'!$C$12/12</f>
        <v>16345.600227678573</v>
      </c>
      <c r="E27" s="329">
        <f>'Loan Amortization'!$C$12/12</f>
        <v>16345.600227678573</v>
      </c>
      <c r="F27" s="329">
        <f>'Loan Amortization'!$C$12/12</f>
        <v>16345.600227678573</v>
      </c>
      <c r="G27" s="329">
        <f>'Loan Amortization'!$C$12/12</f>
        <v>16345.600227678573</v>
      </c>
      <c r="H27" s="329">
        <f>'Loan Amortization'!$C$12/12</f>
        <v>16345.600227678573</v>
      </c>
      <c r="I27" s="329">
        <f>'Loan Amortization'!$C$12/12</f>
        <v>16345.600227678573</v>
      </c>
      <c r="J27" s="329">
        <f>'Loan Amortization'!$C$12/12</f>
        <v>16345.600227678573</v>
      </c>
      <c r="K27" s="329">
        <f>'Loan Amortization'!$C$12/12</f>
        <v>16345.600227678573</v>
      </c>
      <c r="L27" s="329">
        <f>'Loan Amortization'!$C$12/12</f>
        <v>16345.600227678573</v>
      </c>
      <c r="M27" s="329">
        <f>'Loan Amortization'!$C$12/12</f>
        <v>16345.600227678573</v>
      </c>
      <c r="N27" s="329">
        <f>'Loan Amortization'!$D$12/12</f>
        <v>15190.196316248475</v>
      </c>
      <c r="O27" s="329">
        <f>'Loan Amortization'!$D$12/12</f>
        <v>15190.196316248475</v>
      </c>
      <c r="P27" s="329">
        <f>'Loan Amortization'!$D$12/12</f>
        <v>15190.196316248475</v>
      </c>
      <c r="Q27" s="329">
        <f>'Loan Amortization'!$D$12/12</f>
        <v>15190.196316248475</v>
      </c>
      <c r="R27" s="329">
        <f>'Loan Amortization'!$D$12/12</f>
        <v>15190.196316248475</v>
      </c>
      <c r="S27" s="329">
        <f>'Loan Amortization'!$D$12/12</f>
        <v>15190.196316248475</v>
      </c>
      <c r="T27" s="329">
        <f>'Loan Amortization'!$D$12/12</f>
        <v>15190.196316248475</v>
      </c>
      <c r="U27" s="329">
        <f>'Loan Amortization'!$D$12/12</f>
        <v>15190.196316248475</v>
      </c>
      <c r="V27" s="329">
        <f>'Loan Amortization'!$D$12/12</f>
        <v>15190.196316248475</v>
      </c>
      <c r="W27" s="329">
        <f>'Loan Amortization'!$D$12/12</f>
        <v>15190.196316248475</v>
      </c>
      <c r="X27" s="329">
        <f>'Loan Amortization'!$D$12/12</f>
        <v>15190.196316248475</v>
      </c>
      <c r="Y27" s="329">
        <f>'Loan Amortization'!$D$12/12</f>
        <v>15190.196316248475</v>
      </c>
      <c r="Z27" s="329">
        <f>'Loan Amortization'!$E$12/12</f>
        <v>13948.137111461123</v>
      </c>
      <c r="AA27" s="329">
        <f>'Loan Amortization'!$E$12/12</f>
        <v>13948.137111461123</v>
      </c>
      <c r="AB27" s="329">
        <f>'Loan Amortization'!$E$12/12</f>
        <v>13948.137111461123</v>
      </c>
      <c r="AC27" s="329">
        <f>'Loan Amortization'!$E$12/12</f>
        <v>13948.137111461123</v>
      </c>
      <c r="AD27" s="329">
        <f>'Loan Amortization'!$E$12/12</f>
        <v>13948.137111461123</v>
      </c>
      <c r="AE27" s="329">
        <f>'Loan Amortization'!$E$12/12</f>
        <v>13948.137111461123</v>
      </c>
      <c r="AF27" s="329">
        <f>'Loan Amortization'!$E$12/12</f>
        <v>13948.137111461123</v>
      </c>
      <c r="AG27" s="329">
        <f>'Loan Amortization'!$E$12/12</f>
        <v>13948.137111461123</v>
      </c>
      <c r="AH27" s="329">
        <f>'Loan Amortization'!$E$12/12</f>
        <v>13948.137111461123</v>
      </c>
      <c r="AI27" s="329">
        <f>'Loan Amortization'!$E$12/12</f>
        <v>13948.137111461123</v>
      </c>
      <c r="AJ27" s="329">
        <f>'Loan Amortization'!$E$12/12</f>
        <v>13948.137111461123</v>
      </c>
      <c r="AK27" s="329">
        <f>'Loan Amortization'!$E$12/12</f>
        <v>13948.137111461123</v>
      </c>
    </row>
    <row r="28" spans="1:37" ht="12.75">
      <c r="A28" s="325" t="s">
        <v>279</v>
      </c>
      <c r="B28" s="329">
        <f>'Loan Amortization'!$C$15/12</f>
        <v>15405.385485734621</v>
      </c>
      <c r="C28" s="329">
        <f>'Loan Amortization'!$C$15/12</f>
        <v>15405.385485734621</v>
      </c>
      <c r="D28" s="329">
        <f>'Loan Amortization'!$C$15/12</f>
        <v>15405.385485734621</v>
      </c>
      <c r="E28" s="329">
        <f>'Loan Amortization'!$C$15/12</f>
        <v>15405.385485734621</v>
      </c>
      <c r="F28" s="329">
        <f>'Loan Amortization'!$C$15/12</f>
        <v>15405.385485734621</v>
      </c>
      <c r="G28" s="329">
        <f>'Loan Amortization'!$C$15/12</f>
        <v>15405.385485734621</v>
      </c>
      <c r="H28" s="329">
        <f>'Loan Amortization'!$C$15/12</f>
        <v>15405.385485734621</v>
      </c>
      <c r="I28" s="329">
        <f>'Loan Amortization'!$C$15/12</f>
        <v>15405.385485734621</v>
      </c>
      <c r="J28" s="329">
        <f>'Loan Amortization'!$C$15/12</f>
        <v>15405.385485734621</v>
      </c>
      <c r="K28" s="329">
        <f>'Loan Amortization'!$C$15/12</f>
        <v>15405.385485734621</v>
      </c>
      <c r="L28" s="329">
        <f>'Loan Amortization'!$C$15/12</f>
        <v>15405.385485734621</v>
      </c>
      <c r="M28" s="329">
        <f>'Loan Amortization'!$C$15/12</f>
        <v>15405.385485734621</v>
      </c>
      <c r="N28" s="329">
        <f>'Loan Amortization'!$D$15/12</f>
        <v>16560.789397164717</v>
      </c>
      <c r="O28" s="329">
        <f>'Loan Amortization'!$D$15/12</f>
        <v>16560.789397164717</v>
      </c>
      <c r="P28" s="329">
        <f>'Loan Amortization'!$D$15/12</f>
        <v>16560.789397164717</v>
      </c>
      <c r="Q28" s="329">
        <f>'Loan Amortization'!$D$15/12</f>
        <v>16560.789397164717</v>
      </c>
      <c r="R28" s="329">
        <f>'Loan Amortization'!$D$15/12</f>
        <v>16560.789397164717</v>
      </c>
      <c r="S28" s="329">
        <f>'Loan Amortization'!$D$15/12</f>
        <v>16560.789397164717</v>
      </c>
      <c r="T28" s="329">
        <f>'Loan Amortization'!$D$15/12</f>
        <v>16560.789397164717</v>
      </c>
      <c r="U28" s="329">
        <f>'Loan Amortization'!$D$15/12</f>
        <v>16560.789397164717</v>
      </c>
      <c r="V28" s="329">
        <f>'Loan Amortization'!$D$15/12</f>
        <v>16560.789397164717</v>
      </c>
      <c r="W28" s="329">
        <f>'Loan Amortization'!$D$15/12</f>
        <v>16560.789397164717</v>
      </c>
      <c r="X28" s="329">
        <f>'Loan Amortization'!$D$15/12</f>
        <v>16560.789397164717</v>
      </c>
      <c r="Y28" s="329">
        <f>'Loan Amortization'!$D$15/12</f>
        <v>16560.789397164717</v>
      </c>
      <c r="Z28" s="329">
        <f>'Loan Amortization'!$E$15/12</f>
        <v>17802.84860195207</v>
      </c>
      <c r="AA28" s="329">
        <f>'Loan Amortization'!$E$15/12</f>
        <v>17802.84860195207</v>
      </c>
      <c r="AB28" s="329">
        <f>'Loan Amortization'!$E$15/12</f>
        <v>17802.84860195207</v>
      </c>
      <c r="AC28" s="329">
        <f>'Loan Amortization'!$E$15/12</f>
        <v>17802.84860195207</v>
      </c>
      <c r="AD28" s="329">
        <f>'Loan Amortization'!$E$15/12</f>
        <v>17802.84860195207</v>
      </c>
      <c r="AE28" s="329">
        <f>'Loan Amortization'!$E$15/12</f>
        <v>17802.84860195207</v>
      </c>
      <c r="AF28" s="329">
        <f>'Loan Amortization'!$E$15/12</f>
        <v>17802.84860195207</v>
      </c>
      <c r="AG28" s="329">
        <f>'Loan Amortization'!$E$15/12</f>
        <v>17802.84860195207</v>
      </c>
      <c r="AH28" s="329">
        <f>'Loan Amortization'!$E$15/12</f>
        <v>17802.84860195207</v>
      </c>
      <c r="AI28" s="329">
        <f>'Loan Amortization'!$E$15/12</f>
        <v>17802.84860195207</v>
      </c>
      <c r="AJ28" s="329">
        <f>'Loan Amortization'!$E$15/12</f>
        <v>17802.84860195207</v>
      </c>
      <c r="AK28" s="329">
        <f>'Loan Amortization'!$E$15/12</f>
        <v>17802.84860195207</v>
      </c>
    </row>
    <row r="29" spans="1:37" ht="12.75">
      <c r="A29" s="323" t="s">
        <v>280</v>
      </c>
      <c r="B29" s="327">
        <f>SUM(B25:B28)</f>
        <v>34875.985713413196</v>
      </c>
      <c r="C29" s="327">
        <f aca="true" t="shared" si="4" ref="C29:AK29">SUM(C25:C28)</f>
        <v>534875.9857134132</v>
      </c>
      <c r="D29" s="327">
        <f t="shared" si="4"/>
        <v>534875.9857134132</v>
      </c>
      <c r="E29" s="327">
        <f t="shared" si="4"/>
        <v>534875.9857134132</v>
      </c>
      <c r="F29" s="327">
        <f t="shared" si="4"/>
        <v>534875.9857134132</v>
      </c>
      <c r="G29" s="327">
        <f t="shared" si="4"/>
        <v>534875.9857134132</v>
      </c>
      <c r="H29" s="327">
        <f t="shared" si="4"/>
        <v>534875.9857134132</v>
      </c>
      <c r="I29" s="327">
        <f t="shared" si="4"/>
        <v>534875.9857134132</v>
      </c>
      <c r="J29" s="327">
        <f t="shared" si="4"/>
        <v>534875.9857134132</v>
      </c>
      <c r="K29" s="327">
        <f t="shared" si="4"/>
        <v>534875.9857134132</v>
      </c>
      <c r="L29" s="327">
        <f t="shared" si="4"/>
        <v>534875.9857134132</v>
      </c>
      <c r="M29" s="327">
        <f t="shared" si="4"/>
        <v>534875.9857134132</v>
      </c>
      <c r="N29" s="327">
        <f t="shared" si="4"/>
        <v>534875.9857134132</v>
      </c>
      <c r="O29" s="327">
        <f t="shared" si="4"/>
        <v>534875.9857134132</v>
      </c>
      <c r="P29" s="327">
        <f t="shared" si="4"/>
        <v>534875.9857134132</v>
      </c>
      <c r="Q29" s="327">
        <f t="shared" si="4"/>
        <v>534875.9857134132</v>
      </c>
      <c r="R29" s="327">
        <f t="shared" si="4"/>
        <v>534875.9857134132</v>
      </c>
      <c r="S29" s="327">
        <f t="shared" si="4"/>
        <v>534875.9857134132</v>
      </c>
      <c r="T29" s="327">
        <f t="shared" si="4"/>
        <v>534875.9857134132</v>
      </c>
      <c r="U29" s="327">
        <f t="shared" si="4"/>
        <v>534875.9857134132</v>
      </c>
      <c r="V29" s="327">
        <f t="shared" si="4"/>
        <v>534875.9857134132</v>
      </c>
      <c r="W29" s="327">
        <f t="shared" si="4"/>
        <v>534875.9857134132</v>
      </c>
      <c r="X29" s="327">
        <f t="shared" si="4"/>
        <v>534875.9857134132</v>
      </c>
      <c r="Y29" s="327">
        <f t="shared" si="4"/>
        <v>534875.9857134132</v>
      </c>
      <c r="Z29" s="327">
        <f t="shared" si="4"/>
        <v>534875.9857134132</v>
      </c>
      <c r="AA29" s="327">
        <f t="shared" si="4"/>
        <v>534875.9857134132</v>
      </c>
      <c r="AB29" s="327">
        <f t="shared" si="4"/>
        <v>534875.9857134132</v>
      </c>
      <c r="AC29" s="327">
        <f t="shared" si="4"/>
        <v>534875.9857134132</v>
      </c>
      <c r="AD29" s="327">
        <f t="shared" si="4"/>
        <v>534875.9857134132</v>
      </c>
      <c r="AE29" s="327">
        <f t="shared" si="4"/>
        <v>534875.9857134132</v>
      </c>
      <c r="AF29" s="327">
        <f t="shared" si="4"/>
        <v>534875.9857134132</v>
      </c>
      <c r="AG29" s="327">
        <f t="shared" si="4"/>
        <v>534875.9857134132</v>
      </c>
      <c r="AH29" s="327">
        <f t="shared" si="4"/>
        <v>534875.9857134132</v>
      </c>
      <c r="AI29" s="327">
        <f t="shared" si="4"/>
        <v>534875.9857134132</v>
      </c>
      <c r="AJ29" s="327">
        <f t="shared" si="4"/>
        <v>534875.9857134132</v>
      </c>
      <c r="AK29" s="327">
        <f t="shared" si="4"/>
        <v>534875.9857134132</v>
      </c>
    </row>
    <row r="30" spans="1:37" ht="12.75">
      <c r="A30" s="323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</row>
    <row r="31" spans="1:37" ht="12.75">
      <c r="A31" s="323" t="s">
        <v>281</v>
      </c>
      <c r="B31" s="329">
        <v>0</v>
      </c>
      <c r="C31" s="329">
        <v>0</v>
      </c>
      <c r="D31" s="329">
        <v>0</v>
      </c>
      <c r="E31" s="329">
        <v>0</v>
      </c>
      <c r="F31" s="329">
        <v>0</v>
      </c>
      <c r="G31" s="329">
        <v>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f>'Balance Sheets'!D12</f>
        <v>0</v>
      </c>
      <c r="N31" s="329">
        <v>0</v>
      </c>
      <c r="O31" s="329">
        <v>0</v>
      </c>
      <c r="P31" s="329">
        <v>0</v>
      </c>
      <c r="Q31" s="329">
        <v>0</v>
      </c>
      <c r="R31" s="329">
        <v>0</v>
      </c>
      <c r="S31" s="329">
        <v>0</v>
      </c>
      <c r="T31" s="329">
        <v>0</v>
      </c>
      <c r="U31" s="329">
        <v>0</v>
      </c>
      <c r="V31" s="329">
        <v>0</v>
      </c>
      <c r="W31" s="329">
        <v>0</v>
      </c>
      <c r="X31" s="329">
        <v>0</v>
      </c>
      <c r="Y31" s="329">
        <f>'Balance Sheets'!E12</f>
        <v>0</v>
      </c>
      <c r="Z31" s="329">
        <v>0</v>
      </c>
      <c r="AA31" s="329">
        <v>0</v>
      </c>
      <c r="AB31" s="329">
        <v>0</v>
      </c>
      <c r="AC31" s="329">
        <v>0</v>
      </c>
      <c r="AD31" s="329">
        <v>0</v>
      </c>
      <c r="AE31" s="329">
        <v>0</v>
      </c>
      <c r="AF31" s="329">
        <v>0</v>
      </c>
      <c r="AG31" s="329">
        <v>0</v>
      </c>
      <c r="AH31" s="329">
        <v>0</v>
      </c>
      <c r="AI31" s="329">
        <v>0</v>
      </c>
      <c r="AJ31" s="329">
        <v>0</v>
      </c>
      <c r="AK31" s="329">
        <f>'Balance Sheets'!F12</f>
        <v>0</v>
      </c>
    </row>
    <row r="32" spans="1:37" ht="12.75">
      <c r="A32" s="325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</row>
    <row r="33" spans="1:37" ht="12.75">
      <c r="A33" s="323" t="s">
        <v>282</v>
      </c>
      <c r="B33" s="327">
        <f>B22+B29+B31</f>
        <v>2478948.5253294418</v>
      </c>
      <c r="C33" s="327">
        <f aca="true" t="shared" si="5" ref="C33:AK33">C22+C29+C31</f>
        <v>2978948.5253294418</v>
      </c>
      <c r="D33" s="327">
        <f t="shared" si="5"/>
        <v>2978948.5253294418</v>
      </c>
      <c r="E33" s="327">
        <f t="shared" si="5"/>
        <v>2978948.5253294418</v>
      </c>
      <c r="F33" s="327">
        <f t="shared" si="5"/>
        <v>2978948.5253294418</v>
      </c>
      <c r="G33" s="327">
        <f t="shared" si="5"/>
        <v>2978948.5253294418</v>
      </c>
      <c r="H33" s="327">
        <f t="shared" si="5"/>
        <v>2978948.5253294418</v>
      </c>
      <c r="I33" s="327">
        <f t="shared" si="5"/>
        <v>2978948.5253294418</v>
      </c>
      <c r="J33" s="327">
        <f t="shared" si="5"/>
        <v>2978948.5253294418</v>
      </c>
      <c r="K33" s="327">
        <f t="shared" si="5"/>
        <v>2978948.5253294418</v>
      </c>
      <c r="L33" s="327">
        <f t="shared" si="5"/>
        <v>2978948.5253294418</v>
      </c>
      <c r="M33" s="327">
        <f t="shared" si="5"/>
        <v>2978948.5253294418</v>
      </c>
      <c r="N33" s="327">
        <f t="shared" si="5"/>
        <v>3001885.3488467745</v>
      </c>
      <c r="O33" s="327">
        <f t="shared" si="5"/>
        <v>3001885.3488467745</v>
      </c>
      <c r="P33" s="327">
        <f t="shared" si="5"/>
        <v>3001885.3488467745</v>
      </c>
      <c r="Q33" s="327">
        <f t="shared" si="5"/>
        <v>3001885.3488467745</v>
      </c>
      <c r="R33" s="327">
        <f t="shared" si="5"/>
        <v>3001885.3488467745</v>
      </c>
      <c r="S33" s="327">
        <f t="shared" si="5"/>
        <v>3001885.3488467745</v>
      </c>
      <c r="T33" s="327">
        <f t="shared" si="5"/>
        <v>3001885.3488467745</v>
      </c>
      <c r="U33" s="327">
        <f t="shared" si="5"/>
        <v>3001885.3488467745</v>
      </c>
      <c r="V33" s="327">
        <f t="shared" si="5"/>
        <v>3001885.3488467745</v>
      </c>
      <c r="W33" s="327">
        <f t="shared" si="5"/>
        <v>3001885.3488467745</v>
      </c>
      <c r="X33" s="327">
        <f t="shared" si="5"/>
        <v>3001885.3488467745</v>
      </c>
      <c r="Y33" s="327">
        <f t="shared" si="5"/>
        <v>3001885.3488467745</v>
      </c>
      <c r="Z33" s="327">
        <f t="shared" si="5"/>
        <v>3025051.540599282</v>
      </c>
      <c r="AA33" s="327">
        <f t="shared" si="5"/>
        <v>3025051.540599282</v>
      </c>
      <c r="AB33" s="327">
        <f t="shared" si="5"/>
        <v>3025051.540599282</v>
      </c>
      <c r="AC33" s="327">
        <f t="shared" si="5"/>
        <v>3025051.540599282</v>
      </c>
      <c r="AD33" s="327">
        <f t="shared" si="5"/>
        <v>3025051.540599282</v>
      </c>
      <c r="AE33" s="327">
        <f t="shared" si="5"/>
        <v>3025051.540599282</v>
      </c>
      <c r="AF33" s="327">
        <f t="shared" si="5"/>
        <v>3025051.540599282</v>
      </c>
      <c r="AG33" s="327">
        <f t="shared" si="5"/>
        <v>3025051.540599282</v>
      </c>
      <c r="AH33" s="327">
        <f t="shared" si="5"/>
        <v>3025051.540599282</v>
      </c>
      <c r="AI33" s="327">
        <f t="shared" si="5"/>
        <v>3025051.540599282</v>
      </c>
      <c r="AJ33" s="327">
        <f t="shared" si="5"/>
        <v>3025051.540599282</v>
      </c>
      <c r="AK33" s="327">
        <f t="shared" si="5"/>
        <v>3025051.540599282</v>
      </c>
    </row>
    <row r="34" spans="1:37" ht="12.75">
      <c r="A34" s="325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</row>
    <row r="35" spans="1:37" ht="12.75">
      <c r="A35" s="324" t="s">
        <v>283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</row>
    <row r="36" spans="1:37" ht="12.75">
      <c r="A36" s="323" t="s">
        <v>284</v>
      </c>
      <c r="B36" s="327">
        <f aca="true" t="shared" si="6" ref="B36:AK36">B9-B33</f>
        <v>-549781.858662775</v>
      </c>
      <c r="C36" s="327">
        <f t="shared" si="6"/>
        <v>-430621.3153427751</v>
      </c>
      <c r="D36" s="327">
        <f t="shared" si="6"/>
        <v>-430621.3153427751</v>
      </c>
      <c r="E36" s="327">
        <f t="shared" si="6"/>
        <v>-430621.3153427751</v>
      </c>
      <c r="F36" s="327">
        <f t="shared" si="6"/>
        <v>-430621.3153427751</v>
      </c>
      <c r="G36" s="327">
        <f t="shared" si="6"/>
        <v>-430621.3153427751</v>
      </c>
      <c r="H36" s="327">
        <f t="shared" si="6"/>
        <v>-430621.3153427751</v>
      </c>
      <c r="I36" s="327">
        <f t="shared" si="6"/>
        <v>-430621.3153427751</v>
      </c>
      <c r="J36" s="327">
        <f t="shared" si="6"/>
        <v>-430621.3153427751</v>
      </c>
      <c r="K36" s="327">
        <f t="shared" si="6"/>
        <v>-430621.3153427751</v>
      </c>
      <c r="L36" s="327">
        <f t="shared" si="6"/>
        <v>-430621.3153427751</v>
      </c>
      <c r="M36" s="327">
        <f t="shared" si="6"/>
        <v>-430621.3153427751</v>
      </c>
      <c r="N36" s="327">
        <f t="shared" si="6"/>
        <v>-439266.47219344135</v>
      </c>
      <c r="O36" s="327">
        <f t="shared" si="6"/>
        <v>-433074.86676024133</v>
      </c>
      <c r="P36" s="327">
        <f t="shared" si="6"/>
        <v>-433074.86676024133</v>
      </c>
      <c r="Q36" s="327">
        <f t="shared" si="6"/>
        <v>-433074.86676024133</v>
      </c>
      <c r="R36" s="327">
        <f t="shared" si="6"/>
        <v>-433074.86676024133</v>
      </c>
      <c r="S36" s="327">
        <f t="shared" si="6"/>
        <v>-433074.86676024133</v>
      </c>
      <c r="T36" s="327">
        <f t="shared" si="6"/>
        <v>-433074.86676024133</v>
      </c>
      <c r="U36" s="327">
        <f t="shared" si="6"/>
        <v>-433074.86676024133</v>
      </c>
      <c r="V36" s="327">
        <f t="shared" si="6"/>
        <v>-433074.86676024133</v>
      </c>
      <c r="W36" s="327">
        <f t="shared" si="6"/>
        <v>-433074.86676024133</v>
      </c>
      <c r="X36" s="327">
        <f t="shared" si="6"/>
        <v>-433074.86676024133</v>
      </c>
      <c r="Y36" s="327">
        <f t="shared" si="6"/>
        <v>-433074.86676024133</v>
      </c>
      <c r="Z36" s="327">
        <f t="shared" si="6"/>
        <v>-441806.4751794152</v>
      </c>
      <c r="AA36" s="327">
        <f t="shared" si="6"/>
        <v>-435552.953691883</v>
      </c>
      <c r="AB36" s="327">
        <f t="shared" si="6"/>
        <v>-435552.953691883</v>
      </c>
      <c r="AC36" s="327">
        <f t="shared" si="6"/>
        <v>-435552.953691883</v>
      </c>
      <c r="AD36" s="327">
        <f t="shared" si="6"/>
        <v>-435552.953691883</v>
      </c>
      <c r="AE36" s="327">
        <f t="shared" si="6"/>
        <v>-435552.953691883</v>
      </c>
      <c r="AF36" s="327">
        <f t="shared" si="6"/>
        <v>-435552.953691883</v>
      </c>
      <c r="AG36" s="327">
        <f t="shared" si="6"/>
        <v>-435552.953691883</v>
      </c>
      <c r="AH36" s="327">
        <f t="shared" si="6"/>
        <v>-435552.953691883</v>
      </c>
      <c r="AI36" s="327">
        <f t="shared" si="6"/>
        <v>-435552.953691883</v>
      </c>
      <c r="AJ36" s="327">
        <f t="shared" si="6"/>
        <v>-435552.953691883</v>
      </c>
      <c r="AK36" s="327">
        <f t="shared" si="6"/>
        <v>-435552.953691883</v>
      </c>
    </row>
    <row r="37" spans="1:37" ht="12.75">
      <c r="A37" s="325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</row>
    <row r="38" spans="1:37" ht="12.75">
      <c r="A38" s="323" t="s">
        <v>285</v>
      </c>
      <c r="B38" s="327">
        <f aca="true" t="shared" si="7" ref="B38:AK38">B2+B36</f>
        <v>496336.55590865365</v>
      </c>
      <c r="C38" s="327">
        <f t="shared" si="7"/>
        <v>65715.24056587857</v>
      </c>
      <c r="D38" s="327">
        <f t="shared" si="7"/>
        <v>-364906.0747768965</v>
      </c>
      <c r="E38" s="327">
        <f t="shared" si="7"/>
        <v>-795527.3901196716</v>
      </c>
      <c r="F38" s="327">
        <f t="shared" si="7"/>
        <v>-1226148.7054624467</v>
      </c>
      <c r="G38" s="327">
        <f t="shared" si="7"/>
        <v>-1656770.0208052217</v>
      </c>
      <c r="H38" s="327">
        <f t="shared" si="7"/>
        <v>-2087391.3361479968</v>
      </c>
      <c r="I38" s="327">
        <f t="shared" si="7"/>
        <v>-2518012.651490772</v>
      </c>
      <c r="J38" s="327">
        <f t="shared" si="7"/>
        <v>-2948633.966833547</v>
      </c>
      <c r="K38" s="327">
        <f t="shared" si="7"/>
        <v>-3379255.2821763223</v>
      </c>
      <c r="L38" s="327">
        <f t="shared" si="7"/>
        <v>-3809876.5975190974</v>
      </c>
      <c r="M38" s="327">
        <f t="shared" si="7"/>
        <v>-4240497.912861872</v>
      </c>
      <c r="N38" s="327">
        <f t="shared" si="7"/>
        <v>-4679764.385055314</v>
      </c>
      <c r="O38" s="327">
        <f t="shared" si="7"/>
        <v>-5112839.251815556</v>
      </c>
      <c r="P38" s="327">
        <f t="shared" si="7"/>
        <v>-5545914.1185757965</v>
      </c>
      <c r="Q38" s="327">
        <f t="shared" si="7"/>
        <v>-5978988.985336037</v>
      </c>
      <c r="R38" s="327">
        <f t="shared" si="7"/>
        <v>-6412063.852096278</v>
      </c>
      <c r="S38" s="327">
        <f t="shared" si="7"/>
        <v>-6845138.718856519</v>
      </c>
      <c r="T38" s="327">
        <f t="shared" si="7"/>
        <v>-7278213.58561676</v>
      </c>
      <c r="U38" s="327">
        <f t="shared" si="7"/>
        <v>-7711288.452377001</v>
      </c>
      <c r="V38" s="327">
        <f t="shared" si="7"/>
        <v>-8144363.319137242</v>
      </c>
      <c r="W38" s="327">
        <f t="shared" si="7"/>
        <v>-8577438.185897483</v>
      </c>
      <c r="X38" s="327">
        <f t="shared" si="7"/>
        <v>-9010513.052657723</v>
      </c>
      <c r="Y38" s="327">
        <f t="shared" si="7"/>
        <v>-9443587.919417964</v>
      </c>
      <c r="Z38" s="327">
        <f t="shared" si="7"/>
        <v>-9885394.39459738</v>
      </c>
      <c r="AA38" s="327">
        <f t="shared" si="7"/>
        <v>-10320947.348289263</v>
      </c>
      <c r="AB38" s="327">
        <f t="shared" si="7"/>
        <v>-10756500.301981146</v>
      </c>
      <c r="AC38" s="327">
        <f t="shared" si="7"/>
        <v>-11192053.255673029</v>
      </c>
      <c r="AD38" s="327">
        <f t="shared" si="7"/>
        <v>-11627606.209364912</v>
      </c>
      <c r="AE38" s="327">
        <f t="shared" si="7"/>
        <v>-12063159.163056795</v>
      </c>
      <c r="AF38" s="327">
        <f t="shared" si="7"/>
        <v>-12498712.116748678</v>
      </c>
      <c r="AG38" s="327">
        <f t="shared" si="7"/>
        <v>-12934265.07044056</v>
      </c>
      <c r="AH38" s="327">
        <f t="shared" si="7"/>
        <v>-13369818.024132444</v>
      </c>
      <c r="AI38" s="327">
        <f t="shared" si="7"/>
        <v>-13805370.977824327</v>
      </c>
      <c r="AJ38" s="327">
        <f t="shared" si="7"/>
        <v>-14240923.93151621</v>
      </c>
      <c r="AK38" s="327">
        <f t="shared" si="7"/>
        <v>-14676476.885208093</v>
      </c>
    </row>
    <row r="39" spans="1:37" ht="12.75">
      <c r="A39" s="325"/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</row>
    <row r="40" spans="1:37" ht="12.75">
      <c r="A40" s="326" t="s">
        <v>323</v>
      </c>
      <c r="B40" s="331">
        <f>B36+B27+B28</f>
        <v>-518030.87294936186</v>
      </c>
      <c r="C40" s="331">
        <f aca="true" t="shared" si="8" ref="C40:AK40">C36+C29</f>
        <v>104254.67037063814</v>
      </c>
      <c r="D40" s="331">
        <f t="shared" si="8"/>
        <v>104254.67037063814</v>
      </c>
      <c r="E40" s="331">
        <f t="shared" si="8"/>
        <v>104254.67037063814</v>
      </c>
      <c r="F40" s="331">
        <f t="shared" si="8"/>
        <v>104254.67037063814</v>
      </c>
      <c r="G40" s="331">
        <f t="shared" si="8"/>
        <v>104254.67037063814</v>
      </c>
      <c r="H40" s="331">
        <f t="shared" si="8"/>
        <v>104254.67037063814</v>
      </c>
      <c r="I40" s="331">
        <f t="shared" si="8"/>
        <v>104254.67037063814</v>
      </c>
      <c r="J40" s="331">
        <f t="shared" si="8"/>
        <v>104254.67037063814</v>
      </c>
      <c r="K40" s="331">
        <f t="shared" si="8"/>
        <v>104254.67037063814</v>
      </c>
      <c r="L40" s="331">
        <f t="shared" si="8"/>
        <v>104254.67037063814</v>
      </c>
      <c r="M40" s="331">
        <f t="shared" si="8"/>
        <v>104254.67037063814</v>
      </c>
      <c r="N40" s="331">
        <f t="shared" si="8"/>
        <v>95609.51351997186</v>
      </c>
      <c r="O40" s="331">
        <f t="shared" si="8"/>
        <v>101801.11895317188</v>
      </c>
      <c r="P40" s="331">
        <f t="shared" si="8"/>
        <v>101801.11895317188</v>
      </c>
      <c r="Q40" s="331">
        <f t="shared" si="8"/>
        <v>101801.11895317188</v>
      </c>
      <c r="R40" s="331">
        <f t="shared" si="8"/>
        <v>101801.11895317188</v>
      </c>
      <c r="S40" s="331">
        <f t="shared" si="8"/>
        <v>101801.11895317188</v>
      </c>
      <c r="T40" s="331">
        <f t="shared" si="8"/>
        <v>101801.11895317188</v>
      </c>
      <c r="U40" s="331">
        <f t="shared" si="8"/>
        <v>101801.11895317188</v>
      </c>
      <c r="V40" s="331">
        <f t="shared" si="8"/>
        <v>101801.11895317188</v>
      </c>
      <c r="W40" s="331">
        <f t="shared" si="8"/>
        <v>101801.11895317188</v>
      </c>
      <c r="X40" s="331">
        <f t="shared" si="8"/>
        <v>101801.11895317188</v>
      </c>
      <c r="Y40" s="331">
        <f t="shared" si="8"/>
        <v>101801.11895317188</v>
      </c>
      <c r="Z40" s="331">
        <f t="shared" si="8"/>
        <v>93069.51053399802</v>
      </c>
      <c r="AA40" s="331">
        <f t="shared" si="8"/>
        <v>99323.0320215302</v>
      </c>
      <c r="AB40" s="331">
        <f t="shared" si="8"/>
        <v>99323.0320215302</v>
      </c>
      <c r="AC40" s="331">
        <f t="shared" si="8"/>
        <v>99323.0320215302</v>
      </c>
      <c r="AD40" s="331">
        <f t="shared" si="8"/>
        <v>99323.0320215302</v>
      </c>
      <c r="AE40" s="331">
        <f t="shared" si="8"/>
        <v>99323.0320215302</v>
      </c>
      <c r="AF40" s="331">
        <f t="shared" si="8"/>
        <v>99323.0320215302</v>
      </c>
      <c r="AG40" s="331">
        <f t="shared" si="8"/>
        <v>99323.0320215302</v>
      </c>
      <c r="AH40" s="331">
        <f t="shared" si="8"/>
        <v>99323.0320215302</v>
      </c>
      <c r="AI40" s="331">
        <f t="shared" si="8"/>
        <v>99323.0320215302</v>
      </c>
      <c r="AJ40" s="331">
        <f t="shared" si="8"/>
        <v>99323.0320215302</v>
      </c>
      <c r="AK40" s="331">
        <f t="shared" si="8"/>
        <v>99323.0320215302</v>
      </c>
    </row>
    <row r="41" spans="2:37" ht="12.75"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</row>
    <row r="42" spans="2:37" ht="12.75">
      <c r="B42" s="307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</row>
    <row r="43" spans="2:37" ht="12.75"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</row>
    <row r="44" spans="2:37" ht="12.75"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</row>
    <row r="45" spans="2:37" ht="12.75"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</row>
    <row r="46" spans="2:37" ht="12.75"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</row>
    <row r="47" spans="2:37" ht="12.75"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</row>
    <row r="48" spans="2:37" ht="12.75"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</row>
    <row r="49" spans="2:37" ht="12.75"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</row>
    <row r="50" spans="2:37" ht="12.75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</row>
    <row r="51" spans="2:37" ht="12.75"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</row>
    <row r="52" spans="2:37" ht="12.75"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</row>
    <row r="53" spans="2:37" ht="12.75"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</row>
    <row r="54" spans="2:37" ht="12.75"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</row>
    <row r="55" spans="2:37" ht="12.75"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</row>
    <row r="56" spans="2:37" ht="12.75"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</row>
    <row r="57" spans="2:37" ht="12.75"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</row>
    <row r="58" spans="2:37" ht="12.75"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</row>
    <row r="59" spans="2:37" ht="12.75"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</row>
    <row r="60" spans="2:37" ht="12.75"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</row>
    <row r="61" spans="2:37" ht="12.75"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</row>
    <row r="62" spans="2:37" ht="12.75"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</row>
    <row r="63" spans="2:37" ht="12.75"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</row>
    <row r="64" spans="2:37" ht="12.75"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</row>
    <row r="65" spans="2:37" ht="12.75"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</row>
  </sheetData>
  <sheetProtection password="C977" sheet="1"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F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05" customWidth="1"/>
    <col min="2" max="2" width="38.00390625" style="305" customWidth="1"/>
    <col min="3" max="6" width="15.7109375" style="305" customWidth="1"/>
    <col min="7" max="16384" width="9.140625" style="305" customWidth="1"/>
  </cols>
  <sheetData>
    <row r="1" ht="12.75">
      <c r="A1" s="304" t="s">
        <v>308</v>
      </c>
    </row>
    <row r="2" spans="3:6" ht="12.75">
      <c r="C2" s="310" t="s">
        <v>305</v>
      </c>
      <c r="D2" s="310" t="s">
        <v>301</v>
      </c>
      <c r="E2" s="310" t="s">
        <v>302</v>
      </c>
      <c r="F2" s="310" t="s">
        <v>303</v>
      </c>
    </row>
    <row r="3" ht="12.75">
      <c r="A3" s="311" t="s">
        <v>287</v>
      </c>
    </row>
    <row r="4" spans="1:6" ht="12.75">
      <c r="A4" s="305" t="s">
        <v>288</v>
      </c>
      <c r="C4" s="306"/>
      <c r="D4" s="306"/>
      <c r="E4" s="306"/>
      <c r="F4" s="306"/>
    </row>
    <row r="5" spans="2:6" ht="12.75">
      <c r="B5" s="305" t="s">
        <v>304</v>
      </c>
      <c r="C5" s="306">
        <f>'Input Value'!C7</f>
        <v>1046118.4145714287</v>
      </c>
      <c r="D5" s="306">
        <f>'36 mo. CF'!M38</f>
        <v>-4240497.912861872</v>
      </c>
      <c r="E5" s="306">
        <f>'36 mo. CF'!Y38</f>
        <v>-9443587.919417964</v>
      </c>
      <c r="F5" s="306">
        <f>'36 mo. CF'!AK38</f>
        <v>-14676476.885208093</v>
      </c>
    </row>
    <row r="6" spans="2:6" ht="12.75">
      <c r="B6" s="305" t="s">
        <v>289</v>
      </c>
      <c r="C6" s="312">
        <v>0</v>
      </c>
      <c r="D6" s="312">
        <f>'36 mo. CF'!N4+'36 mo. CF'!N5+'36 mo. CF'!N7</f>
        <v>619160.5433199999</v>
      </c>
      <c r="E6" s="312">
        <f>'36 mo. CF'!Z4+'36 mo. CF'!Z5+'36 mo. CF'!Z7</f>
        <v>625352.1487532</v>
      </c>
      <c r="F6" s="312">
        <f>'36 mo. CF'!AK4+'36 mo. CF'!AK5+'36 mo. CF'!AK7</f>
        <v>631605.6702407318</v>
      </c>
    </row>
    <row r="7" spans="2:6" ht="12.75">
      <c r="B7" s="305" t="s">
        <v>290</v>
      </c>
      <c r="C7" s="306">
        <f>SUM(C5:C6)</f>
        <v>1046118.4145714287</v>
      </c>
      <c r="D7" s="306">
        <f>SUM(D5:D6)</f>
        <v>-3621337.3695418723</v>
      </c>
      <c r="E7" s="306">
        <f>SUM(E5:E6)</f>
        <v>-8818235.770664765</v>
      </c>
      <c r="F7" s="306">
        <f>SUM(F5:F6)</f>
        <v>-14044871.21496736</v>
      </c>
    </row>
    <row r="8" spans="3:6" ht="12.75">
      <c r="C8" s="306"/>
      <c r="D8" s="306"/>
      <c r="E8" s="306"/>
      <c r="F8" s="306"/>
    </row>
    <row r="9" spans="1:6" ht="12.75">
      <c r="A9" s="305" t="s">
        <v>291</v>
      </c>
      <c r="C9" s="306"/>
      <c r="D9" s="306"/>
      <c r="E9" s="306"/>
      <c r="F9" s="306"/>
    </row>
    <row r="10" spans="2:6" ht="12.75">
      <c r="B10" s="316" t="s">
        <v>321</v>
      </c>
      <c r="C10" s="306">
        <f>Depreciation!$D$17+Depreciation!$I$22+Depreciation!$D$42</f>
        <v>669000</v>
      </c>
      <c r="D10" s="306">
        <f>Depreciation!$D$17+Depreciation!$I$22+Depreciation!$D$42</f>
        <v>669000</v>
      </c>
      <c r="E10" s="306">
        <f>Depreciation!$D$17+Depreciation!$I$22+Depreciation!$D$42</f>
        <v>669000</v>
      </c>
      <c r="F10" s="306">
        <f>Depreciation!$D$17+Depreciation!$I$22+Depreciation!$D$42</f>
        <v>669000</v>
      </c>
    </row>
    <row r="11" spans="2:6" ht="12.75">
      <c r="B11" s="316" t="s">
        <v>467</v>
      </c>
      <c r="C11" s="306">
        <f>Depreciation!$D$39</f>
        <v>4551592.072857143</v>
      </c>
      <c r="D11" s="306">
        <f>Depreciation!$D$39</f>
        <v>4551592.072857143</v>
      </c>
      <c r="E11" s="306">
        <f>Depreciation!$D$39</f>
        <v>4551592.072857143</v>
      </c>
      <c r="F11" s="306">
        <f>Depreciation!$D$39</f>
        <v>4551592.072857143</v>
      </c>
    </row>
    <row r="12" spans="2:6" ht="12.75">
      <c r="B12" s="305" t="s">
        <v>298</v>
      </c>
      <c r="C12" s="306">
        <f>'Operations Summary'!C29</f>
        <v>0</v>
      </c>
      <c r="D12" s="306">
        <f>'Operations Summary'!D29</f>
        <v>0</v>
      </c>
      <c r="E12" s="306">
        <f>'Operations Summary'!E29</f>
        <v>0</v>
      </c>
      <c r="F12" s="306">
        <f>'Operations Summary'!F29</f>
        <v>0</v>
      </c>
    </row>
    <row r="13" spans="2:6" ht="12.75">
      <c r="B13" s="305" t="s">
        <v>292</v>
      </c>
      <c r="C13" s="313">
        <v>0</v>
      </c>
      <c r="D13" s="313">
        <f>-Depreciation!L10</f>
        <v>-672896.8661856448</v>
      </c>
      <c r="E13" s="313">
        <f>D13-Depreciation!M10</f>
        <v>-1813056.1238027182</v>
      </c>
      <c r="F13" s="313">
        <f>E13-Depreciation!N10</f>
        <v>-2634603.9363197917</v>
      </c>
    </row>
    <row r="14" spans="2:6" ht="12.75">
      <c r="B14" s="305" t="s">
        <v>293</v>
      </c>
      <c r="C14" s="306">
        <f>SUM(C10:C13)</f>
        <v>5220592.072857143</v>
      </c>
      <c r="D14" s="306">
        <f>SUM(D10:D13)</f>
        <v>4547695.206671499</v>
      </c>
      <c r="E14" s="306">
        <f>SUM(E10:E13)</f>
        <v>3407535.949054425</v>
      </c>
      <c r="F14" s="306">
        <f>SUM(F10:F13)</f>
        <v>2585988.1365373516</v>
      </c>
    </row>
    <row r="15" spans="3:6" ht="12.75">
      <c r="C15" s="306"/>
      <c r="D15" s="306"/>
      <c r="E15" s="306"/>
      <c r="F15" s="306"/>
    </row>
    <row r="16" spans="2:6" ht="13.5" thickBot="1">
      <c r="B16" s="304" t="s">
        <v>294</v>
      </c>
      <c r="C16" s="314">
        <f>C7+C14</f>
        <v>6266710.487428572</v>
      </c>
      <c r="D16" s="314">
        <f>D7+D14</f>
        <v>926357.8371296264</v>
      </c>
      <c r="E16" s="314">
        <f>E7+E14</f>
        <v>-5410699.821610339</v>
      </c>
      <c r="F16" s="314">
        <f>F7+F14</f>
        <v>-11458883.078430008</v>
      </c>
    </row>
    <row r="17" spans="3:6" ht="13.5" thickTop="1">
      <c r="C17" s="306"/>
      <c r="D17" s="306"/>
      <c r="E17" s="306"/>
      <c r="F17" s="306"/>
    </row>
    <row r="18" spans="1:6" ht="12.75">
      <c r="A18" s="311" t="s">
        <v>300</v>
      </c>
      <c r="C18" s="306"/>
      <c r="D18" s="306"/>
      <c r="E18" s="306"/>
      <c r="F18" s="306"/>
    </row>
    <row r="19" spans="1:6" ht="12.75">
      <c r="A19" s="308" t="s">
        <v>322</v>
      </c>
      <c r="C19" s="306"/>
      <c r="D19" s="306"/>
      <c r="E19" s="306"/>
      <c r="F19" s="306"/>
    </row>
    <row r="20" spans="1:6" ht="12.75">
      <c r="A20" s="308"/>
      <c r="B20" s="316" t="s">
        <v>341</v>
      </c>
      <c r="C20" s="306">
        <v>0</v>
      </c>
      <c r="D20" s="306">
        <v>0</v>
      </c>
      <c r="E20" s="306">
        <v>0</v>
      </c>
      <c r="F20" s="306">
        <v>0</v>
      </c>
    </row>
    <row r="21" spans="1:6" ht="12.75">
      <c r="A21" s="308"/>
      <c r="B21" s="316"/>
      <c r="C21" s="306"/>
      <c r="D21" s="306"/>
      <c r="E21" s="306"/>
      <c r="F21" s="306"/>
    </row>
    <row r="22" spans="1:6" ht="12.75">
      <c r="A22" s="305" t="s">
        <v>295</v>
      </c>
      <c r="C22" s="306"/>
      <c r="D22" s="306"/>
      <c r="E22" s="306"/>
      <c r="F22" s="306"/>
    </row>
    <row r="23" spans="2:6" ht="12.75">
      <c r="B23" s="305" t="s">
        <v>299</v>
      </c>
      <c r="C23" s="306">
        <f>'Loan Amortization'!C6</f>
        <v>2615296.0364285717</v>
      </c>
      <c r="D23" s="306">
        <f>'Loan Amortization'!C17</f>
        <v>2430431.410599756</v>
      </c>
      <c r="E23" s="306">
        <f>'Loan Amortization'!D17</f>
        <v>2231701.9378337795</v>
      </c>
      <c r="F23" s="306">
        <f>'Loan Amortization'!E17</f>
        <v>2018067.7546103545</v>
      </c>
    </row>
    <row r="24" spans="3:6" ht="12.75">
      <c r="C24" s="306"/>
      <c r="D24" s="306"/>
      <c r="E24" s="306"/>
      <c r="F24" s="306"/>
    </row>
    <row r="25" spans="2:6" ht="13.5" thickBot="1">
      <c r="B25" s="304" t="s">
        <v>296</v>
      </c>
      <c r="C25" s="314">
        <f>C20+C23</f>
        <v>2615296.0364285717</v>
      </c>
      <c r="D25" s="314">
        <f>D20+D23</f>
        <v>2430431.410599756</v>
      </c>
      <c r="E25" s="314">
        <f>E20+E23</f>
        <v>2231701.9378337795</v>
      </c>
      <c r="F25" s="314">
        <f>F20+F23</f>
        <v>2018067.7546103545</v>
      </c>
    </row>
    <row r="26" spans="3:6" ht="13.5" thickTop="1">
      <c r="C26" s="306"/>
      <c r="D26" s="306"/>
      <c r="E26" s="306"/>
      <c r="F26" s="306"/>
    </row>
    <row r="27" spans="2:6" ht="12.75">
      <c r="B27" s="304" t="s">
        <v>306</v>
      </c>
      <c r="C27" s="315">
        <f>C16-C25</f>
        <v>3651414.4510000004</v>
      </c>
      <c r="D27" s="315">
        <f>D16-D25</f>
        <v>-1504073.5734701296</v>
      </c>
      <c r="E27" s="315">
        <f>E16-E25</f>
        <v>-7642401.7594441185</v>
      </c>
      <c r="F27" s="315">
        <f>F16-F25</f>
        <v>-13476950.833040362</v>
      </c>
    </row>
    <row r="28" spans="3:6" ht="12.75">
      <c r="C28" s="306"/>
      <c r="D28" s="306"/>
      <c r="E28" s="306"/>
      <c r="F28" s="306"/>
    </row>
    <row r="29" spans="2:6" ht="13.5" thickBot="1">
      <c r="B29" s="304" t="s">
        <v>297</v>
      </c>
      <c r="C29" s="314">
        <f>C25+C27</f>
        <v>6266710.487428572</v>
      </c>
      <c r="D29" s="314">
        <f>D25+D27</f>
        <v>926357.8371296264</v>
      </c>
      <c r="E29" s="314">
        <f>E25+E27</f>
        <v>-5410699.821610339</v>
      </c>
      <c r="F29" s="314">
        <f>F25+F27</f>
        <v>-11458883.078430008</v>
      </c>
    </row>
    <row r="30" ht="13.5" thickTop="1"/>
    <row r="31" ht="12.75">
      <c r="A31" s="305" t="s">
        <v>307</v>
      </c>
    </row>
  </sheetData>
  <sheetProtection password="C977" sheet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1:S8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.00390625" style="19" customWidth="1"/>
    <col min="2" max="2" width="28.00390625" style="19" bestFit="1" customWidth="1"/>
    <col min="3" max="3" width="14.421875" style="529" customWidth="1"/>
    <col min="4" max="4" width="5.57421875" style="19" customWidth="1"/>
    <col min="5" max="5" width="4.7109375" style="19" customWidth="1"/>
    <col min="6" max="6" width="28.57421875" style="19" customWidth="1"/>
    <col min="7" max="7" width="16.7109375" style="529" bestFit="1" customWidth="1"/>
    <col min="8" max="8" width="4.7109375" style="19" customWidth="1"/>
    <col min="9" max="9" width="21.421875" style="19" customWidth="1"/>
    <col min="10" max="10" width="15.7109375" style="529" customWidth="1"/>
    <col min="11" max="12" width="15.7109375" style="19" customWidth="1"/>
    <col min="13" max="19" width="15.7109375" style="529" customWidth="1"/>
    <col min="20" max="16384" width="9.140625" style="529" customWidth="1"/>
  </cols>
  <sheetData>
    <row r="1" spans="3:10" ht="5.25" customHeight="1">
      <c r="C1" s="19"/>
      <c r="G1" s="19"/>
      <c r="J1" s="19"/>
    </row>
    <row r="2" spans="2:10" ht="12.75">
      <c r="B2" s="26" t="s">
        <v>437</v>
      </c>
      <c r="C2" s="28"/>
      <c r="D2" s="38"/>
      <c r="F2" s="67" t="s">
        <v>627</v>
      </c>
      <c r="G2" s="19"/>
      <c r="I2" s="67" t="s">
        <v>623</v>
      </c>
      <c r="J2" s="621" t="s">
        <v>636</v>
      </c>
    </row>
    <row r="3" spans="2:19" ht="12.75">
      <c r="B3" s="18" t="s">
        <v>124</v>
      </c>
      <c r="C3" s="22">
        <f>IF('Input Value'!F25=1,IF('Input Value'!F24=1,Equipment!J180*0.8,Equipment!J181*0.8),Equipment!J182*0.8)</f>
        <v>1074.4</v>
      </c>
      <c r="D3" s="38"/>
      <c r="F3" s="606" t="s">
        <v>123</v>
      </c>
      <c r="G3" s="615">
        <f>IF('Input Value'!F25=1,IF('Input Value'!F24=1,Equipment!K180*0.7,Equipment!K181*0.7),Equipment!K182*0.7)</f>
        <v>1553.8256263141075</v>
      </c>
      <c r="I3" s="19" t="s">
        <v>437</v>
      </c>
      <c r="J3" s="31">
        <f>+$C$9</f>
        <v>687689.0592</v>
      </c>
      <c r="K3" s="31"/>
      <c r="L3" s="31"/>
      <c r="M3" s="538"/>
      <c r="N3" s="538"/>
      <c r="O3" s="538"/>
      <c r="P3" s="538"/>
      <c r="Q3" s="538"/>
      <c r="R3" s="538"/>
      <c r="S3" s="538"/>
    </row>
    <row r="4" spans="2:19" ht="12.75">
      <c r="B4" s="19" t="s">
        <v>472</v>
      </c>
      <c r="C4" s="22">
        <f>C3*'Input Value'!F46</f>
        <v>8380320.000000001</v>
      </c>
      <c r="D4" s="38"/>
      <c r="F4" s="19" t="s">
        <v>622</v>
      </c>
      <c r="G4" s="19">
        <v>1</v>
      </c>
      <c r="I4" s="19" t="s">
        <v>710</v>
      </c>
      <c r="J4" s="622">
        <f>(IF(AND('Input Value'!F25=1,'Input Value'!F24=1),(Equipment!M180*'Input Value'!F42*'Input Value'!F44*G7/1000),IF(AND('Input Value'!F24=1,'Input Value'!F25=0),(Equipment!M17*'Input Value'!F42*'Input Value'!F44*G7/1000),IF(AND('Input Value'!F24=0,'Input Value'!F25=1),SUM(Equipment!M166:M177)*'Input Value'!F42*'Input Value'!F44*G7/1000))))</f>
        <v>270391.07444418955</v>
      </c>
      <c r="K4" s="31"/>
      <c r="L4" s="31"/>
      <c r="M4" s="538"/>
      <c r="N4" s="538"/>
      <c r="O4" s="538"/>
      <c r="P4" s="538"/>
      <c r="Q4" s="538"/>
      <c r="R4" s="538"/>
      <c r="S4" s="538"/>
    </row>
    <row r="5" spans="2:19" ht="13.5" customHeight="1">
      <c r="B5" s="19" t="s">
        <v>617</v>
      </c>
      <c r="C5" s="22">
        <f>+C4*C8</f>
        <v>6251718.720000001</v>
      </c>
      <c r="F5" s="19" t="s">
        <v>619</v>
      </c>
      <c r="G5" s="429">
        <v>0.85</v>
      </c>
      <c r="I5" s="19" t="s">
        <v>488</v>
      </c>
      <c r="J5" s="31">
        <f>IF('Input Value'!F25=1,(C28/1000*$J$6),0)</f>
        <v>10560.507297907736</v>
      </c>
      <c r="K5" s="31"/>
      <c r="L5" s="31"/>
      <c r="M5" s="538"/>
      <c r="N5" s="538"/>
      <c r="O5" s="538"/>
      <c r="P5" s="538"/>
      <c r="Q5" s="538"/>
      <c r="R5" s="538"/>
      <c r="S5" s="538"/>
    </row>
    <row r="6" spans="2:10" ht="12.75">
      <c r="B6" s="19" t="s">
        <v>618</v>
      </c>
      <c r="C6" s="22">
        <f>C5/'Input Value'!F48</f>
        <v>140.61445614035088</v>
      </c>
      <c r="D6" s="609"/>
      <c r="E6" s="23"/>
      <c r="F6" s="19" t="s">
        <v>630</v>
      </c>
      <c r="G6" s="19">
        <v>1048</v>
      </c>
      <c r="I6" s="19" t="s">
        <v>624</v>
      </c>
      <c r="J6" s="623">
        <f>'Input Value'!F6</f>
        <v>2</v>
      </c>
    </row>
    <row r="7" spans="2:19" ht="12.75">
      <c r="B7" s="18" t="s">
        <v>439</v>
      </c>
      <c r="C7" s="21">
        <f>+'Input Value'!F3</f>
        <v>0.11</v>
      </c>
      <c r="F7" s="19" t="s">
        <v>708</v>
      </c>
      <c r="G7" s="21">
        <f>'Input Value'!$F$5</f>
        <v>15</v>
      </c>
      <c r="I7" s="19" t="s">
        <v>607</v>
      </c>
      <c r="J7" s="31">
        <f>(IF('Input Value'!F25=1,(C29/1000*$J$8),0))</f>
        <v>16269.201183577008</v>
      </c>
      <c r="K7" s="31"/>
      <c r="L7" s="31"/>
      <c r="M7" s="538"/>
      <c r="N7" s="538"/>
      <c r="O7" s="538"/>
      <c r="P7" s="538"/>
      <c r="Q7" s="538"/>
      <c r="R7" s="538"/>
      <c r="S7" s="538"/>
    </row>
    <row r="8" spans="2:10" ht="12.75">
      <c r="B8" s="18" t="s">
        <v>440</v>
      </c>
      <c r="C8" s="429">
        <v>0.746</v>
      </c>
      <c r="F8" s="19" t="s">
        <v>620</v>
      </c>
      <c r="G8" s="21">
        <f>+((G3*(1/G4)*(1/G5))/G6)*G7</f>
        <v>26.16455365369512</v>
      </c>
      <c r="I8" s="19" t="s">
        <v>704</v>
      </c>
      <c r="J8" s="603">
        <v>3.75</v>
      </c>
    </row>
    <row r="9" spans="2:19" ht="12.75">
      <c r="B9" s="25" t="s">
        <v>444</v>
      </c>
      <c r="C9" s="364">
        <f>C4*C7*C8</f>
        <v>687689.0592</v>
      </c>
      <c r="F9" s="482" t="s">
        <v>441</v>
      </c>
      <c r="G9" s="234">
        <v>8760</v>
      </c>
      <c r="I9" s="19" t="s">
        <v>721</v>
      </c>
      <c r="J9" s="21">
        <f>G21</f>
        <v>11100</v>
      </c>
      <c r="K9" s="21"/>
      <c r="L9" s="21"/>
      <c r="M9" s="602"/>
      <c r="N9" s="602"/>
      <c r="O9" s="602"/>
      <c r="P9" s="602"/>
      <c r="Q9" s="602"/>
      <c r="R9" s="602"/>
      <c r="S9" s="602"/>
    </row>
    <row r="10" spans="2:19" ht="12.75">
      <c r="B10" s="25" t="s">
        <v>615</v>
      </c>
      <c r="C10" s="364">
        <f>C9/'Market Projection'!F7</f>
        <v>15.467590175438596</v>
      </c>
      <c r="E10" s="23"/>
      <c r="F10" s="25" t="s">
        <v>621</v>
      </c>
      <c r="G10" s="364">
        <f>+G8*G9</f>
        <v>229201.49000636925</v>
      </c>
      <c r="I10" s="19" t="s">
        <v>625</v>
      </c>
      <c r="J10" s="84">
        <f>+$J$3+$J$4+$J$5+$J$7+$J$9</f>
        <v>996009.8421256742</v>
      </c>
      <c r="K10" s="84"/>
      <c r="L10" s="84"/>
      <c r="M10" s="604"/>
      <c r="N10" s="604"/>
      <c r="O10" s="604"/>
      <c r="P10" s="604"/>
      <c r="Q10" s="604"/>
      <c r="R10" s="604"/>
      <c r="S10" s="604"/>
    </row>
    <row r="11" spans="2:19" ht="12.75">
      <c r="B11" s="26" t="s">
        <v>443</v>
      </c>
      <c r="C11" s="28" t="s">
        <v>475</v>
      </c>
      <c r="E11" s="23"/>
      <c r="F11" s="26" t="s">
        <v>628</v>
      </c>
      <c r="G11" s="613">
        <f>+G10/'Market Projection'!$F$7</f>
        <v>5.155229194925084</v>
      </c>
      <c r="I11" s="19" t="s">
        <v>626</v>
      </c>
      <c r="J11" s="21">
        <f>+J10/'Input Value'!$F$48</f>
        <v>22.402380614612557</v>
      </c>
      <c r="K11" s="21"/>
      <c r="L11" s="21"/>
      <c r="M11" s="602"/>
      <c r="N11" s="602"/>
      <c r="O11" s="602"/>
      <c r="P11" s="602"/>
      <c r="Q11" s="602"/>
      <c r="R11" s="602"/>
      <c r="S11" s="602"/>
    </row>
    <row r="12" spans="3:10" ht="12.75">
      <c r="C12" s="19"/>
      <c r="E12" s="23"/>
      <c r="G12" s="19"/>
      <c r="I12" s="19" t="s">
        <v>430</v>
      </c>
      <c r="J12" s="19"/>
    </row>
    <row r="13" spans="3:10" ht="12.75">
      <c r="C13" s="22"/>
      <c r="E13" s="23"/>
      <c r="G13" s="19"/>
      <c r="J13" s="31"/>
    </row>
    <row r="14" spans="3:10" ht="12.75">
      <c r="C14" s="19"/>
      <c r="E14" s="23" t="s">
        <v>430</v>
      </c>
      <c r="G14" s="19"/>
      <c r="J14" s="31"/>
    </row>
    <row r="15" spans="3:10" ht="12.75">
      <c r="C15" s="19"/>
      <c r="E15" s="23"/>
      <c r="G15" s="19"/>
      <c r="J15" s="31"/>
    </row>
    <row r="16" spans="2:10" ht="12.75">
      <c r="B16" s="24"/>
      <c r="C16" s="607"/>
      <c r="E16" s="23"/>
      <c r="G16" s="19"/>
      <c r="J16" s="19"/>
    </row>
    <row r="17" spans="2:10" ht="12.75">
      <c r="B17" s="237"/>
      <c r="C17" s="608"/>
      <c r="E17" s="23"/>
      <c r="F17" s="67"/>
      <c r="G17" s="19"/>
      <c r="J17" s="19"/>
    </row>
    <row r="18" spans="2:10" ht="12.75">
      <c r="B18" s="67" t="s">
        <v>488</v>
      </c>
      <c r="C18" s="609" t="s">
        <v>705</v>
      </c>
      <c r="D18" s="482"/>
      <c r="E18" s="45"/>
      <c r="F18" s="19" t="s">
        <v>716</v>
      </c>
      <c r="G18" s="616"/>
      <c r="I18" s="620"/>
      <c r="J18" s="19"/>
    </row>
    <row r="19" spans="2:10" ht="12.75">
      <c r="B19" s="606" t="s">
        <v>697</v>
      </c>
      <c r="C19" s="610">
        <f>Equipment!K180*0.2*'Input Value'!F42*'Input Value'!F44/'Engineering Calcs'!C24</f>
        <v>415703.64895386866</v>
      </c>
      <c r="D19" s="614"/>
      <c r="E19" s="23"/>
      <c r="F19" s="606" t="s">
        <v>717</v>
      </c>
      <c r="G19" s="605">
        <v>60</v>
      </c>
      <c r="J19" s="19"/>
    </row>
    <row r="20" spans="2:10" ht="12.75">
      <c r="B20" s="19" t="s">
        <v>698</v>
      </c>
      <c r="C20" s="611"/>
      <c r="E20" s="23"/>
      <c r="F20" s="19" t="s">
        <v>718</v>
      </c>
      <c r="G20" s="431">
        <v>185</v>
      </c>
      <c r="J20" s="19"/>
    </row>
    <row r="21" spans="2:10" ht="12.75">
      <c r="B21" s="19" t="s">
        <v>604</v>
      </c>
      <c r="C21" s="611">
        <f>Equipment!O43*0.2</f>
        <v>0</v>
      </c>
      <c r="F21" s="67" t="s">
        <v>719</v>
      </c>
      <c r="G21" s="351">
        <f>G20*G19</f>
        <v>11100</v>
      </c>
      <c r="J21" s="19"/>
    </row>
    <row r="22" spans="2:10" ht="12.75">
      <c r="B22" s="19" t="s">
        <v>740</v>
      </c>
      <c r="C22" s="611">
        <f>8*60*'Input Value'!F42*'Input Value'!F44</f>
        <v>3744000</v>
      </c>
      <c r="F22" s="28" t="s">
        <v>720</v>
      </c>
      <c r="G22" s="613">
        <f>G21/'Market Projection'!F7</f>
        <v>0.2496626180836707</v>
      </c>
      <c r="J22" s="19"/>
    </row>
    <row r="23" spans="2:10" ht="12.75">
      <c r="B23" s="19" t="s">
        <v>605</v>
      </c>
      <c r="C23" s="611">
        <f>6*0.75*3*'Input Value'!F42*'Input Value'!F44</f>
        <v>105300</v>
      </c>
      <c r="F23" s="45"/>
      <c r="G23" s="617"/>
      <c r="J23" s="19"/>
    </row>
    <row r="24" spans="2:10" ht="12.75">
      <c r="B24" s="19" t="s">
        <v>699</v>
      </c>
      <c r="C24" s="611">
        <f>50*350</f>
        <v>17500</v>
      </c>
      <c r="G24" s="618"/>
      <c r="J24" s="19"/>
    </row>
    <row r="25" spans="2:10" ht="12.75">
      <c r="B25" s="19" t="s">
        <v>696</v>
      </c>
      <c r="C25" s="611">
        <f>70*'Input Value'!F42</f>
        <v>22750</v>
      </c>
      <c r="G25" s="618"/>
      <c r="J25" s="19"/>
    </row>
    <row r="26" spans="2:10" ht="12.75">
      <c r="B26" s="19" t="s">
        <v>700</v>
      </c>
      <c r="C26" s="611">
        <f>12*40*'Input Value'!F42</f>
        <v>156000</v>
      </c>
      <c r="G26" s="19"/>
      <c r="J26" s="19"/>
    </row>
    <row r="27" spans="2:10" ht="12.75">
      <c r="B27" s="19" t="s">
        <v>702</v>
      </c>
      <c r="C27" s="611">
        <f>0.05*35*60*'Input Value'!F42*'Input Value'!F44</f>
        <v>819000</v>
      </c>
      <c r="G27" s="619"/>
      <c r="J27" s="19"/>
    </row>
    <row r="28" spans="2:10" ht="12.75">
      <c r="B28" s="19" t="s">
        <v>606</v>
      </c>
      <c r="C28" s="611">
        <f>SUM(C19:C27)</f>
        <v>5280253.648953868</v>
      </c>
      <c r="G28" s="21"/>
      <c r="J28" s="19"/>
    </row>
    <row r="29" spans="2:10" ht="12.75">
      <c r="B29" s="19" t="s">
        <v>608</v>
      </c>
      <c r="C29" s="611">
        <f>C21+C25+C26+C19+C22</f>
        <v>4338453.648953869</v>
      </c>
      <c r="G29" s="31"/>
      <c r="J29" s="19"/>
    </row>
    <row r="30" spans="2:10" ht="12.75">
      <c r="B30" s="67" t="s">
        <v>706</v>
      </c>
      <c r="C30" s="612">
        <f>J5</f>
        <v>10560.507297907736</v>
      </c>
      <c r="G30" s="19"/>
      <c r="J30" s="19"/>
    </row>
    <row r="31" spans="2:10" ht="12.75">
      <c r="B31" s="28" t="s">
        <v>707</v>
      </c>
      <c r="C31" s="613">
        <f>C30/'Market Projection'!F7</f>
        <v>0.23752827930516726</v>
      </c>
      <c r="G31" s="19"/>
      <c r="J31" s="19"/>
    </row>
    <row r="32" spans="3:10" ht="12.75">
      <c r="C32" s="611"/>
      <c r="G32" s="19"/>
      <c r="J32" s="19"/>
    </row>
    <row r="33" spans="2:10" ht="12.75">
      <c r="B33" s="67" t="s">
        <v>609</v>
      </c>
      <c r="C33" s="611" t="s">
        <v>712</v>
      </c>
      <c r="G33" s="19"/>
      <c r="J33" s="19"/>
    </row>
    <row r="34" spans="2:10" ht="12.75">
      <c r="B34" s="19" t="s">
        <v>703</v>
      </c>
      <c r="C34" s="611">
        <v>750</v>
      </c>
      <c r="G34" s="19"/>
      <c r="J34" s="19"/>
    </row>
    <row r="35" spans="2:10" ht="12.75">
      <c r="B35" s="19" t="s">
        <v>711</v>
      </c>
      <c r="C35" s="611">
        <v>2500</v>
      </c>
      <c r="G35" s="19"/>
      <c r="J35" s="19"/>
    </row>
    <row r="36" spans="2:10" ht="12.75">
      <c r="B36" s="19" t="s">
        <v>715</v>
      </c>
      <c r="C36" s="611">
        <v>5000</v>
      </c>
      <c r="G36" s="19"/>
      <c r="J36" s="19"/>
    </row>
    <row r="37" spans="2:10" ht="12.75">
      <c r="B37" s="67" t="s">
        <v>722</v>
      </c>
      <c r="C37" s="102">
        <f>IF('Input Value'!F25=1,(SUM(C34:C36)),0)</f>
        <v>8250</v>
      </c>
      <c r="D37" s="19" t="s">
        <v>749</v>
      </c>
      <c r="G37" s="19"/>
      <c r="J37" s="19"/>
    </row>
    <row r="38" spans="2:10" ht="12.75">
      <c r="B38" s="34"/>
      <c r="C38" s="34"/>
      <c r="D38" s="34"/>
      <c r="G38" s="19"/>
      <c r="J38" s="19"/>
    </row>
    <row r="39" spans="2:10" ht="12.75">
      <c r="B39" s="19" t="s">
        <v>701</v>
      </c>
      <c r="C39" s="34"/>
      <c r="D39" s="34"/>
      <c r="G39" s="19"/>
      <c r="J39" s="19"/>
    </row>
    <row r="40" spans="2:10" ht="12.75">
      <c r="B40" s="19" t="s">
        <v>709</v>
      </c>
      <c r="C40" s="34"/>
      <c r="D40" s="34"/>
      <c r="G40" s="19"/>
      <c r="J40" s="19"/>
    </row>
    <row r="41" spans="3:7" ht="12.75">
      <c r="C41" s="19"/>
      <c r="G41" s="19"/>
    </row>
    <row r="42" spans="3:7" ht="12.75">
      <c r="C42" s="19"/>
      <c r="G42" s="19"/>
    </row>
    <row r="43" spans="3:7" ht="12.75">
      <c r="C43" s="19"/>
      <c r="G43" s="19"/>
    </row>
    <row r="44" spans="3:7" ht="12.75">
      <c r="C44" s="19"/>
      <c r="G44" s="19"/>
    </row>
    <row r="45" spans="3:7" ht="12.75">
      <c r="C45" s="19"/>
      <c r="G45" s="19"/>
    </row>
    <row r="46" spans="3:7" ht="12.75">
      <c r="C46" s="19"/>
      <c r="G46" s="19"/>
    </row>
    <row r="47" spans="3:7" ht="12.75">
      <c r="C47" s="19"/>
      <c r="G47" s="19"/>
    </row>
    <row r="48" spans="3:7" ht="12.75">
      <c r="C48" s="19"/>
      <c r="G48" s="19"/>
    </row>
    <row r="49" spans="3:7" ht="12.75">
      <c r="C49" s="19"/>
      <c r="G49" s="19"/>
    </row>
    <row r="50" spans="3:7" ht="12.75">
      <c r="C50" s="19"/>
      <c r="G50" s="19"/>
    </row>
    <row r="51" spans="3:7" ht="12.75">
      <c r="C51" s="19"/>
      <c r="G51" s="19"/>
    </row>
    <row r="52" spans="3:7" ht="12.75">
      <c r="C52" s="19"/>
      <c r="G52" s="19"/>
    </row>
    <row r="53" spans="3:7" ht="12.75">
      <c r="C53" s="19"/>
      <c r="G53" s="19"/>
    </row>
    <row r="54" spans="3:7" ht="12.75">
      <c r="C54" s="19"/>
      <c r="G54" s="19"/>
    </row>
    <row r="55" spans="3:7" ht="12.75">
      <c r="C55" s="19"/>
      <c r="G55" s="19"/>
    </row>
    <row r="56" spans="3:7" ht="12.75">
      <c r="C56" s="19"/>
      <c r="G56" s="19"/>
    </row>
    <row r="57" spans="3:7" ht="12.75">
      <c r="C57" s="19"/>
      <c r="G57" s="19"/>
    </row>
    <row r="58" spans="3:7" ht="12.75">
      <c r="C58" s="19"/>
      <c r="G58" s="19"/>
    </row>
    <row r="59" spans="3:7" ht="12.75">
      <c r="C59" s="19"/>
      <c r="G59" s="19"/>
    </row>
    <row r="60" spans="3:7" ht="12.75">
      <c r="C60" s="19"/>
      <c r="G60" s="19"/>
    </row>
    <row r="61" spans="3:7" ht="12.75">
      <c r="C61" s="19"/>
      <c r="G61" s="19"/>
    </row>
    <row r="62" spans="3:7" ht="12.75">
      <c r="C62" s="19"/>
      <c r="G62" s="19"/>
    </row>
    <row r="63" spans="3:7" ht="12.75">
      <c r="C63" s="19"/>
      <c r="G63" s="19"/>
    </row>
    <row r="64" spans="3:7" ht="12.75">
      <c r="C64" s="19"/>
      <c r="G64" s="19"/>
    </row>
    <row r="65" spans="3:7" ht="12.75">
      <c r="C65" s="19"/>
      <c r="G65" s="19"/>
    </row>
    <row r="66" spans="3:7" ht="12.75">
      <c r="C66" s="19"/>
      <c r="G66" s="19"/>
    </row>
    <row r="67" spans="3:7" ht="12.75">
      <c r="C67" s="19"/>
      <c r="G67" s="19"/>
    </row>
    <row r="68" spans="3:7" ht="12.75">
      <c r="C68" s="19"/>
      <c r="G68" s="19"/>
    </row>
    <row r="69" spans="3:7" ht="12.75">
      <c r="C69" s="19"/>
      <c r="G69" s="19"/>
    </row>
    <row r="70" spans="3:7" ht="12.75">
      <c r="C70" s="19"/>
      <c r="G70" s="19"/>
    </row>
    <row r="71" spans="3:7" ht="12.75">
      <c r="C71" s="19"/>
      <c r="G71" s="19"/>
    </row>
    <row r="72" spans="3:7" ht="12.75">
      <c r="C72" s="19"/>
      <c r="G72" s="19"/>
    </row>
    <row r="73" spans="3:7" ht="12.75">
      <c r="C73" s="19"/>
      <c r="G73" s="19"/>
    </row>
    <row r="74" spans="3:7" ht="12.75">
      <c r="C74" s="19"/>
      <c r="G74" s="19"/>
    </row>
    <row r="75" spans="3:7" ht="12.75">
      <c r="C75" s="19"/>
      <c r="G75" s="19"/>
    </row>
    <row r="76" spans="3:7" ht="12.75">
      <c r="C76" s="19"/>
      <c r="G76" s="19"/>
    </row>
    <row r="77" spans="3:7" ht="12.75">
      <c r="C77" s="19"/>
      <c r="G77" s="19"/>
    </row>
    <row r="78" spans="3:7" ht="12.75">
      <c r="C78" s="19"/>
      <c r="G78" s="19"/>
    </row>
    <row r="79" spans="3:7" ht="12.75">
      <c r="C79" s="19"/>
      <c r="G79" s="19"/>
    </row>
    <row r="80" spans="3:7" ht="12.75">
      <c r="C80" s="19"/>
      <c r="G80" s="19"/>
    </row>
    <row r="81" spans="3:7" ht="12.75">
      <c r="C81" s="19"/>
      <c r="G81" s="19"/>
    </row>
    <row r="82" ht="12.75">
      <c r="G82" s="19"/>
    </row>
    <row r="83" ht="12.75">
      <c r="G83" s="19"/>
    </row>
    <row r="84" ht="12.75">
      <c r="G84" s="19"/>
    </row>
  </sheetData>
  <sheetProtection password="C977" sheet="1"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2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626" customWidth="1"/>
    <col min="2" max="2" width="30.7109375" style="626" customWidth="1"/>
    <col min="3" max="3" width="30.7109375" style="624" customWidth="1"/>
    <col min="4" max="4" width="6.28125" style="626" customWidth="1"/>
    <col min="5" max="5" width="8.57421875" style="624" customWidth="1"/>
    <col min="6" max="6" width="10.7109375" style="626" customWidth="1"/>
    <col min="7" max="7" width="8.421875" style="626" customWidth="1"/>
    <col min="8" max="9" width="5.7109375" style="626" customWidth="1"/>
    <col min="10" max="10" width="5.7109375" style="624" customWidth="1"/>
    <col min="11" max="11" width="9.28125" style="626" customWidth="1"/>
    <col min="12" max="12" width="5.7109375" style="626" customWidth="1"/>
    <col min="13" max="13" width="7.140625" style="626" customWidth="1"/>
    <col min="14" max="16" width="9.140625" style="626" customWidth="1"/>
    <col min="17" max="17" width="16.28125" style="626" customWidth="1"/>
    <col min="18" max="20" width="9.140625" style="626" customWidth="1"/>
    <col min="21" max="16384" width="9.140625" style="624" customWidth="1"/>
  </cols>
  <sheetData>
    <row r="1" spans="1:18" ht="18.75">
      <c r="A1" s="19"/>
      <c r="B1" s="625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57.75" customHeight="1">
      <c r="A2" s="609" t="s">
        <v>2</v>
      </c>
      <c r="B2" s="609" t="s">
        <v>3</v>
      </c>
      <c r="C2" s="609" t="s">
        <v>4</v>
      </c>
      <c r="D2" s="609" t="s">
        <v>5</v>
      </c>
      <c r="E2" s="628" t="s">
        <v>6</v>
      </c>
      <c r="F2" s="628" t="s">
        <v>7</v>
      </c>
      <c r="G2" s="628" t="s">
        <v>8</v>
      </c>
      <c r="H2" s="628" t="s">
        <v>9</v>
      </c>
      <c r="I2" s="628" t="s">
        <v>10</v>
      </c>
      <c r="J2" s="628" t="s">
        <v>11</v>
      </c>
      <c r="K2" s="628" t="s">
        <v>769</v>
      </c>
      <c r="L2" s="628" t="s">
        <v>12</v>
      </c>
      <c r="M2" s="628" t="s">
        <v>102</v>
      </c>
      <c r="N2" s="635"/>
      <c r="O2" s="635"/>
      <c r="P2" s="635"/>
      <c r="Q2" s="635"/>
      <c r="R2" s="635"/>
      <c r="S2" s="638"/>
    </row>
    <row r="3" spans="1:18" ht="12.75">
      <c r="A3" s="19"/>
      <c r="B3" s="627" t="s">
        <v>13</v>
      </c>
      <c r="C3" s="19"/>
      <c r="D3" s="19"/>
      <c r="E3" s="19"/>
      <c r="F3" s="19"/>
      <c r="G3" s="19"/>
      <c r="H3" s="618"/>
      <c r="I3" s="618"/>
      <c r="J3" s="431"/>
      <c r="K3" s="618"/>
      <c r="L3" s="618"/>
      <c r="M3" s="618"/>
      <c r="N3" s="19"/>
      <c r="O3" s="19"/>
      <c r="P3" s="19"/>
      <c r="Q3" s="19"/>
      <c r="R3" s="19"/>
    </row>
    <row r="4" spans="1:18" ht="12.75">
      <c r="A4" s="19">
        <v>1</v>
      </c>
      <c r="B4" s="19" t="s">
        <v>14</v>
      </c>
      <c r="C4" s="19" t="s">
        <v>15</v>
      </c>
      <c r="D4" s="19">
        <v>1</v>
      </c>
      <c r="E4" s="430">
        <v>10000</v>
      </c>
      <c r="F4" s="483">
        <f>E4*D4</f>
        <v>10000</v>
      </c>
      <c r="G4" s="483"/>
      <c r="H4" s="618"/>
      <c r="I4" s="618"/>
      <c r="J4" s="429"/>
      <c r="K4" s="611"/>
      <c r="L4" s="618"/>
      <c r="M4" s="618"/>
      <c r="N4" s="19"/>
      <c r="O4" s="611"/>
      <c r="P4" s="19"/>
      <c r="Q4" s="19"/>
      <c r="R4" s="19"/>
    </row>
    <row r="5" spans="1:18" ht="12.75">
      <c r="A5" s="19">
        <f aca="true" t="shared" si="0" ref="A5:A10">A4+1</f>
        <v>2</v>
      </c>
      <c r="B5" s="19" t="s">
        <v>17</v>
      </c>
      <c r="C5" s="19" t="s">
        <v>18</v>
      </c>
      <c r="D5" s="19">
        <v>1</v>
      </c>
      <c r="E5" s="430">
        <v>52000</v>
      </c>
      <c r="F5" s="483">
        <f>E5*D5</f>
        <v>52000</v>
      </c>
      <c r="G5" s="483"/>
      <c r="H5" s="618"/>
      <c r="I5" s="618"/>
      <c r="J5" s="431">
        <f>40*D5</f>
        <v>40</v>
      </c>
      <c r="K5" s="611"/>
      <c r="L5" s="618"/>
      <c r="M5" s="618"/>
      <c r="N5" s="19"/>
      <c r="O5" s="611"/>
      <c r="P5" s="19"/>
      <c r="Q5" s="19"/>
      <c r="R5" s="19"/>
    </row>
    <row r="6" spans="1:18" ht="12.75">
      <c r="A6" s="19">
        <f t="shared" si="0"/>
        <v>3</v>
      </c>
      <c r="B6" s="19" t="s">
        <v>19</v>
      </c>
      <c r="C6" s="19" t="s">
        <v>20</v>
      </c>
      <c r="D6" s="19">
        <v>1</v>
      </c>
      <c r="E6" s="430">
        <f>22600+7000</f>
        <v>29600</v>
      </c>
      <c r="F6" s="483">
        <f>E6*D6</f>
        <v>29600</v>
      </c>
      <c r="G6" s="483"/>
      <c r="H6" s="618"/>
      <c r="I6" s="618"/>
      <c r="J6" s="431"/>
      <c r="K6" s="611">
        <v>2</v>
      </c>
      <c r="L6" s="618"/>
      <c r="M6" s="618"/>
      <c r="N6" s="19"/>
      <c r="O6" s="611"/>
      <c r="P6" s="19"/>
      <c r="Q6" s="19"/>
      <c r="R6" s="19"/>
    </row>
    <row r="7" spans="1:18" ht="12.75">
      <c r="A7" s="19">
        <f t="shared" si="0"/>
        <v>4</v>
      </c>
      <c r="B7" s="19" t="s">
        <v>22</v>
      </c>
      <c r="C7" s="19" t="s">
        <v>20</v>
      </c>
      <c r="D7" s="19">
        <v>1</v>
      </c>
      <c r="E7" s="430">
        <f>47290+3530</f>
        <v>50820</v>
      </c>
      <c r="F7" s="483">
        <f>E7*D7</f>
        <v>50820</v>
      </c>
      <c r="G7" s="483"/>
      <c r="H7" s="618"/>
      <c r="I7" s="618"/>
      <c r="J7" s="431"/>
      <c r="K7" s="611">
        <v>5</v>
      </c>
      <c r="L7" s="618"/>
      <c r="M7" s="618"/>
      <c r="N7" s="19"/>
      <c r="O7" s="611"/>
      <c r="P7" s="19"/>
      <c r="Q7" s="19"/>
      <c r="R7" s="19"/>
    </row>
    <row r="8" spans="1:18" ht="12.75">
      <c r="A8" s="19">
        <f t="shared" si="0"/>
        <v>5</v>
      </c>
      <c r="B8" s="19" t="s">
        <v>23</v>
      </c>
      <c r="C8" s="19" t="s">
        <v>24</v>
      </c>
      <c r="D8" s="19">
        <v>1</v>
      </c>
      <c r="E8" s="430"/>
      <c r="F8" s="483"/>
      <c r="G8" s="483"/>
      <c r="H8" s="618"/>
      <c r="I8" s="618"/>
      <c r="J8" s="431"/>
      <c r="K8" s="611"/>
      <c r="L8" s="618"/>
      <c r="M8" s="618"/>
      <c r="N8" s="19"/>
      <c r="O8" s="611"/>
      <c r="P8" s="19"/>
      <c r="Q8" s="19"/>
      <c r="R8" s="19"/>
    </row>
    <row r="9" spans="1:18" ht="12.75">
      <c r="A9" s="19">
        <f t="shared" si="0"/>
        <v>6</v>
      </c>
      <c r="B9" s="19"/>
      <c r="C9" s="19"/>
      <c r="D9" s="19"/>
      <c r="E9" s="430"/>
      <c r="F9" s="483"/>
      <c r="G9" s="483"/>
      <c r="H9" s="618"/>
      <c r="I9" s="618"/>
      <c r="J9" s="431"/>
      <c r="K9" s="611"/>
      <c r="L9" s="618"/>
      <c r="M9" s="618"/>
      <c r="N9" s="19"/>
      <c r="O9" s="618"/>
      <c r="P9" s="19"/>
      <c r="Q9" s="19"/>
      <c r="R9" s="19"/>
    </row>
    <row r="10" spans="1:18" ht="12.75">
      <c r="A10" s="19">
        <f t="shared" si="0"/>
        <v>7</v>
      </c>
      <c r="B10" s="19"/>
      <c r="C10" s="19"/>
      <c r="D10" s="19"/>
      <c r="E10" s="430"/>
      <c r="F10" s="483"/>
      <c r="G10" s="483"/>
      <c r="H10" s="618"/>
      <c r="I10" s="618"/>
      <c r="J10" s="431"/>
      <c r="K10" s="611"/>
      <c r="L10" s="618"/>
      <c r="M10" s="618"/>
      <c r="N10" s="19"/>
      <c r="O10" s="19"/>
      <c r="P10" s="19"/>
      <c r="Q10" s="19"/>
      <c r="R10" s="19"/>
    </row>
    <row r="11" spans="1:18" ht="12.75">
      <c r="A11" s="19">
        <v>8</v>
      </c>
      <c r="B11" s="19"/>
      <c r="C11" s="19" t="s">
        <v>25</v>
      </c>
      <c r="D11" s="19"/>
      <c r="E11" s="429"/>
      <c r="F11" s="483">
        <f>SUM(F4:F10)*$C$190</f>
        <v>49847</v>
      </c>
      <c r="G11" s="19"/>
      <c r="H11" s="618"/>
      <c r="I11" s="618"/>
      <c r="J11" s="431"/>
      <c r="K11" s="611"/>
      <c r="L11" s="618"/>
      <c r="M11" s="618"/>
      <c r="N11" s="19"/>
      <c r="O11" s="19"/>
      <c r="P11" s="19"/>
      <c r="Q11" s="19"/>
      <c r="R11" s="19"/>
    </row>
    <row r="12" spans="1:18" ht="12.75">
      <c r="A12" s="19"/>
      <c r="B12" s="19"/>
      <c r="C12" s="19"/>
      <c r="D12" s="93" t="s">
        <v>26</v>
      </c>
      <c r="E12" s="430"/>
      <c r="F12" s="483">
        <f>SUM(F4:F11)</f>
        <v>192267</v>
      </c>
      <c r="G12" s="483">
        <f>SUM(G4:G11)</f>
        <v>0</v>
      </c>
      <c r="H12" s="618"/>
      <c r="I12" s="618"/>
      <c r="J12" s="431"/>
      <c r="K12" s="611"/>
      <c r="L12" s="618"/>
      <c r="M12" s="618"/>
      <c r="N12" s="19"/>
      <c r="O12" s="19"/>
      <c r="P12" s="19"/>
      <c r="Q12" s="19"/>
      <c r="R12" s="19"/>
    </row>
    <row r="13" spans="1:18" ht="12.75">
      <c r="A13" s="19"/>
      <c r="B13" s="19"/>
      <c r="C13" s="19"/>
      <c r="D13" s="67"/>
      <c r="E13" s="430"/>
      <c r="F13" s="483"/>
      <c r="G13" s="483"/>
      <c r="H13" s="618"/>
      <c r="I13" s="618"/>
      <c r="J13" s="431"/>
      <c r="K13" s="611"/>
      <c r="L13" s="618"/>
      <c r="M13" s="618"/>
      <c r="N13" s="19"/>
      <c r="O13" s="19"/>
      <c r="P13" s="19"/>
      <c r="Q13" s="19"/>
      <c r="R13" s="19"/>
    </row>
    <row r="14" spans="1:18" ht="12.75">
      <c r="A14" s="19"/>
      <c r="B14" s="627" t="s">
        <v>27</v>
      </c>
      <c r="C14" s="19"/>
      <c r="D14" s="67"/>
      <c r="E14" s="430"/>
      <c r="F14" s="483"/>
      <c r="G14" s="483"/>
      <c r="H14" s="618"/>
      <c r="I14" s="618"/>
      <c r="J14" s="431"/>
      <c r="K14" s="611"/>
      <c r="L14" s="618"/>
      <c r="M14" s="618"/>
      <c r="N14" s="19"/>
      <c r="O14" s="19"/>
      <c r="P14" s="19"/>
      <c r="Q14" s="19"/>
      <c r="R14" s="19"/>
    </row>
    <row r="15" spans="1:18" ht="12.75">
      <c r="A15" s="19">
        <v>1</v>
      </c>
      <c r="B15" s="19" t="s">
        <v>28</v>
      </c>
      <c r="C15" s="19" t="s">
        <v>29</v>
      </c>
      <c r="D15" s="19">
        <v>3</v>
      </c>
      <c r="E15" s="430">
        <v>10000</v>
      </c>
      <c r="F15" s="483">
        <f aca="true" t="shared" si="1" ref="F15:F20">E15*D15</f>
        <v>30000</v>
      </c>
      <c r="G15" s="483"/>
      <c r="H15" s="618"/>
      <c r="I15" s="618"/>
      <c r="J15" s="431"/>
      <c r="K15" s="611"/>
      <c r="L15" s="618"/>
      <c r="M15" s="618"/>
      <c r="N15" s="19"/>
      <c r="O15" s="19"/>
      <c r="P15" s="19"/>
      <c r="Q15" s="19"/>
      <c r="R15" s="19"/>
    </row>
    <row r="16" spans="1:18" ht="12.75">
      <c r="A16" s="19">
        <v>2</v>
      </c>
      <c r="B16" s="19" t="s">
        <v>30</v>
      </c>
      <c r="C16" s="19" t="s">
        <v>31</v>
      </c>
      <c r="D16" s="19">
        <v>3</v>
      </c>
      <c r="E16" s="430">
        <v>6324</v>
      </c>
      <c r="F16" s="483">
        <f t="shared" si="1"/>
        <v>18972</v>
      </c>
      <c r="G16" s="483"/>
      <c r="H16" s="618"/>
      <c r="I16" s="618"/>
      <c r="J16" s="431"/>
      <c r="K16" s="611"/>
      <c r="L16" s="618"/>
      <c r="M16" s="618"/>
      <c r="N16" s="19"/>
      <c r="O16" s="19"/>
      <c r="P16" s="19"/>
      <c r="Q16" s="19"/>
      <c r="R16" s="19"/>
    </row>
    <row r="17" spans="1:18" ht="12.75">
      <c r="A17" s="19">
        <v>3</v>
      </c>
      <c r="B17" s="19" t="s">
        <v>32</v>
      </c>
      <c r="C17" s="19"/>
      <c r="D17" s="19">
        <v>3</v>
      </c>
      <c r="E17" s="430">
        <v>78340</v>
      </c>
      <c r="F17" s="483">
        <f t="shared" si="1"/>
        <v>235020</v>
      </c>
      <c r="G17" s="483"/>
      <c r="H17" s="618"/>
      <c r="I17" s="618"/>
      <c r="J17" s="431">
        <f>10*D17</f>
        <v>30</v>
      </c>
      <c r="K17" s="19"/>
      <c r="L17" s="618"/>
      <c r="M17" s="611">
        <f>'Engineering Calcs'!B38</f>
        <v>135.45101842870997</v>
      </c>
      <c r="N17" s="19"/>
      <c r="O17" s="19"/>
      <c r="P17" s="19"/>
      <c r="Q17" s="19"/>
      <c r="R17" s="19"/>
    </row>
    <row r="18" spans="1:18" ht="12.75">
      <c r="A18" s="19">
        <v>4</v>
      </c>
      <c r="B18" s="19" t="s">
        <v>33</v>
      </c>
      <c r="C18" s="19" t="s">
        <v>34</v>
      </c>
      <c r="D18" s="19">
        <v>3</v>
      </c>
      <c r="E18" s="430">
        <v>0</v>
      </c>
      <c r="F18" s="483">
        <f t="shared" si="1"/>
        <v>0</v>
      </c>
      <c r="G18" s="483"/>
      <c r="H18" s="618"/>
      <c r="I18" s="618"/>
      <c r="J18" s="431">
        <f>2*D18</f>
        <v>6</v>
      </c>
      <c r="K18" s="611"/>
      <c r="L18" s="618"/>
      <c r="M18" s="618"/>
      <c r="N18" s="19"/>
      <c r="O18" s="19"/>
      <c r="P18" s="19"/>
      <c r="Q18" s="19"/>
      <c r="R18" s="19"/>
    </row>
    <row r="19" spans="1:18" ht="12.75">
      <c r="A19" s="19">
        <v>5</v>
      </c>
      <c r="B19" s="19" t="s">
        <v>35</v>
      </c>
      <c r="C19" s="19"/>
      <c r="D19" s="19">
        <v>3</v>
      </c>
      <c r="E19" s="430">
        <v>24002</v>
      </c>
      <c r="F19" s="483">
        <f t="shared" si="1"/>
        <v>72006</v>
      </c>
      <c r="G19" s="483"/>
      <c r="H19" s="618"/>
      <c r="I19" s="618"/>
      <c r="J19" s="431">
        <f>10*D19</f>
        <v>30</v>
      </c>
      <c r="K19" s="611"/>
      <c r="L19" s="618"/>
      <c r="M19" s="618"/>
      <c r="N19" s="19"/>
      <c r="O19" s="19"/>
      <c r="P19" s="19"/>
      <c r="Q19" s="19"/>
      <c r="R19" s="19"/>
    </row>
    <row r="20" spans="1:18" ht="12.75">
      <c r="A20" s="19">
        <v>6</v>
      </c>
      <c r="B20" s="19" t="s">
        <v>36</v>
      </c>
      <c r="C20" s="19"/>
      <c r="D20" s="19">
        <v>3</v>
      </c>
      <c r="E20" s="430">
        <v>4516</v>
      </c>
      <c r="F20" s="483">
        <f t="shared" si="1"/>
        <v>13548</v>
      </c>
      <c r="G20" s="483"/>
      <c r="H20" s="618"/>
      <c r="I20" s="618"/>
      <c r="J20" s="431">
        <f>1*D20</f>
        <v>3</v>
      </c>
      <c r="K20" s="611"/>
      <c r="L20" s="618"/>
      <c r="M20" s="618"/>
      <c r="N20" s="19"/>
      <c r="O20" s="19"/>
      <c r="P20" s="19"/>
      <c r="Q20" s="19"/>
      <c r="R20" s="19"/>
    </row>
    <row r="21" spans="1:18" ht="12.75">
      <c r="A21" s="19">
        <v>7</v>
      </c>
      <c r="B21" s="19"/>
      <c r="C21" s="19"/>
      <c r="D21" s="19"/>
      <c r="E21" s="430"/>
      <c r="F21" s="483"/>
      <c r="G21" s="483"/>
      <c r="H21" s="618"/>
      <c r="I21" s="618"/>
      <c r="J21" s="431"/>
      <c r="K21" s="611"/>
      <c r="L21" s="618"/>
      <c r="M21" s="618"/>
      <c r="N21" s="19"/>
      <c r="O21" s="19"/>
      <c r="P21" s="19"/>
      <c r="Q21" s="19"/>
      <c r="R21" s="19"/>
    </row>
    <row r="22" spans="1:18" ht="12.75">
      <c r="A22" s="19">
        <v>8</v>
      </c>
      <c r="B22" s="19"/>
      <c r="C22" s="19" t="s">
        <v>25</v>
      </c>
      <c r="D22" s="19"/>
      <c r="E22" s="430"/>
      <c r="F22" s="483">
        <f>SUM(F15:F21)*C190</f>
        <v>129341.09999999999</v>
      </c>
      <c r="G22" s="483"/>
      <c r="H22" s="618"/>
      <c r="I22" s="618"/>
      <c r="J22" s="431"/>
      <c r="K22" s="611"/>
      <c r="L22" s="618"/>
      <c r="M22" s="618"/>
      <c r="N22" s="19"/>
      <c r="O22" s="19"/>
      <c r="P22" s="19"/>
      <c r="Q22" s="19"/>
      <c r="R22" s="19"/>
    </row>
    <row r="23" spans="1:18" ht="12.75">
      <c r="A23" s="19"/>
      <c r="B23" s="19"/>
      <c r="C23" s="19"/>
      <c r="D23" s="19" t="s">
        <v>26</v>
      </c>
      <c r="E23" s="430"/>
      <c r="F23" s="483">
        <f>SUM(F15:F22)</f>
        <v>498887.1</v>
      </c>
      <c r="G23" s="483"/>
      <c r="H23" s="618"/>
      <c r="I23" s="618"/>
      <c r="J23" s="431"/>
      <c r="K23" s="611"/>
      <c r="L23" s="618"/>
      <c r="M23" s="618"/>
      <c r="N23" s="19"/>
      <c r="O23" s="19"/>
      <c r="P23" s="19"/>
      <c r="Q23" s="19"/>
      <c r="R23" s="19"/>
    </row>
    <row r="24" spans="1:18" ht="12.75">
      <c r="A24" s="19"/>
      <c r="B24" s="19"/>
      <c r="C24" s="19"/>
      <c r="D24" s="19"/>
      <c r="E24" s="430"/>
      <c r="F24" s="483"/>
      <c r="G24" s="483"/>
      <c r="H24" s="618"/>
      <c r="I24" s="618"/>
      <c r="J24" s="431"/>
      <c r="K24" s="611"/>
      <c r="L24" s="618"/>
      <c r="M24" s="618"/>
      <c r="N24" s="19"/>
      <c r="O24" s="19"/>
      <c r="P24" s="19"/>
      <c r="Q24" s="19"/>
      <c r="R24" s="19"/>
    </row>
    <row r="25" spans="1:18" ht="12.75">
      <c r="A25" s="19"/>
      <c r="B25" s="19"/>
      <c r="C25" s="19"/>
      <c r="D25" s="19"/>
      <c r="E25" s="430"/>
      <c r="F25" s="483"/>
      <c r="G25" s="483"/>
      <c r="H25" s="618"/>
      <c r="I25" s="618"/>
      <c r="J25" s="431"/>
      <c r="K25" s="611"/>
      <c r="L25" s="618"/>
      <c r="M25" s="618"/>
      <c r="N25" s="19"/>
      <c r="O25" s="19"/>
      <c r="P25" s="19"/>
      <c r="Q25" s="19"/>
      <c r="R25" s="19"/>
    </row>
    <row r="26" spans="1:18" ht="12.75">
      <c r="A26" s="19"/>
      <c r="B26" s="627" t="s">
        <v>37</v>
      </c>
      <c r="C26" s="19"/>
      <c r="D26" s="67"/>
      <c r="E26" s="430"/>
      <c r="F26" s="483"/>
      <c r="G26" s="483"/>
      <c r="H26" s="618"/>
      <c r="I26" s="618"/>
      <c r="J26" s="431"/>
      <c r="K26" s="611"/>
      <c r="L26" s="618"/>
      <c r="M26" s="618"/>
      <c r="N26" s="19"/>
      <c r="O26" s="19"/>
      <c r="P26" s="19"/>
      <c r="Q26" s="19"/>
      <c r="R26" s="19"/>
    </row>
    <row r="27" spans="1:18" ht="12.75">
      <c r="A27" s="19">
        <v>1</v>
      </c>
      <c r="B27" s="19" t="s">
        <v>38</v>
      </c>
      <c r="C27" s="19"/>
      <c r="D27" s="19">
        <v>6</v>
      </c>
      <c r="E27" s="430">
        <v>154625</v>
      </c>
      <c r="F27" s="483">
        <f>E27*D27</f>
        <v>927750</v>
      </c>
      <c r="G27" s="483"/>
      <c r="H27" s="618"/>
      <c r="I27" s="618"/>
      <c r="J27" s="431">
        <f>67*D27</f>
        <v>402</v>
      </c>
      <c r="K27" s="611"/>
      <c r="L27" s="618"/>
      <c r="M27" s="618"/>
      <c r="N27" s="19"/>
      <c r="O27" s="19"/>
      <c r="P27" s="19"/>
      <c r="Q27" s="19"/>
      <c r="R27" s="19"/>
    </row>
    <row r="28" spans="1:18" ht="12.75">
      <c r="A28" s="19">
        <v>2</v>
      </c>
      <c r="B28" s="19" t="s">
        <v>39</v>
      </c>
      <c r="C28" s="19"/>
      <c r="D28" s="19">
        <v>6</v>
      </c>
      <c r="E28" s="430">
        <v>5896</v>
      </c>
      <c r="F28" s="483">
        <f aca="true" t="shared" si="2" ref="F28:F37">D28*E28</f>
        <v>35376</v>
      </c>
      <c r="G28" s="483"/>
      <c r="H28" s="618"/>
      <c r="I28" s="618"/>
      <c r="J28" s="431">
        <f>2*D28</f>
        <v>12</v>
      </c>
      <c r="K28" s="611"/>
      <c r="L28" s="618"/>
      <c r="M28" s="618"/>
      <c r="N28" s="19"/>
      <c r="O28" s="19"/>
      <c r="P28" s="19"/>
      <c r="Q28" s="19"/>
      <c r="R28" s="19"/>
    </row>
    <row r="29" spans="1:18" ht="12.75">
      <c r="A29" s="19">
        <v>3</v>
      </c>
      <c r="B29" s="19" t="s">
        <v>40</v>
      </c>
      <c r="C29" s="19"/>
      <c r="D29" s="19">
        <v>6</v>
      </c>
      <c r="E29" s="430">
        <v>31238</v>
      </c>
      <c r="F29" s="483">
        <f t="shared" si="2"/>
        <v>187428</v>
      </c>
      <c r="G29" s="483"/>
      <c r="H29" s="618"/>
      <c r="I29" s="618"/>
      <c r="J29" s="431">
        <f>D29*0.75</f>
        <v>4.5</v>
      </c>
      <c r="K29" s="611"/>
      <c r="L29" s="618"/>
      <c r="M29" s="618"/>
      <c r="N29" s="19"/>
      <c r="O29" s="19"/>
      <c r="P29" s="19"/>
      <c r="Q29" s="19"/>
      <c r="R29" s="19"/>
    </row>
    <row r="30" spans="1:18" ht="12.75">
      <c r="A30" s="19">
        <v>4</v>
      </c>
      <c r="B30" s="19" t="s">
        <v>36</v>
      </c>
      <c r="C30" s="19"/>
      <c r="D30" s="19">
        <v>3</v>
      </c>
      <c r="E30" s="430">
        <v>6717</v>
      </c>
      <c r="F30" s="483">
        <f t="shared" si="2"/>
        <v>20151</v>
      </c>
      <c r="G30" s="483"/>
      <c r="H30" s="618"/>
      <c r="I30" s="618"/>
      <c r="J30" s="431">
        <f>1*D30</f>
        <v>3</v>
      </c>
      <c r="K30" s="611"/>
      <c r="L30" s="618"/>
      <c r="M30" s="618"/>
      <c r="N30" s="19"/>
      <c r="O30" s="19"/>
      <c r="P30" s="19"/>
      <c r="Q30" s="19"/>
      <c r="R30" s="19"/>
    </row>
    <row r="31" spans="1:18" ht="12.75">
      <c r="A31" s="19">
        <v>5</v>
      </c>
      <c r="B31" s="19" t="s">
        <v>41</v>
      </c>
      <c r="C31" s="19" t="s">
        <v>42</v>
      </c>
      <c r="D31" s="19">
        <v>3</v>
      </c>
      <c r="E31" s="430">
        <v>4560</v>
      </c>
      <c r="F31" s="483">
        <f t="shared" si="2"/>
        <v>13680</v>
      </c>
      <c r="G31" s="483"/>
      <c r="H31" s="618"/>
      <c r="I31" s="618"/>
      <c r="J31" s="431"/>
      <c r="K31" s="611"/>
      <c r="L31" s="618"/>
      <c r="M31" s="618"/>
      <c r="N31" s="19"/>
      <c r="O31" s="19"/>
      <c r="P31" s="19"/>
      <c r="Q31" s="19"/>
      <c r="R31" s="19"/>
    </row>
    <row r="32" spans="1:18" ht="12.75">
      <c r="A32" s="19">
        <v>6</v>
      </c>
      <c r="B32" s="19" t="s">
        <v>43</v>
      </c>
      <c r="C32" s="19"/>
      <c r="D32" s="19">
        <v>3</v>
      </c>
      <c r="E32" s="430">
        <v>99525</v>
      </c>
      <c r="F32" s="483">
        <f t="shared" si="2"/>
        <v>298575</v>
      </c>
      <c r="G32" s="483"/>
      <c r="H32" s="618"/>
      <c r="I32" s="618"/>
      <c r="J32" s="431">
        <f>154*D32</f>
        <v>462</v>
      </c>
      <c r="K32" s="611"/>
      <c r="L32" s="618"/>
      <c r="M32" s="618"/>
      <c r="N32" s="19"/>
      <c r="O32" s="19"/>
      <c r="P32" s="19"/>
      <c r="Q32" s="19"/>
      <c r="R32" s="19"/>
    </row>
    <row r="33" spans="1:18" ht="12.75">
      <c r="A33" s="19">
        <v>7</v>
      </c>
      <c r="B33" s="19" t="s">
        <v>44</v>
      </c>
      <c r="C33" s="19" t="s">
        <v>45</v>
      </c>
      <c r="D33" s="19">
        <v>3</v>
      </c>
      <c r="E33" s="430">
        <v>4659</v>
      </c>
      <c r="F33" s="483">
        <f t="shared" si="2"/>
        <v>13977</v>
      </c>
      <c r="G33" s="483"/>
      <c r="H33" s="618"/>
      <c r="I33" s="618"/>
      <c r="J33" s="431">
        <f>2*D33</f>
        <v>6</v>
      </c>
      <c r="K33" s="611"/>
      <c r="L33" s="618"/>
      <c r="M33" s="618"/>
      <c r="N33" s="19"/>
      <c r="O33" s="19"/>
      <c r="P33" s="19"/>
      <c r="Q33" s="19"/>
      <c r="R33" s="19"/>
    </row>
    <row r="34" spans="1:18" ht="12.75">
      <c r="A34" s="19">
        <v>8</v>
      </c>
      <c r="B34" s="19" t="s">
        <v>46</v>
      </c>
      <c r="C34" s="19"/>
      <c r="D34" s="19">
        <v>3</v>
      </c>
      <c r="E34" s="430">
        <v>8025</v>
      </c>
      <c r="F34" s="483">
        <f t="shared" si="2"/>
        <v>24075</v>
      </c>
      <c r="G34" s="483"/>
      <c r="H34" s="618"/>
      <c r="I34" s="618"/>
      <c r="J34" s="431">
        <f>2*D34</f>
        <v>6</v>
      </c>
      <c r="K34" s="611"/>
      <c r="L34" s="618"/>
      <c r="M34" s="618"/>
      <c r="N34" s="19"/>
      <c r="O34" s="19"/>
      <c r="P34" s="19"/>
      <c r="Q34" s="19"/>
      <c r="R34" s="19"/>
    </row>
    <row r="35" spans="1:18" ht="12.75">
      <c r="A35" s="19">
        <v>9</v>
      </c>
      <c r="B35" s="19" t="s">
        <v>47</v>
      </c>
      <c r="C35" s="19" t="s">
        <v>48</v>
      </c>
      <c r="D35" s="19">
        <v>3</v>
      </c>
      <c r="E35" s="430">
        <v>2500</v>
      </c>
      <c r="F35" s="483">
        <f t="shared" si="2"/>
        <v>7500</v>
      </c>
      <c r="G35" s="483"/>
      <c r="H35" s="618"/>
      <c r="I35" s="618"/>
      <c r="J35" s="431">
        <f>2*D35</f>
        <v>6</v>
      </c>
      <c r="K35" s="611"/>
      <c r="L35" s="618"/>
      <c r="M35" s="618"/>
      <c r="N35" s="19"/>
      <c r="O35" s="19"/>
      <c r="P35" s="19"/>
      <c r="Q35" s="19"/>
      <c r="R35" s="19"/>
    </row>
    <row r="36" spans="1:18" ht="12.75">
      <c r="A36" s="19">
        <v>10</v>
      </c>
      <c r="B36" s="19" t="s">
        <v>49</v>
      </c>
      <c r="C36" s="19"/>
      <c r="D36" s="19">
        <v>3</v>
      </c>
      <c r="E36" s="430">
        <v>3150</v>
      </c>
      <c r="F36" s="483">
        <f t="shared" si="2"/>
        <v>9450</v>
      </c>
      <c r="G36" s="483"/>
      <c r="H36" s="618"/>
      <c r="I36" s="618"/>
      <c r="J36" s="431"/>
      <c r="K36" s="611"/>
      <c r="L36" s="618"/>
      <c r="M36" s="618"/>
      <c r="N36" s="19"/>
      <c r="O36" s="19"/>
      <c r="P36" s="19"/>
      <c r="Q36" s="19"/>
      <c r="R36" s="19"/>
    </row>
    <row r="37" spans="1:18" ht="12.75">
      <c r="A37" s="19">
        <v>11</v>
      </c>
      <c r="B37" s="19" t="s">
        <v>50</v>
      </c>
      <c r="C37" s="19"/>
      <c r="D37" s="19">
        <v>3</v>
      </c>
      <c r="E37" s="430">
        <v>7600</v>
      </c>
      <c r="F37" s="483">
        <f t="shared" si="2"/>
        <v>22800</v>
      </c>
      <c r="G37" s="483"/>
      <c r="H37" s="618"/>
      <c r="I37" s="618"/>
      <c r="J37" s="431"/>
      <c r="K37" s="611"/>
      <c r="L37" s="618"/>
      <c r="M37" s="618"/>
      <c r="N37" s="19"/>
      <c r="O37" s="19"/>
      <c r="P37" s="19"/>
      <c r="Q37" s="19"/>
      <c r="R37" s="19"/>
    </row>
    <row r="38" spans="1:18" ht="12.75">
      <c r="A38" s="19">
        <v>12</v>
      </c>
      <c r="B38" s="19"/>
      <c r="C38" s="19"/>
      <c r="D38" s="19"/>
      <c r="E38" s="430"/>
      <c r="F38" s="483"/>
      <c r="G38" s="483"/>
      <c r="H38" s="618"/>
      <c r="I38" s="618"/>
      <c r="J38" s="431"/>
      <c r="K38" s="611"/>
      <c r="L38" s="618"/>
      <c r="M38" s="618"/>
      <c r="N38" s="19"/>
      <c r="O38" s="19"/>
      <c r="P38" s="19"/>
      <c r="Q38" s="19"/>
      <c r="R38" s="19"/>
    </row>
    <row r="39" spans="1:18" ht="12.75">
      <c r="A39" s="19">
        <v>13</v>
      </c>
      <c r="B39" s="19"/>
      <c r="C39" s="19"/>
      <c r="D39" s="19"/>
      <c r="E39" s="430"/>
      <c r="F39" s="483"/>
      <c r="G39" s="483"/>
      <c r="H39" s="618"/>
      <c r="I39" s="618"/>
      <c r="J39" s="431"/>
      <c r="K39" s="611"/>
      <c r="L39" s="618"/>
      <c r="M39" s="618"/>
      <c r="N39" s="19"/>
      <c r="O39" s="19"/>
      <c r="P39" s="19"/>
      <c r="Q39" s="19"/>
      <c r="R39" s="19"/>
    </row>
    <row r="40" spans="1:18" ht="12.75">
      <c r="A40" s="19">
        <v>14</v>
      </c>
      <c r="B40" s="19"/>
      <c r="C40" s="19" t="s">
        <v>25</v>
      </c>
      <c r="D40" s="19"/>
      <c r="E40" s="429"/>
      <c r="F40" s="483">
        <f>SUM(F27:F39)*C190</f>
        <v>546266.7</v>
      </c>
      <c r="G40" s="19"/>
      <c r="H40" s="19"/>
      <c r="I40" s="19"/>
      <c r="J40" s="429"/>
      <c r="K40" s="611"/>
      <c r="L40" s="19"/>
      <c r="M40" s="19"/>
      <c r="N40" s="19"/>
      <c r="O40" s="19"/>
      <c r="P40" s="19"/>
      <c r="Q40" s="19"/>
      <c r="R40" s="19"/>
    </row>
    <row r="41" spans="1:18" ht="12.75">
      <c r="A41" s="19"/>
      <c r="B41" s="19"/>
      <c r="C41" s="19"/>
      <c r="D41" s="19" t="s">
        <v>26</v>
      </c>
      <c r="E41" s="429"/>
      <c r="F41" s="483">
        <f>SUM(F27:F40)</f>
        <v>2107028.7</v>
      </c>
      <c r="G41" s="483"/>
      <c r="H41" s="618"/>
      <c r="I41" s="618"/>
      <c r="J41" s="431"/>
      <c r="K41" s="611"/>
      <c r="L41" s="618"/>
      <c r="M41" s="618"/>
      <c r="N41" s="19"/>
      <c r="O41" s="19"/>
      <c r="P41" s="19"/>
      <c r="Q41" s="19"/>
      <c r="R41" s="19"/>
    </row>
    <row r="42" spans="1:18" ht="12.75">
      <c r="A42" s="19"/>
      <c r="B42" s="19"/>
      <c r="C42" s="19"/>
      <c r="D42" s="19"/>
      <c r="E42" s="430"/>
      <c r="F42" s="483"/>
      <c r="G42" s="483"/>
      <c r="H42" s="618"/>
      <c r="I42" s="618"/>
      <c r="J42" s="431"/>
      <c r="K42" s="611"/>
      <c r="L42" s="618"/>
      <c r="M42" s="618"/>
      <c r="N42" s="19"/>
      <c r="O42" s="19"/>
      <c r="P42" s="19"/>
      <c r="Q42" s="19"/>
      <c r="R42" s="19"/>
    </row>
    <row r="43" spans="1:18" ht="12.75">
      <c r="A43" s="19"/>
      <c r="B43" s="627" t="s">
        <v>103</v>
      </c>
      <c r="C43" s="19"/>
      <c r="D43" s="67"/>
      <c r="E43" s="430"/>
      <c r="F43" s="483"/>
      <c r="G43" s="483"/>
      <c r="H43" s="618"/>
      <c r="I43" s="618"/>
      <c r="J43" s="431"/>
      <c r="K43" s="611"/>
      <c r="L43" s="618"/>
      <c r="M43" s="618"/>
      <c r="N43" s="19"/>
      <c r="O43" s="611"/>
      <c r="P43" s="19"/>
      <c r="Q43" s="19"/>
      <c r="R43" s="19"/>
    </row>
    <row r="44" spans="1:18" ht="12.75">
      <c r="A44" s="19">
        <v>1</v>
      </c>
      <c r="B44" s="19" t="s">
        <v>51</v>
      </c>
      <c r="C44" s="19" t="s">
        <v>52</v>
      </c>
      <c r="D44" s="19">
        <v>2</v>
      </c>
      <c r="E44" s="430"/>
      <c r="F44" s="629"/>
      <c r="G44" s="483"/>
      <c r="H44" s="618"/>
      <c r="I44" s="618"/>
      <c r="J44" s="431">
        <v>4</v>
      </c>
      <c r="K44" s="611"/>
      <c r="L44" s="618"/>
      <c r="M44" s="618"/>
      <c r="N44" s="19"/>
      <c r="O44" s="19"/>
      <c r="P44" s="19"/>
      <c r="Q44" s="19"/>
      <c r="R44" s="19"/>
    </row>
    <row r="45" spans="1:18" ht="12.75">
      <c r="A45" s="19">
        <f>A44+1</f>
        <v>2</v>
      </c>
      <c r="B45" s="19" t="s">
        <v>53</v>
      </c>
      <c r="C45" s="19" t="s">
        <v>54</v>
      </c>
      <c r="D45" s="155">
        <v>1</v>
      </c>
      <c r="E45" s="430"/>
      <c r="F45" s="629"/>
      <c r="G45" s="483"/>
      <c r="H45" s="618"/>
      <c r="I45" s="618"/>
      <c r="J45" s="431">
        <v>5</v>
      </c>
      <c r="K45" s="611">
        <f>'Engineering Calcs'!AA17</f>
        <v>137.1951</v>
      </c>
      <c r="L45" s="618"/>
      <c r="M45" s="618"/>
      <c r="N45" s="19" t="s">
        <v>860</v>
      </c>
      <c r="O45" s="19"/>
      <c r="P45" s="19"/>
      <c r="Q45" s="19"/>
      <c r="R45" s="19"/>
    </row>
    <row r="46" spans="1:18" ht="12.75">
      <c r="A46" s="19">
        <f>A45+1</f>
        <v>3</v>
      </c>
      <c r="B46" s="19" t="s">
        <v>55</v>
      </c>
      <c r="C46" s="19" t="s">
        <v>56</v>
      </c>
      <c r="D46" s="19">
        <v>1</v>
      </c>
      <c r="E46" s="430"/>
      <c r="F46" s="629"/>
      <c r="G46" s="483"/>
      <c r="H46" s="618"/>
      <c r="I46" s="618"/>
      <c r="J46" s="431">
        <v>2</v>
      </c>
      <c r="K46" s="611"/>
      <c r="L46" s="618"/>
      <c r="M46" s="618"/>
      <c r="N46" s="19"/>
      <c r="O46" s="19"/>
      <c r="P46" s="19"/>
      <c r="Q46" s="19"/>
      <c r="R46" s="19"/>
    </row>
    <row r="47" spans="1:18" ht="12.75">
      <c r="A47" s="19">
        <f>A46+1</f>
        <v>4</v>
      </c>
      <c r="B47" s="19" t="s">
        <v>57</v>
      </c>
      <c r="C47" s="19" t="s">
        <v>58</v>
      </c>
      <c r="D47" s="19">
        <v>1</v>
      </c>
      <c r="E47" s="430"/>
      <c r="F47" s="629"/>
      <c r="G47" s="483"/>
      <c r="H47" s="618"/>
      <c r="I47" s="618"/>
      <c r="J47" s="431">
        <v>5</v>
      </c>
      <c r="K47" s="611">
        <f>'Engineering Calcs'!B88</f>
        <v>91.4634</v>
      </c>
      <c r="L47" s="618"/>
      <c r="M47" s="618"/>
      <c r="N47" s="19" t="s">
        <v>860</v>
      </c>
      <c r="O47" s="19"/>
      <c r="P47" s="19"/>
      <c r="Q47" s="19"/>
      <c r="R47" s="19"/>
    </row>
    <row r="48" spans="1:18" ht="12.75">
      <c r="A48" s="19">
        <f>A47+1</f>
        <v>5</v>
      </c>
      <c r="B48" s="19" t="s">
        <v>59</v>
      </c>
      <c r="C48" s="19" t="s">
        <v>60</v>
      </c>
      <c r="D48" s="19">
        <v>1</v>
      </c>
      <c r="E48" s="430"/>
      <c r="F48" s="629"/>
      <c r="G48" s="483"/>
      <c r="H48" s="618"/>
      <c r="I48" s="618"/>
      <c r="J48" s="431">
        <v>2</v>
      </c>
      <c r="K48" s="611"/>
      <c r="L48" s="618"/>
      <c r="M48" s="618"/>
      <c r="N48" s="19"/>
      <c r="O48" s="611"/>
      <c r="P48" s="19"/>
      <c r="Q48" s="19"/>
      <c r="R48" s="19"/>
    </row>
    <row r="49" spans="1:18" ht="12.75">
      <c r="A49" s="19">
        <v>6</v>
      </c>
      <c r="B49" s="19" t="s">
        <v>61</v>
      </c>
      <c r="C49" s="19" t="s">
        <v>62</v>
      </c>
      <c r="D49" s="19">
        <v>1</v>
      </c>
      <c r="E49" s="430"/>
      <c r="F49" s="629"/>
      <c r="G49" s="483"/>
      <c r="H49" s="618"/>
      <c r="I49" s="618"/>
      <c r="J49" s="431"/>
      <c r="K49" s="611"/>
      <c r="L49" s="618"/>
      <c r="M49" s="618"/>
      <c r="N49" s="19"/>
      <c r="O49" s="19"/>
      <c r="P49" s="19"/>
      <c r="Q49" s="19"/>
      <c r="R49" s="19"/>
    </row>
    <row r="50" spans="1:18" ht="12.75">
      <c r="A50" s="19">
        <v>7</v>
      </c>
      <c r="B50" s="19" t="s">
        <v>63</v>
      </c>
      <c r="C50" s="19" t="s">
        <v>62</v>
      </c>
      <c r="D50" s="19">
        <v>1</v>
      </c>
      <c r="E50" s="430"/>
      <c r="F50" s="629"/>
      <c r="G50" s="483"/>
      <c r="H50" s="618"/>
      <c r="I50" s="618"/>
      <c r="J50" s="431"/>
      <c r="K50" s="611"/>
      <c r="L50" s="618"/>
      <c r="M50" s="618"/>
      <c r="N50" s="19"/>
      <c r="O50" s="19"/>
      <c r="P50" s="19"/>
      <c r="Q50" s="19"/>
      <c r="R50" s="19"/>
    </row>
    <row r="51" spans="1:18" ht="12.75">
      <c r="A51" s="19">
        <v>8</v>
      </c>
      <c r="B51" s="19"/>
      <c r="C51" s="19" t="s">
        <v>25</v>
      </c>
      <c r="D51" s="19"/>
      <c r="E51" s="430"/>
      <c r="F51" s="483">
        <f>95000*C190</f>
        <v>33250</v>
      </c>
      <c r="G51" s="483"/>
      <c r="H51" s="618"/>
      <c r="I51" s="618"/>
      <c r="J51" s="431"/>
      <c r="K51" s="611"/>
      <c r="L51" s="618"/>
      <c r="M51" s="618"/>
      <c r="N51" s="19"/>
      <c r="O51" s="19"/>
      <c r="P51" s="19"/>
      <c r="Q51" s="19"/>
      <c r="R51" s="19"/>
    </row>
    <row r="52" spans="1:18" ht="12.75">
      <c r="A52" s="19"/>
      <c r="B52" s="19"/>
      <c r="C52" s="19"/>
      <c r="D52" s="19" t="s">
        <v>26</v>
      </c>
      <c r="E52" s="429"/>
      <c r="F52" s="483">
        <f>95000+F51</f>
        <v>128250</v>
      </c>
      <c r="G52" s="483"/>
      <c r="H52" s="618"/>
      <c r="I52" s="618"/>
      <c r="J52" s="431"/>
      <c r="K52" s="611"/>
      <c r="L52" s="618"/>
      <c r="M52" s="618"/>
      <c r="N52" s="19"/>
      <c r="O52" s="19"/>
      <c r="P52" s="19"/>
      <c r="Q52" s="19"/>
      <c r="R52" s="19"/>
    </row>
    <row r="53" spans="1:18" ht="12.75">
      <c r="A53" s="19"/>
      <c r="B53" s="19"/>
      <c r="C53" s="19"/>
      <c r="D53" s="19"/>
      <c r="E53" s="430"/>
      <c r="F53" s="483"/>
      <c r="G53" s="483"/>
      <c r="H53" s="618"/>
      <c r="I53" s="618"/>
      <c r="J53" s="431"/>
      <c r="K53" s="611"/>
      <c r="L53" s="618"/>
      <c r="M53" s="618"/>
      <c r="N53" s="19"/>
      <c r="O53" s="19"/>
      <c r="P53" s="19"/>
      <c r="Q53" s="19"/>
      <c r="R53" s="19"/>
    </row>
    <row r="54" spans="1:18" ht="12.75">
      <c r="A54" s="19"/>
      <c r="B54" s="627" t="s">
        <v>64</v>
      </c>
      <c r="C54" s="19"/>
      <c r="D54" s="67"/>
      <c r="E54" s="430"/>
      <c r="F54" s="483"/>
      <c r="G54" s="483"/>
      <c r="H54" s="618"/>
      <c r="I54" s="618"/>
      <c r="J54" s="431"/>
      <c r="K54" s="611"/>
      <c r="L54" s="618"/>
      <c r="M54" s="618"/>
      <c r="N54" s="19"/>
      <c r="O54" s="19"/>
      <c r="P54" s="19"/>
      <c r="Q54" s="19"/>
      <c r="R54" s="19"/>
    </row>
    <row r="55" spans="1:20" ht="12.75">
      <c r="A55" s="19">
        <v>1</v>
      </c>
      <c r="B55" s="19" t="s">
        <v>65</v>
      </c>
      <c r="C55" s="19"/>
      <c r="D55" s="19">
        <v>1</v>
      </c>
      <c r="E55" s="430">
        <v>39264</v>
      </c>
      <c r="F55" s="483">
        <f aca="true" t="shared" si="3" ref="F55:F74">E55*D55</f>
        <v>39264</v>
      </c>
      <c r="G55" s="483"/>
      <c r="H55" s="618"/>
      <c r="I55" s="618"/>
      <c r="J55" s="431">
        <v>5</v>
      </c>
      <c r="K55" s="611"/>
      <c r="L55" s="618"/>
      <c r="M55" s="618"/>
      <c r="N55" s="19"/>
      <c r="O55" s="619"/>
      <c r="P55" s="19"/>
      <c r="Q55" s="619"/>
      <c r="R55" s="19"/>
      <c r="T55" s="639"/>
    </row>
    <row r="56" spans="1:20" ht="12.75">
      <c r="A56" s="19">
        <f>A55+1</f>
        <v>2</v>
      </c>
      <c r="B56" s="19" t="s">
        <v>66</v>
      </c>
      <c r="C56" s="19" t="s">
        <v>67</v>
      </c>
      <c r="D56" s="155">
        <v>1</v>
      </c>
      <c r="E56" s="430">
        <v>688</v>
      </c>
      <c r="F56" s="483">
        <f t="shared" si="3"/>
        <v>688</v>
      </c>
      <c r="G56" s="483"/>
      <c r="H56" s="618"/>
      <c r="I56" s="618"/>
      <c r="J56" s="431"/>
      <c r="K56" s="611"/>
      <c r="L56" s="618"/>
      <c r="M56" s="618"/>
      <c r="N56" s="19"/>
      <c r="O56" s="619"/>
      <c r="P56" s="19"/>
      <c r="Q56" s="619"/>
      <c r="R56" s="637"/>
      <c r="T56" s="639"/>
    </row>
    <row r="57" spans="1:18" ht="12.75">
      <c r="A57" s="19">
        <f>A56+1</f>
        <v>3</v>
      </c>
      <c r="B57" s="19" t="s">
        <v>68</v>
      </c>
      <c r="C57" s="19" t="s">
        <v>69</v>
      </c>
      <c r="D57" s="19">
        <v>1</v>
      </c>
      <c r="E57" s="430">
        <v>13778</v>
      </c>
      <c r="F57" s="483">
        <f t="shared" si="3"/>
        <v>13778</v>
      </c>
      <c r="G57" s="483"/>
      <c r="H57" s="618"/>
      <c r="I57" s="618"/>
      <c r="J57" s="431"/>
      <c r="K57" s="611">
        <f>'Engineering Calcs'!K23</f>
        <v>1336.8035058455503</v>
      </c>
      <c r="L57" s="618"/>
      <c r="M57" s="618"/>
      <c r="N57" s="19" t="s">
        <v>860</v>
      </c>
      <c r="O57" s="611"/>
      <c r="P57" s="19"/>
      <c r="Q57" s="19"/>
      <c r="R57" s="19"/>
    </row>
    <row r="58" spans="1:18" ht="12.75">
      <c r="A58" s="19">
        <f>A57+1</f>
        <v>4</v>
      </c>
      <c r="B58" s="19" t="s">
        <v>71</v>
      </c>
      <c r="C58" s="19" t="s">
        <v>72</v>
      </c>
      <c r="D58" s="19">
        <v>1</v>
      </c>
      <c r="E58" s="430">
        <f>50*50+5000</f>
        <v>7500</v>
      </c>
      <c r="F58" s="483">
        <f t="shared" si="3"/>
        <v>7500</v>
      </c>
      <c r="G58" s="483"/>
      <c r="H58" s="618"/>
      <c r="I58" s="618"/>
      <c r="J58" s="431"/>
      <c r="K58" s="611"/>
      <c r="L58" s="618"/>
      <c r="M58" s="618"/>
      <c r="N58" s="19"/>
      <c r="O58" s="19"/>
      <c r="P58" s="19"/>
      <c r="Q58" s="19"/>
      <c r="R58" s="19"/>
    </row>
    <row r="59" spans="1:18" ht="12.75">
      <c r="A59" s="19">
        <f>A58+1</f>
        <v>5</v>
      </c>
      <c r="B59" s="19" t="s">
        <v>73</v>
      </c>
      <c r="C59" s="19"/>
      <c r="D59" s="19">
        <v>1</v>
      </c>
      <c r="E59" s="430">
        <v>4231</v>
      </c>
      <c r="F59" s="483">
        <f t="shared" si="3"/>
        <v>4231</v>
      </c>
      <c r="G59" s="483"/>
      <c r="H59" s="618"/>
      <c r="I59" s="618"/>
      <c r="J59" s="431"/>
      <c r="K59" s="611"/>
      <c r="L59" s="618"/>
      <c r="M59" s="618"/>
      <c r="N59" s="19"/>
      <c r="O59" s="19"/>
      <c r="P59" s="19"/>
      <c r="Q59" s="19"/>
      <c r="R59" s="19"/>
    </row>
    <row r="60" spans="1:18" ht="12.75">
      <c r="A60" s="19">
        <v>6</v>
      </c>
      <c r="B60" s="19" t="s">
        <v>733</v>
      </c>
      <c r="C60" s="19" t="s">
        <v>69</v>
      </c>
      <c r="D60" s="19">
        <v>1</v>
      </c>
      <c r="E60" s="430">
        <f>E57/1.75</f>
        <v>7873.142857142857</v>
      </c>
      <c r="F60" s="483">
        <f t="shared" si="3"/>
        <v>7873.142857142857</v>
      </c>
      <c r="G60" s="483"/>
      <c r="H60" s="618"/>
      <c r="I60" s="618"/>
      <c r="J60" s="431">
        <v>3</v>
      </c>
      <c r="K60" s="611">
        <f>'Engineering Calcs'!O23</f>
        <v>427.28888888888895</v>
      </c>
      <c r="L60" s="618"/>
      <c r="M60" s="618"/>
      <c r="N60" s="93"/>
      <c r="O60" s="611"/>
      <c r="P60" s="19"/>
      <c r="Q60" s="19"/>
      <c r="R60" s="19"/>
    </row>
    <row r="61" spans="1:18" ht="12.75">
      <c r="A61" s="19">
        <v>7</v>
      </c>
      <c r="B61" s="19" t="s">
        <v>74</v>
      </c>
      <c r="C61" s="19" t="s">
        <v>75</v>
      </c>
      <c r="D61" s="19">
        <v>1</v>
      </c>
      <c r="E61" s="430">
        <v>41664</v>
      </c>
      <c r="F61" s="483">
        <f t="shared" si="3"/>
        <v>41664</v>
      </c>
      <c r="G61" s="483"/>
      <c r="H61" s="618"/>
      <c r="I61" s="618"/>
      <c r="J61" s="431">
        <v>5</v>
      </c>
      <c r="K61" s="611"/>
      <c r="L61" s="618"/>
      <c r="M61" s="618"/>
      <c r="N61" s="19"/>
      <c r="O61" s="611"/>
      <c r="P61" s="19"/>
      <c r="Q61" s="19"/>
      <c r="R61" s="19"/>
    </row>
    <row r="62" spans="1:18" ht="12.75">
      <c r="A62" s="19">
        <v>8</v>
      </c>
      <c r="B62" s="19" t="s">
        <v>76</v>
      </c>
      <c r="C62" s="19" t="s">
        <v>77</v>
      </c>
      <c r="D62" s="19">
        <v>1</v>
      </c>
      <c r="E62" s="430">
        <f>52715+6500</f>
        <v>59215</v>
      </c>
      <c r="F62" s="483">
        <f t="shared" si="3"/>
        <v>59215</v>
      </c>
      <c r="G62" s="483"/>
      <c r="H62" s="618"/>
      <c r="I62" s="618"/>
      <c r="J62" s="431">
        <v>5</v>
      </c>
      <c r="K62" s="611"/>
      <c r="L62" s="618"/>
      <c r="M62" s="618"/>
      <c r="N62" s="19"/>
      <c r="O62" s="611"/>
      <c r="P62" s="19"/>
      <c r="Q62" s="19"/>
      <c r="R62" s="19"/>
    </row>
    <row r="63" spans="1:18" ht="12.75">
      <c r="A63" s="19">
        <v>9</v>
      </c>
      <c r="B63" s="19" t="s">
        <v>78</v>
      </c>
      <c r="C63" s="19" t="s">
        <v>77</v>
      </c>
      <c r="D63" s="19">
        <v>1</v>
      </c>
      <c r="E63" s="430">
        <f>E62</f>
        <v>59215</v>
      </c>
      <c r="F63" s="483">
        <f t="shared" si="3"/>
        <v>59215</v>
      </c>
      <c r="G63" s="483"/>
      <c r="H63" s="618"/>
      <c r="I63" s="618"/>
      <c r="J63" s="431">
        <v>5</v>
      </c>
      <c r="K63" s="611"/>
      <c r="L63" s="618"/>
      <c r="M63" s="618"/>
      <c r="N63" s="19"/>
      <c r="O63" s="611"/>
      <c r="P63" s="19"/>
      <c r="Q63" s="19"/>
      <c r="R63" s="19"/>
    </row>
    <row r="64" spans="1:18" ht="12.75">
      <c r="A64" s="19">
        <v>10</v>
      </c>
      <c r="B64" s="19" t="s">
        <v>79</v>
      </c>
      <c r="C64" s="19" t="s">
        <v>80</v>
      </c>
      <c r="D64" s="19">
        <v>1</v>
      </c>
      <c r="E64" s="430">
        <v>3068</v>
      </c>
      <c r="F64" s="483">
        <f t="shared" si="3"/>
        <v>3068</v>
      </c>
      <c r="G64" s="483"/>
      <c r="H64" s="618"/>
      <c r="I64" s="618"/>
      <c r="J64" s="431"/>
      <c r="K64" s="611"/>
      <c r="L64" s="618"/>
      <c r="M64" s="618"/>
      <c r="N64" s="19"/>
      <c r="O64" s="619"/>
      <c r="P64" s="19"/>
      <c r="Q64" s="619"/>
      <c r="R64" s="19"/>
    </row>
    <row r="65" spans="1:18" ht="12.75">
      <c r="A65" s="19">
        <v>11</v>
      </c>
      <c r="B65" s="19" t="s">
        <v>81</v>
      </c>
      <c r="C65" s="19" t="s">
        <v>82</v>
      </c>
      <c r="D65" s="19">
        <v>1</v>
      </c>
      <c r="E65" s="430">
        <v>18815</v>
      </c>
      <c r="F65" s="483">
        <f t="shared" si="3"/>
        <v>18815</v>
      </c>
      <c r="G65" s="483"/>
      <c r="H65" s="618"/>
      <c r="I65" s="618"/>
      <c r="J65" s="431">
        <v>25</v>
      </c>
      <c r="K65" s="611"/>
      <c r="L65" s="618"/>
      <c r="M65" s="618"/>
      <c r="N65" s="19"/>
      <c r="O65" s="19"/>
      <c r="P65" s="19"/>
      <c r="Q65" s="19"/>
      <c r="R65" s="19"/>
    </row>
    <row r="66" spans="1:18" ht="12.75">
      <c r="A66" s="19">
        <v>12</v>
      </c>
      <c r="B66" s="19" t="s">
        <v>83</v>
      </c>
      <c r="C66" s="19" t="s">
        <v>84</v>
      </c>
      <c r="D66" s="19">
        <v>1</v>
      </c>
      <c r="E66" s="430">
        <v>15638</v>
      </c>
      <c r="F66" s="483">
        <f t="shared" si="3"/>
        <v>15638</v>
      </c>
      <c r="G66" s="483"/>
      <c r="H66" s="618"/>
      <c r="I66" s="618"/>
      <c r="J66" s="431"/>
      <c r="K66" s="611"/>
      <c r="L66" s="618"/>
      <c r="M66" s="618"/>
      <c r="N66" s="19"/>
      <c r="O66" s="611"/>
      <c r="P66" s="19"/>
      <c r="Q66" s="19"/>
      <c r="R66" s="19"/>
    </row>
    <row r="67" spans="1:18" ht="12.75">
      <c r="A67" s="19">
        <v>13</v>
      </c>
      <c r="B67" s="19" t="s">
        <v>66</v>
      </c>
      <c r="C67" s="19" t="s">
        <v>85</v>
      </c>
      <c r="D67" s="19">
        <v>1</v>
      </c>
      <c r="E67" s="430">
        <v>535</v>
      </c>
      <c r="F67" s="483">
        <f t="shared" si="3"/>
        <v>535</v>
      </c>
      <c r="G67" s="483"/>
      <c r="H67" s="618"/>
      <c r="I67" s="618"/>
      <c r="J67" s="431"/>
      <c r="K67" s="611"/>
      <c r="L67" s="618"/>
      <c r="M67" s="618"/>
      <c r="N67" s="19"/>
      <c r="O67" s="619"/>
      <c r="P67" s="19"/>
      <c r="Q67" s="19"/>
      <c r="R67" s="19"/>
    </row>
    <row r="68" spans="1:18" ht="12.75">
      <c r="A68" s="19">
        <v>14</v>
      </c>
      <c r="B68" s="19" t="s">
        <v>86</v>
      </c>
      <c r="C68" s="19" t="s">
        <v>87</v>
      </c>
      <c r="D68" s="19">
        <v>1</v>
      </c>
      <c r="E68" s="430">
        <v>51174</v>
      </c>
      <c r="F68" s="483">
        <f t="shared" si="3"/>
        <v>51174</v>
      </c>
      <c r="G68" s="483"/>
      <c r="H68" s="618"/>
      <c r="I68" s="618"/>
      <c r="J68" s="431">
        <v>3</v>
      </c>
      <c r="K68" s="611">
        <v>35</v>
      </c>
      <c r="L68" s="618"/>
      <c r="M68" s="618"/>
      <c r="N68" s="19"/>
      <c r="O68" s="619"/>
      <c r="P68" s="19"/>
      <c r="Q68" s="19"/>
      <c r="R68" s="19"/>
    </row>
    <row r="69" spans="1:18" ht="12.75">
      <c r="A69" s="19">
        <v>15</v>
      </c>
      <c r="B69" s="19" t="s">
        <v>88</v>
      </c>
      <c r="C69" s="19" t="s">
        <v>89</v>
      </c>
      <c r="D69" s="19">
        <v>1</v>
      </c>
      <c r="E69" s="430">
        <v>6000</v>
      </c>
      <c r="F69" s="483">
        <f t="shared" si="3"/>
        <v>6000</v>
      </c>
      <c r="G69" s="483"/>
      <c r="H69" s="618"/>
      <c r="I69" s="618"/>
      <c r="J69" s="431"/>
      <c r="K69" s="611"/>
      <c r="L69" s="618"/>
      <c r="M69" s="618"/>
      <c r="N69" s="19"/>
      <c r="O69" s="619"/>
      <c r="P69" s="19"/>
      <c r="Q69" s="19"/>
      <c r="R69" s="19"/>
    </row>
    <row r="70" spans="1:18" ht="12.75">
      <c r="A70" s="19">
        <v>16</v>
      </c>
      <c r="B70" s="19" t="s">
        <v>90</v>
      </c>
      <c r="C70" s="19" t="s">
        <v>62</v>
      </c>
      <c r="D70" s="19">
        <v>1</v>
      </c>
      <c r="E70" s="430">
        <v>1850</v>
      </c>
      <c r="F70" s="483">
        <f t="shared" si="3"/>
        <v>1850</v>
      </c>
      <c r="G70" s="483"/>
      <c r="H70" s="618"/>
      <c r="I70" s="618"/>
      <c r="J70" s="431">
        <v>1</v>
      </c>
      <c r="K70" s="611"/>
      <c r="L70" s="618"/>
      <c r="M70" s="618"/>
      <c r="N70" s="19"/>
      <c r="O70" s="619"/>
      <c r="P70" s="19"/>
      <c r="Q70" s="19"/>
      <c r="R70" s="19"/>
    </row>
    <row r="71" spans="1:18" ht="12.75">
      <c r="A71" s="19">
        <v>17</v>
      </c>
      <c r="B71" s="19" t="s">
        <v>91</v>
      </c>
      <c r="C71" s="19" t="s">
        <v>62</v>
      </c>
      <c r="D71" s="19">
        <v>2</v>
      </c>
      <c r="E71" s="430">
        <v>5780</v>
      </c>
      <c r="F71" s="483">
        <f t="shared" si="3"/>
        <v>11560</v>
      </c>
      <c r="G71" s="483"/>
      <c r="H71" s="618"/>
      <c r="I71" s="618"/>
      <c r="J71" s="431">
        <v>20</v>
      </c>
      <c r="K71" s="611"/>
      <c r="L71" s="618"/>
      <c r="M71" s="618"/>
      <c r="N71" s="19"/>
      <c r="O71" s="611"/>
      <c r="P71" s="19"/>
      <c r="Q71" s="19"/>
      <c r="R71" s="19"/>
    </row>
    <row r="72" spans="1:18" ht="12.75">
      <c r="A72" s="19">
        <v>18</v>
      </c>
      <c r="B72" s="19" t="s">
        <v>92</v>
      </c>
      <c r="C72" s="19" t="s">
        <v>62</v>
      </c>
      <c r="D72" s="19">
        <v>2</v>
      </c>
      <c r="E72" s="430">
        <v>2985</v>
      </c>
      <c r="F72" s="483">
        <f t="shared" si="3"/>
        <v>5970</v>
      </c>
      <c r="G72" s="483"/>
      <c r="H72" s="618"/>
      <c r="I72" s="618"/>
      <c r="J72" s="431">
        <v>2</v>
      </c>
      <c r="K72" s="611"/>
      <c r="L72" s="618"/>
      <c r="M72" s="618"/>
      <c r="N72" s="19"/>
      <c r="O72" s="611"/>
      <c r="P72" s="19"/>
      <c r="Q72" s="19"/>
      <c r="R72" s="19"/>
    </row>
    <row r="73" spans="1:18" ht="12.75">
      <c r="A73" s="19">
        <v>19</v>
      </c>
      <c r="B73" s="19" t="s">
        <v>93</v>
      </c>
      <c r="C73" s="19" t="s">
        <v>62</v>
      </c>
      <c r="D73" s="19">
        <v>2</v>
      </c>
      <c r="E73" s="430">
        <v>4365</v>
      </c>
      <c r="F73" s="483">
        <f t="shared" si="3"/>
        <v>8730</v>
      </c>
      <c r="G73" s="483"/>
      <c r="H73" s="618"/>
      <c r="I73" s="618"/>
      <c r="J73" s="431">
        <v>1.5</v>
      </c>
      <c r="K73" s="611"/>
      <c r="L73" s="618"/>
      <c r="M73" s="618"/>
      <c r="N73" s="19"/>
      <c r="O73" s="19"/>
      <c r="P73" s="19"/>
      <c r="Q73" s="19"/>
      <c r="R73" s="19"/>
    </row>
    <row r="74" spans="1:18" ht="12.75">
      <c r="A74" s="19">
        <v>20</v>
      </c>
      <c r="B74" s="19" t="s">
        <v>94</v>
      </c>
      <c r="C74" s="19" t="s">
        <v>62</v>
      </c>
      <c r="D74" s="19">
        <v>2</v>
      </c>
      <c r="E74" s="430">
        <v>2280</v>
      </c>
      <c r="F74" s="483">
        <f t="shared" si="3"/>
        <v>4560</v>
      </c>
      <c r="G74" s="483"/>
      <c r="H74" s="618"/>
      <c r="I74" s="618"/>
      <c r="J74" s="431">
        <v>1.5</v>
      </c>
      <c r="K74" s="611"/>
      <c r="L74" s="618"/>
      <c r="M74" s="618"/>
      <c r="N74" s="19"/>
      <c r="O74" s="619"/>
      <c r="P74" s="19"/>
      <c r="Q74" s="19"/>
      <c r="R74" s="19"/>
    </row>
    <row r="75" spans="1:18" ht="12.75">
      <c r="A75" s="19">
        <v>21</v>
      </c>
      <c r="B75" s="19"/>
      <c r="C75" s="19" t="s">
        <v>25</v>
      </c>
      <c r="D75" s="19"/>
      <c r="E75" s="430"/>
      <c r="F75" s="483">
        <f>SUM(F55:F74)*$C$190</f>
        <v>126464.84999999999</v>
      </c>
      <c r="G75" s="483"/>
      <c r="H75" s="618"/>
      <c r="I75" s="618"/>
      <c r="J75" s="431"/>
      <c r="K75" s="611"/>
      <c r="L75" s="618"/>
      <c r="M75" s="618"/>
      <c r="N75" s="19"/>
      <c r="O75" s="619"/>
      <c r="P75" s="19"/>
      <c r="Q75" s="19"/>
      <c r="R75" s="19"/>
    </row>
    <row r="76" spans="1:18" ht="12.75">
      <c r="A76" s="19"/>
      <c r="B76" s="19"/>
      <c r="C76" s="19"/>
      <c r="D76" s="19" t="s">
        <v>26</v>
      </c>
      <c r="E76" s="429"/>
      <c r="F76" s="483">
        <f>SUM(F55:F75)</f>
        <v>487792.9928571428</v>
      </c>
      <c r="G76" s="483"/>
      <c r="H76" s="618"/>
      <c r="I76" s="618"/>
      <c r="J76" s="431"/>
      <c r="K76" s="611"/>
      <c r="L76" s="618"/>
      <c r="M76" s="618"/>
      <c r="N76" s="19"/>
      <c r="O76" s="19"/>
      <c r="P76" s="19"/>
      <c r="Q76" s="19"/>
      <c r="R76" s="19"/>
    </row>
    <row r="77" spans="1:18" ht="12.75">
      <c r="A77" s="19"/>
      <c r="B77" s="19"/>
      <c r="C77" s="19"/>
      <c r="D77" s="19"/>
      <c r="E77" s="430"/>
      <c r="F77" s="483"/>
      <c r="G77" s="483"/>
      <c r="H77" s="618"/>
      <c r="I77" s="618"/>
      <c r="J77" s="431"/>
      <c r="K77" s="611"/>
      <c r="L77" s="618"/>
      <c r="M77" s="618"/>
      <c r="N77" s="19"/>
      <c r="O77" s="19"/>
      <c r="P77" s="19"/>
      <c r="Q77" s="19"/>
      <c r="R77" s="19"/>
    </row>
    <row r="78" spans="1:18" ht="12.75">
      <c r="A78" s="19"/>
      <c r="B78" s="627" t="s">
        <v>95</v>
      </c>
      <c r="C78" s="19"/>
      <c r="D78" s="67"/>
      <c r="E78" s="430"/>
      <c r="F78" s="483"/>
      <c r="G78" s="483"/>
      <c r="H78" s="618"/>
      <c r="I78" s="618"/>
      <c r="J78" s="431"/>
      <c r="K78" s="611"/>
      <c r="L78" s="618"/>
      <c r="M78" s="618"/>
      <c r="N78" s="19"/>
      <c r="O78" s="19"/>
      <c r="P78" s="19"/>
      <c r="Q78" s="19"/>
      <c r="R78" s="19"/>
    </row>
    <row r="79" spans="1:18" ht="12.75">
      <c r="A79" s="19">
        <v>1</v>
      </c>
      <c r="B79" s="19" t="s">
        <v>96</v>
      </c>
      <c r="C79" s="19"/>
      <c r="D79" s="19">
        <v>1</v>
      </c>
      <c r="E79" s="430">
        <v>6799</v>
      </c>
      <c r="F79" s="483">
        <f>E79*D79</f>
        <v>6799</v>
      </c>
      <c r="G79" s="483"/>
      <c r="H79" s="618"/>
      <c r="I79" s="618"/>
      <c r="J79" s="431">
        <v>2</v>
      </c>
      <c r="K79" s="611"/>
      <c r="L79" s="618"/>
      <c r="M79" s="618"/>
      <c r="N79" s="19"/>
      <c r="O79" s="19"/>
      <c r="P79" s="19"/>
      <c r="Q79" s="19"/>
      <c r="R79" s="19"/>
    </row>
    <row r="80" spans="1:18" ht="12.75">
      <c r="A80" s="19">
        <f>A79+1</f>
        <v>2</v>
      </c>
      <c r="B80" s="19" t="s">
        <v>35</v>
      </c>
      <c r="C80" s="19"/>
      <c r="D80" s="155">
        <v>1</v>
      </c>
      <c r="E80" s="430">
        <v>24002</v>
      </c>
      <c r="F80" s="483">
        <f>E80*D80</f>
        <v>24002</v>
      </c>
      <c r="G80" s="483"/>
      <c r="H80" s="618"/>
      <c r="I80" s="618"/>
      <c r="J80" s="431">
        <v>10</v>
      </c>
      <c r="K80" s="611"/>
      <c r="L80" s="618"/>
      <c r="M80" s="618"/>
      <c r="N80" s="19"/>
      <c r="O80" s="19"/>
      <c r="P80" s="19"/>
      <c r="Q80" s="19"/>
      <c r="R80" s="19"/>
    </row>
    <row r="81" spans="1:18" ht="12.75">
      <c r="A81" s="19">
        <f>A80+1</f>
        <v>3</v>
      </c>
      <c r="B81" s="19" t="s">
        <v>97</v>
      </c>
      <c r="C81" s="19"/>
      <c r="D81" s="19">
        <v>1</v>
      </c>
      <c r="E81" s="430">
        <v>24255</v>
      </c>
      <c r="F81" s="483">
        <f>E81*D81</f>
        <v>24255</v>
      </c>
      <c r="G81" s="483"/>
      <c r="H81" s="618"/>
      <c r="I81" s="618"/>
      <c r="J81" s="431">
        <v>9</v>
      </c>
      <c r="K81" s="611"/>
      <c r="L81" s="618"/>
      <c r="M81" s="618"/>
      <c r="N81" s="19"/>
      <c r="O81" s="19"/>
      <c r="P81" s="19"/>
      <c r="Q81" s="19"/>
      <c r="R81" s="19"/>
    </row>
    <row r="82" spans="1:18" ht="12.75">
      <c r="A82" s="19">
        <f>A81+1</f>
        <v>4</v>
      </c>
      <c r="B82" s="19" t="s">
        <v>98</v>
      </c>
      <c r="C82" s="19"/>
      <c r="D82" s="19">
        <v>1</v>
      </c>
      <c r="E82" s="430">
        <v>4659</v>
      </c>
      <c r="F82" s="483">
        <f>E82*D82</f>
        <v>4659</v>
      </c>
      <c r="G82" s="483"/>
      <c r="H82" s="618"/>
      <c r="I82" s="618"/>
      <c r="J82" s="431">
        <v>1</v>
      </c>
      <c r="K82" s="611"/>
      <c r="L82" s="618"/>
      <c r="M82" s="618"/>
      <c r="N82" s="19"/>
      <c r="O82" s="19"/>
      <c r="P82" s="19"/>
      <c r="Q82" s="19"/>
      <c r="R82" s="19"/>
    </row>
    <row r="83" spans="1:18" ht="12.75">
      <c r="A83" s="19">
        <f>A82+1</f>
        <v>5</v>
      </c>
      <c r="B83" s="19"/>
      <c r="C83" s="19"/>
      <c r="D83" s="19"/>
      <c r="E83" s="430"/>
      <c r="F83" s="483"/>
      <c r="G83" s="483"/>
      <c r="H83" s="618"/>
      <c r="I83" s="618"/>
      <c r="J83" s="431"/>
      <c r="K83" s="611"/>
      <c r="L83" s="618"/>
      <c r="M83" s="618"/>
      <c r="N83" s="19"/>
      <c r="O83" s="19"/>
      <c r="P83" s="19"/>
      <c r="Q83" s="19"/>
      <c r="R83" s="19"/>
    </row>
    <row r="84" spans="1:18" ht="12.75">
      <c r="A84" s="19">
        <v>6</v>
      </c>
      <c r="B84" s="19"/>
      <c r="C84" s="19" t="s">
        <v>25</v>
      </c>
      <c r="D84" s="19"/>
      <c r="E84" s="430"/>
      <c r="F84" s="483">
        <f>SUM(F79:F83)*C190</f>
        <v>20900.25</v>
      </c>
      <c r="G84" s="483"/>
      <c r="H84" s="618"/>
      <c r="I84" s="618"/>
      <c r="J84" s="431"/>
      <c r="K84" s="611"/>
      <c r="L84" s="618"/>
      <c r="M84" s="618"/>
      <c r="N84" s="19"/>
      <c r="O84" s="19"/>
      <c r="P84" s="19"/>
      <c r="Q84" s="19"/>
      <c r="R84" s="19"/>
    </row>
    <row r="85" spans="1:18" ht="12.75">
      <c r="A85" s="19"/>
      <c r="B85" s="19"/>
      <c r="C85" s="19"/>
      <c r="D85" s="19" t="s">
        <v>26</v>
      </c>
      <c r="E85" s="429"/>
      <c r="F85" s="483">
        <f>SUM(F79:F84)</f>
        <v>80615.25</v>
      </c>
      <c r="G85" s="483"/>
      <c r="H85" s="618"/>
      <c r="I85" s="618"/>
      <c r="J85" s="431"/>
      <c r="K85" s="611"/>
      <c r="L85" s="618"/>
      <c r="M85" s="618"/>
      <c r="N85" s="19"/>
      <c r="O85" s="19"/>
      <c r="P85" s="19"/>
      <c r="Q85" s="19"/>
      <c r="R85" s="19"/>
    </row>
    <row r="86" spans="1:18" ht="12.75">
      <c r="A86" s="19"/>
      <c r="B86" s="19"/>
      <c r="C86" s="19"/>
      <c r="D86" s="19"/>
      <c r="E86" s="430"/>
      <c r="F86" s="483"/>
      <c r="G86" s="483"/>
      <c r="H86" s="618"/>
      <c r="I86" s="618"/>
      <c r="J86" s="431"/>
      <c r="K86" s="611"/>
      <c r="L86" s="618"/>
      <c r="M86" s="618"/>
      <c r="N86" s="19"/>
      <c r="O86" s="19"/>
      <c r="P86" s="19"/>
      <c r="Q86" s="19"/>
      <c r="R86" s="19"/>
    </row>
    <row r="87" spans="1:18" ht="12.75">
      <c r="A87" s="19"/>
      <c r="B87" s="627" t="s">
        <v>99</v>
      </c>
      <c r="C87" s="19"/>
      <c r="D87" s="67"/>
      <c r="E87" s="430"/>
      <c r="F87" s="483"/>
      <c r="G87" s="483"/>
      <c r="H87" s="618"/>
      <c r="I87" s="618"/>
      <c r="J87" s="431"/>
      <c r="K87" s="611"/>
      <c r="L87" s="618"/>
      <c r="M87" s="618"/>
      <c r="N87" s="19"/>
      <c r="O87" s="19"/>
      <c r="P87" s="19"/>
      <c r="Q87" s="19"/>
      <c r="R87" s="19"/>
    </row>
    <row r="88" spans="1:18" ht="12.75">
      <c r="A88" s="19">
        <v>1</v>
      </c>
      <c r="B88" s="19" t="s">
        <v>100</v>
      </c>
      <c r="C88" s="19" t="s">
        <v>101</v>
      </c>
      <c r="D88" s="19">
        <v>3</v>
      </c>
      <c r="E88" s="430">
        <f>3723.2+898+500</f>
        <v>5121.2</v>
      </c>
      <c r="F88" s="483">
        <f>E88*D88</f>
        <v>15363.599999999999</v>
      </c>
      <c r="G88" s="483"/>
      <c r="H88" s="618"/>
      <c r="I88" s="618"/>
      <c r="J88" s="431">
        <v>3</v>
      </c>
      <c r="K88" s="611"/>
      <c r="L88" s="618"/>
      <c r="M88" s="618"/>
      <c r="N88" s="19"/>
      <c r="O88" s="618"/>
      <c r="P88" s="19"/>
      <c r="Q88" s="19"/>
      <c r="R88" s="19"/>
    </row>
    <row r="89" spans="1:18" ht="12.75">
      <c r="A89" s="19">
        <f>A88+1</f>
        <v>2</v>
      </c>
      <c r="B89" s="19" t="s">
        <v>146</v>
      </c>
      <c r="C89" s="19" t="s">
        <v>147</v>
      </c>
      <c r="D89" s="155">
        <v>1</v>
      </c>
      <c r="E89" s="430">
        <v>15609</v>
      </c>
      <c r="F89" s="483">
        <f>E89*D89</f>
        <v>15609</v>
      </c>
      <c r="G89" s="483"/>
      <c r="H89" s="618"/>
      <c r="I89" s="618"/>
      <c r="J89" s="431">
        <v>0.5</v>
      </c>
      <c r="K89" s="611"/>
      <c r="L89" s="618"/>
      <c r="M89" s="618"/>
      <c r="N89" s="19"/>
      <c r="O89" s="19"/>
      <c r="P89" s="19"/>
      <c r="Q89" s="19"/>
      <c r="R89" s="19"/>
    </row>
    <row r="90" spans="1:18" ht="12.75">
      <c r="A90" s="19">
        <f>A89+1</f>
        <v>3</v>
      </c>
      <c r="B90" s="19" t="s">
        <v>148</v>
      </c>
      <c r="C90" s="19" t="s">
        <v>149</v>
      </c>
      <c r="D90" s="19">
        <v>1</v>
      </c>
      <c r="E90" s="430">
        <v>8500</v>
      </c>
      <c r="F90" s="483">
        <f>E90*D90</f>
        <v>8500</v>
      </c>
      <c r="G90" s="483"/>
      <c r="H90" s="618"/>
      <c r="I90" s="618"/>
      <c r="J90" s="431"/>
      <c r="K90" s="611"/>
      <c r="L90" s="618"/>
      <c r="M90" s="618"/>
      <c r="N90" s="19"/>
      <c r="O90" s="19"/>
      <c r="P90" s="19"/>
      <c r="Q90" s="19"/>
      <c r="R90" s="19"/>
    </row>
    <row r="91" spans="1:18" ht="12.75">
      <c r="A91" s="19">
        <f>A90+1</f>
        <v>4</v>
      </c>
      <c r="B91" s="19" t="s">
        <v>150</v>
      </c>
      <c r="C91" s="19" t="s">
        <v>151</v>
      </c>
      <c r="D91" s="19">
        <v>1</v>
      </c>
      <c r="E91" s="430">
        <v>4659</v>
      </c>
      <c r="F91" s="483">
        <f>E91*D91</f>
        <v>4659</v>
      </c>
      <c r="G91" s="483"/>
      <c r="H91" s="618"/>
      <c r="I91" s="618"/>
      <c r="J91" s="431">
        <v>1</v>
      </c>
      <c r="K91" s="611"/>
      <c r="L91" s="618"/>
      <c r="M91" s="618"/>
      <c r="N91" s="19"/>
      <c r="O91" s="19"/>
      <c r="P91" s="19"/>
      <c r="Q91" s="19"/>
      <c r="R91" s="19"/>
    </row>
    <row r="92" spans="1:18" ht="12.75">
      <c r="A92" s="19">
        <f>A91+1</f>
        <v>5</v>
      </c>
      <c r="B92" s="19"/>
      <c r="C92" s="19"/>
      <c r="D92" s="19"/>
      <c r="E92" s="430"/>
      <c r="F92" s="483"/>
      <c r="G92" s="483"/>
      <c r="H92" s="618"/>
      <c r="I92" s="618"/>
      <c r="J92" s="431"/>
      <c r="K92" s="611"/>
      <c r="L92" s="618"/>
      <c r="M92" s="618"/>
      <c r="N92" s="19"/>
      <c r="O92" s="19"/>
      <c r="P92" s="19"/>
      <c r="Q92" s="19"/>
      <c r="R92" s="19"/>
    </row>
    <row r="93" spans="1:18" ht="12.75">
      <c r="A93" s="19">
        <v>6</v>
      </c>
      <c r="B93" s="19"/>
      <c r="C93" s="19" t="s">
        <v>25</v>
      </c>
      <c r="D93" s="19"/>
      <c r="E93" s="430"/>
      <c r="F93" s="483">
        <f>SUM(F88:F92)*C190</f>
        <v>15446.059999999998</v>
      </c>
      <c r="G93" s="483"/>
      <c r="H93" s="618"/>
      <c r="I93" s="618"/>
      <c r="J93" s="431"/>
      <c r="K93" s="611"/>
      <c r="L93" s="618"/>
      <c r="M93" s="618"/>
      <c r="N93" s="19"/>
      <c r="O93" s="19"/>
      <c r="P93" s="19"/>
      <c r="Q93" s="19"/>
      <c r="R93" s="19"/>
    </row>
    <row r="94" spans="1:18" ht="12.75">
      <c r="A94" s="19"/>
      <c r="B94" s="19"/>
      <c r="C94" s="19"/>
      <c r="D94" s="19" t="s">
        <v>26</v>
      </c>
      <c r="E94" s="429"/>
      <c r="F94" s="483">
        <f>SUM(F88:F93)</f>
        <v>59577.659999999996</v>
      </c>
      <c r="G94" s="483"/>
      <c r="H94" s="618"/>
      <c r="I94" s="618"/>
      <c r="J94" s="431"/>
      <c r="K94" s="611"/>
      <c r="L94" s="618"/>
      <c r="M94" s="618"/>
      <c r="N94" s="19"/>
      <c r="O94" s="19"/>
      <c r="P94" s="19"/>
      <c r="Q94" s="19"/>
      <c r="R94" s="19"/>
    </row>
    <row r="95" spans="1:18" ht="12.75">
      <c r="A95" s="19"/>
      <c r="B95" s="19"/>
      <c r="C95" s="19"/>
      <c r="D95" s="19"/>
      <c r="E95" s="430"/>
      <c r="F95" s="483"/>
      <c r="G95" s="483"/>
      <c r="H95" s="618"/>
      <c r="I95" s="618"/>
      <c r="J95" s="431"/>
      <c r="K95" s="611"/>
      <c r="L95" s="618"/>
      <c r="M95" s="618"/>
      <c r="N95" s="19"/>
      <c r="O95" s="19"/>
      <c r="P95" s="19"/>
      <c r="Q95" s="19"/>
      <c r="R95" s="19"/>
    </row>
    <row r="96" spans="1:18" ht="12.75">
      <c r="A96" s="19"/>
      <c r="B96" s="627" t="s">
        <v>152</v>
      </c>
      <c r="C96" s="19"/>
      <c r="D96" s="19"/>
      <c r="E96" s="430"/>
      <c r="F96" s="483"/>
      <c r="G96" s="483"/>
      <c r="H96" s="618"/>
      <c r="I96" s="618"/>
      <c r="J96" s="431"/>
      <c r="K96" s="611"/>
      <c r="L96" s="618"/>
      <c r="M96" s="618"/>
      <c r="N96" s="19"/>
      <c r="O96" s="19"/>
      <c r="P96" s="19"/>
      <c r="Q96" s="19"/>
      <c r="R96" s="19"/>
    </row>
    <row r="97" spans="1:18" ht="12.75">
      <c r="A97" s="19">
        <v>1</v>
      </c>
      <c r="B97" s="19" t="s">
        <v>153</v>
      </c>
      <c r="C97" s="19" t="s">
        <v>154</v>
      </c>
      <c r="D97" s="19">
        <v>1</v>
      </c>
      <c r="E97" s="430">
        <f>44885+3250+9000</f>
        <v>57135</v>
      </c>
      <c r="F97" s="483">
        <f aca="true" t="shared" si="4" ref="F97:F106">E97*D97</f>
        <v>57135</v>
      </c>
      <c r="G97" s="483"/>
      <c r="H97" s="618"/>
      <c r="I97" s="618"/>
      <c r="J97" s="431"/>
      <c r="K97" s="611">
        <v>5</v>
      </c>
      <c r="L97" s="618"/>
      <c r="M97" s="618"/>
      <c r="N97" s="19"/>
      <c r="O97" s="611"/>
      <c r="P97" s="19"/>
      <c r="Q97" s="19"/>
      <c r="R97" s="19"/>
    </row>
    <row r="98" spans="1:18" ht="12.75">
      <c r="A98" s="19">
        <f>A97+1</f>
        <v>2</v>
      </c>
      <c r="B98" s="19" t="s">
        <v>155</v>
      </c>
      <c r="C98" s="19" t="s">
        <v>154</v>
      </c>
      <c r="D98" s="19">
        <v>1</v>
      </c>
      <c r="E98" s="430">
        <f>44885+3250+9000</f>
        <v>57135</v>
      </c>
      <c r="F98" s="483">
        <f t="shared" si="4"/>
        <v>57135</v>
      </c>
      <c r="G98" s="483"/>
      <c r="H98" s="618"/>
      <c r="I98" s="618"/>
      <c r="J98" s="431"/>
      <c r="K98" s="611">
        <v>5</v>
      </c>
      <c r="L98" s="618"/>
      <c r="M98" s="618"/>
      <c r="N98" s="19"/>
      <c r="O98" s="611"/>
      <c r="P98" s="19"/>
      <c r="Q98" s="19"/>
      <c r="R98" s="19"/>
    </row>
    <row r="99" spans="1:18" ht="12.75">
      <c r="A99" s="19">
        <f>A98+1</f>
        <v>3</v>
      </c>
      <c r="B99" s="19" t="s">
        <v>156</v>
      </c>
      <c r="C99" s="19" t="s">
        <v>154</v>
      </c>
      <c r="D99" s="19">
        <v>1</v>
      </c>
      <c r="E99" s="430">
        <f>23125+1485+5000</f>
        <v>29610</v>
      </c>
      <c r="F99" s="483">
        <f t="shared" si="4"/>
        <v>29610</v>
      </c>
      <c r="G99" s="483"/>
      <c r="H99" s="618"/>
      <c r="I99" s="618"/>
      <c r="J99" s="431"/>
      <c r="K99" s="611">
        <v>4</v>
      </c>
      <c r="L99" s="618"/>
      <c r="M99" s="618"/>
      <c r="N99" s="19"/>
      <c r="O99" s="611"/>
      <c r="P99" s="19"/>
      <c r="Q99" s="19"/>
      <c r="R99" s="19"/>
    </row>
    <row r="100" spans="1:18" ht="12.75">
      <c r="A100" s="19">
        <f>A99+1</f>
        <v>4</v>
      </c>
      <c r="B100" s="19" t="s">
        <v>158</v>
      </c>
      <c r="C100" s="19" t="s">
        <v>62</v>
      </c>
      <c r="D100" s="19">
        <v>1</v>
      </c>
      <c r="E100" s="430">
        <v>4650</v>
      </c>
      <c r="F100" s="483">
        <f t="shared" si="4"/>
        <v>4650</v>
      </c>
      <c r="G100" s="483"/>
      <c r="H100" s="618"/>
      <c r="I100" s="618"/>
      <c r="J100" s="431">
        <v>7.5</v>
      </c>
      <c r="K100" s="611"/>
      <c r="L100" s="618"/>
      <c r="M100" s="618"/>
      <c r="N100" s="19"/>
      <c r="O100" s="636"/>
      <c r="P100" s="19"/>
      <c r="Q100" s="19"/>
      <c r="R100" s="19"/>
    </row>
    <row r="101" spans="1:18" ht="12.75">
      <c r="A101" s="19">
        <f>A100+1</f>
        <v>5</v>
      </c>
      <c r="B101" s="19" t="s">
        <v>159</v>
      </c>
      <c r="C101" s="19" t="s">
        <v>62</v>
      </c>
      <c r="D101" s="19">
        <v>1</v>
      </c>
      <c r="E101" s="430">
        <v>2985</v>
      </c>
      <c r="F101" s="483">
        <f t="shared" si="4"/>
        <v>2985</v>
      </c>
      <c r="G101" s="483"/>
      <c r="H101" s="618"/>
      <c r="I101" s="618"/>
      <c r="J101" s="431">
        <v>3</v>
      </c>
      <c r="K101" s="611"/>
      <c r="L101" s="618"/>
      <c r="M101" s="618"/>
      <c r="N101" s="19"/>
      <c r="O101" s="636"/>
      <c r="P101" s="19"/>
      <c r="Q101" s="19"/>
      <c r="R101" s="19"/>
    </row>
    <row r="102" spans="1:18" ht="12.75">
      <c r="A102" s="19">
        <v>6</v>
      </c>
      <c r="B102" s="19" t="s">
        <v>160</v>
      </c>
      <c r="C102" s="19"/>
      <c r="D102" s="19">
        <v>1</v>
      </c>
      <c r="E102" s="430">
        <v>9469</v>
      </c>
      <c r="F102" s="483">
        <f t="shared" si="4"/>
        <v>9469</v>
      </c>
      <c r="G102" s="483"/>
      <c r="H102" s="618"/>
      <c r="I102" s="618"/>
      <c r="J102" s="431"/>
      <c r="K102" s="611"/>
      <c r="L102" s="618"/>
      <c r="M102" s="618"/>
      <c r="N102" s="19"/>
      <c r="O102" s="611"/>
      <c r="P102" s="19"/>
      <c r="Q102" s="19"/>
      <c r="R102" s="19"/>
    </row>
    <row r="103" spans="1:18" ht="12.75">
      <c r="A103" s="19">
        <v>7</v>
      </c>
      <c r="B103" s="19" t="s">
        <v>734</v>
      </c>
      <c r="C103" s="19" t="s">
        <v>68</v>
      </c>
      <c r="D103" s="19">
        <v>1</v>
      </c>
      <c r="E103" s="430">
        <v>3465</v>
      </c>
      <c r="F103" s="483">
        <f t="shared" si="4"/>
        <v>3465</v>
      </c>
      <c r="G103" s="483"/>
      <c r="H103" s="618"/>
      <c r="I103" s="618"/>
      <c r="J103" s="431"/>
      <c r="K103" s="611"/>
      <c r="L103" s="618"/>
      <c r="M103" s="618"/>
      <c r="N103" s="19"/>
      <c r="O103" s="611"/>
      <c r="P103" s="19"/>
      <c r="Q103" s="19"/>
      <c r="R103" s="19"/>
    </row>
    <row r="104" spans="1:18" ht="12.75">
      <c r="A104" s="19">
        <v>8</v>
      </c>
      <c r="B104" s="19" t="s">
        <v>735</v>
      </c>
      <c r="C104" s="19" t="s">
        <v>736</v>
      </c>
      <c r="D104" s="19">
        <v>1</v>
      </c>
      <c r="E104" s="430">
        <v>15638</v>
      </c>
      <c r="F104" s="483">
        <f t="shared" si="4"/>
        <v>15638</v>
      </c>
      <c r="G104" s="483"/>
      <c r="H104" s="618"/>
      <c r="I104" s="618"/>
      <c r="J104" s="431"/>
      <c r="K104" s="611"/>
      <c r="L104" s="618"/>
      <c r="M104" s="618"/>
      <c r="N104" s="19"/>
      <c r="O104" s="611"/>
      <c r="P104" s="19"/>
      <c r="Q104" s="19"/>
      <c r="R104" s="19"/>
    </row>
    <row r="105" spans="1:18" ht="12.75">
      <c r="A105" s="19">
        <v>9</v>
      </c>
      <c r="B105" s="19" t="s">
        <v>737</v>
      </c>
      <c r="C105" s="19" t="s">
        <v>738</v>
      </c>
      <c r="D105" s="19">
        <v>1</v>
      </c>
      <c r="E105" s="430">
        <v>51174</v>
      </c>
      <c r="F105" s="483">
        <f t="shared" si="4"/>
        <v>51174</v>
      </c>
      <c r="G105" s="483"/>
      <c r="H105" s="618"/>
      <c r="I105" s="618"/>
      <c r="J105" s="431">
        <v>3</v>
      </c>
      <c r="K105" s="611">
        <v>35</v>
      </c>
      <c r="L105" s="618"/>
      <c r="M105" s="618"/>
      <c r="N105" s="19"/>
      <c r="O105" s="619"/>
      <c r="P105" s="19"/>
      <c r="Q105" s="19"/>
      <c r="R105" s="19"/>
    </row>
    <row r="106" spans="1:18" ht="12.75">
      <c r="A106" s="19">
        <v>10</v>
      </c>
      <c r="B106" s="19" t="s">
        <v>739</v>
      </c>
      <c r="C106" s="19" t="s">
        <v>648</v>
      </c>
      <c r="D106" s="19">
        <v>2</v>
      </c>
      <c r="E106" s="430">
        <v>2985</v>
      </c>
      <c r="F106" s="483">
        <f t="shared" si="4"/>
        <v>5970</v>
      </c>
      <c r="G106" s="483"/>
      <c r="H106" s="618"/>
      <c r="I106" s="618"/>
      <c r="J106" s="431">
        <v>2</v>
      </c>
      <c r="K106" s="611"/>
      <c r="L106" s="618"/>
      <c r="M106" s="618"/>
      <c r="N106" s="19"/>
      <c r="O106" s="611"/>
      <c r="P106" s="19"/>
      <c r="Q106" s="19"/>
      <c r="R106" s="19"/>
    </row>
    <row r="107" spans="1:18" ht="12.75">
      <c r="A107" s="626">
        <v>11</v>
      </c>
      <c r="B107" s="19"/>
      <c r="C107" s="19" t="s">
        <v>25</v>
      </c>
      <c r="D107" s="19"/>
      <c r="E107" s="430"/>
      <c r="F107" s="483">
        <f>SUM(F97:F106)*$C$190</f>
        <v>83030.84999999999</v>
      </c>
      <c r="G107" s="483"/>
      <c r="H107" s="618"/>
      <c r="I107" s="618"/>
      <c r="J107" s="431"/>
      <c r="K107" s="611"/>
      <c r="L107" s="618"/>
      <c r="M107" s="618"/>
      <c r="N107" s="19"/>
      <c r="O107" s="611"/>
      <c r="P107" s="19"/>
      <c r="Q107" s="19"/>
      <c r="R107" s="19"/>
    </row>
    <row r="108" spans="1:18" ht="12.75">
      <c r="A108" s="19"/>
      <c r="B108" s="19"/>
      <c r="C108" s="19"/>
      <c r="D108" s="19" t="s">
        <v>26</v>
      </c>
      <c r="E108" s="429"/>
      <c r="F108" s="483">
        <f>SUM(F97:F107)</f>
        <v>320261.85</v>
      </c>
      <c r="G108" s="19"/>
      <c r="H108" s="618"/>
      <c r="I108" s="618"/>
      <c r="J108" s="431"/>
      <c r="K108" s="611"/>
      <c r="L108" s="618"/>
      <c r="M108" s="618"/>
      <c r="N108" s="19"/>
      <c r="O108" s="19"/>
      <c r="P108" s="19"/>
      <c r="Q108" s="19"/>
      <c r="R108" s="19"/>
    </row>
    <row r="109" spans="1:18" ht="12.75">
      <c r="A109" s="19"/>
      <c r="B109" s="19"/>
      <c r="C109" s="19"/>
      <c r="D109" s="19"/>
      <c r="E109" s="429"/>
      <c r="F109" s="483"/>
      <c r="G109" s="19"/>
      <c r="H109" s="618"/>
      <c r="I109" s="618"/>
      <c r="J109" s="431"/>
      <c r="K109" s="611"/>
      <c r="L109" s="618"/>
      <c r="M109" s="618"/>
      <c r="N109" s="19"/>
      <c r="O109" s="19"/>
      <c r="P109" s="19"/>
      <c r="Q109" s="19"/>
      <c r="R109" s="19"/>
    </row>
    <row r="110" spans="1:18" ht="12.75">
      <c r="A110" s="19"/>
      <c r="B110" s="627" t="s">
        <v>161</v>
      </c>
      <c r="C110" s="19"/>
      <c r="D110" s="19"/>
      <c r="E110" s="429"/>
      <c r="F110" s="483"/>
      <c r="G110" s="19"/>
      <c r="H110" s="618"/>
      <c r="I110" s="618"/>
      <c r="J110" s="431"/>
      <c r="K110" s="611"/>
      <c r="L110" s="618"/>
      <c r="M110" s="618"/>
      <c r="N110" s="19"/>
      <c r="O110" s="19"/>
      <c r="P110" s="19"/>
      <c r="Q110" s="19"/>
      <c r="R110" s="19"/>
    </row>
    <row r="111" spans="1:18" ht="12.75">
      <c r="A111" s="19">
        <v>1</v>
      </c>
      <c r="B111" s="19" t="s">
        <v>51</v>
      </c>
      <c r="C111" s="19"/>
      <c r="D111" s="19">
        <v>1</v>
      </c>
      <c r="E111" s="429"/>
      <c r="F111" s="483"/>
      <c r="G111" s="19"/>
      <c r="H111" s="618"/>
      <c r="I111" s="618"/>
      <c r="J111" s="431"/>
      <c r="K111" s="611"/>
      <c r="L111" s="618"/>
      <c r="M111" s="618"/>
      <c r="N111" s="19"/>
      <c r="O111" s="619"/>
      <c r="P111" s="19"/>
      <c r="Q111" s="19"/>
      <c r="R111" s="19"/>
    </row>
    <row r="112" spans="1:18" ht="12.75">
      <c r="A112" s="19">
        <f>A111+1</f>
        <v>2</v>
      </c>
      <c r="B112" s="19" t="s">
        <v>162</v>
      </c>
      <c r="C112" s="19" t="s">
        <v>163</v>
      </c>
      <c r="D112" s="19">
        <v>1</v>
      </c>
      <c r="E112" s="429"/>
      <c r="F112" s="483"/>
      <c r="G112" s="19"/>
      <c r="H112" s="618"/>
      <c r="I112" s="618"/>
      <c r="J112" s="431"/>
      <c r="K112" s="611"/>
      <c r="L112" s="618"/>
      <c r="M112" s="618"/>
      <c r="N112" s="19"/>
      <c r="O112" s="611"/>
      <c r="P112" s="19"/>
      <c r="Q112" s="19"/>
      <c r="R112" s="19"/>
    </row>
    <row r="113" spans="1:18" ht="12.75">
      <c r="A113" s="19">
        <f>A112+1</f>
        <v>3</v>
      </c>
      <c r="B113" s="19" t="s">
        <v>164</v>
      </c>
      <c r="C113" s="19" t="s">
        <v>165</v>
      </c>
      <c r="D113" s="19">
        <v>1</v>
      </c>
      <c r="E113" s="429"/>
      <c r="F113" s="483"/>
      <c r="G113" s="19"/>
      <c r="H113" s="618"/>
      <c r="I113" s="618"/>
      <c r="J113" s="431">
        <v>2</v>
      </c>
      <c r="K113" s="611"/>
      <c r="L113" s="618"/>
      <c r="M113" s="618"/>
      <c r="N113" s="19"/>
      <c r="O113" s="619"/>
      <c r="P113" s="19"/>
      <c r="Q113" s="619"/>
      <c r="R113" s="19"/>
    </row>
    <row r="114" spans="1:18" ht="12.75">
      <c r="A114" s="19">
        <f>A113+1</f>
        <v>4</v>
      </c>
      <c r="B114" s="19" t="s">
        <v>66</v>
      </c>
      <c r="C114" s="19" t="s">
        <v>166</v>
      </c>
      <c r="D114" s="19">
        <v>1</v>
      </c>
      <c r="E114" s="429"/>
      <c r="F114" s="483"/>
      <c r="G114" s="19"/>
      <c r="H114" s="618"/>
      <c r="I114" s="618"/>
      <c r="J114" s="431"/>
      <c r="K114" s="611"/>
      <c r="L114" s="618"/>
      <c r="M114" s="618"/>
      <c r="N114" s="19"/>
      <c r="O114" s="619"/>
      <c r="P114" s="19"/>
      <c r="Q114" s="19"/>
      <c r="R114" s="19"/>
    </row>
    <row r="115" spans="1:18" ht="12.75">
      <c r="A115" s="19">
        <f>A114+1</f>
        <v>5</v>
      </c>
      <c r="B115" s="19" t="s">
        <v>68</v>
      </c>
      <c r="C115" s="19" t="s">
        <v>167</v>
      </c>
      <c r="D115" s="19">
        <v>1</v>
      </c>
      <c r="E115" s="429"/>
      <c r="F115" s="483"/>
      <c r="G115" s="19"/>
      <c r="H115" s="618"/>
      <c r="I115" s="618"/>
      <c r="J115" s="431"/>
      <c r="K115" s="611">
        <v>98</v>
      </c>
      <c r="L115" s="618"/>
      <c r="M115" s="618"/>
      <c r="N115" s="19"/>
      <c r="O115" s="619"/>
      <c r="P115" s="611"/>
      <c r="Q115" s="19"/>
      <c r="R115" s="19"/>
    </row>
    <row r="116" spans="1:18" ht="12.75">
      <c r="A116" s="19">
        <v>6</v>
      </c>
      <c r="B116" s="19" t="s">
        <v>168</v>
      </c>
      <c r="C116" s="19" t="s">
        <v>169</v>
      </c>
      <c r="D116" s="19">
        <v>1</v>
      </c>
      <c r="E116" s="429"/>
      <c r="F116" s="483"/>
      <c r="G116" s="19"/>
      <c r="H116" s="618"/>
      <c r="I116" s="618"/>
      <c r="J116" s="431"/>
      <c r="K116" s="611"/>
      <c r="L116" s="618"/>
      <c r="M116" s="618"/>
      <c r="N116" s="19"/>
      <c r="O116" s="619"/>
      <c r="P116" s="19"/>
      <c r="Q116" s="19"/>
      <c r="R116" s="19"/>
    </row>
    <row r="117" spans="1:18" ht="12.75">
      <c r="A117" s="19">
        <v>7</v>
      </c>
      <c r="B117" s="19" t="s">
        <v>170</v>
      </c>
      <c r="C117" s="19" t="s">
        <v>171</v>
      </c>
      <c r="D117" s="19">
        <v>1</v>
      </c>
      <c r="E117" s="429"/>
      <c r="F117" s="483"/>
      <c r="G117" s="19"/>
      <c r="H117" s="618"/>
      <c r="I117" s="618"/>
      <c r="J117" s="431">
        <v>5</v>
      </c>
      <c r="K117" s="611">
        <f>K68</f>
        <v>35</v>
      </c>
      <c r="L117" s="618"/>
      <c r="M117" s="618"/>
      <c r="N117" s="19"/>
      <c r="O117" s="619"/>
      <c r="P117" s="19"/>
      <c r="Q117" s="619"/>
      <c r="R117" s="19"/>
    </row>
    <row r="118" spans="1:18" ht="12.75">
      <c r="A118" s="19">
        <v>8</v>
      </c>
      <c r="B118" s="19"/>
      <c r="C118" s="19" t="s">
        <v>25</v>
      </c>
      <c r="D118" s="19"/>
      <c r="E118" s="429"/>
      <c r="F118" s="483">
        <f>SUM(F111:F117)*C190</f>
        <v>0</v>
      </c>
      <c r="G118" s="19"/>
      <c r="H118" s="618"/>
      <c r="I118" s="618"/>
      <c r="J118" s="431"/>
      <c r="K118" s="611"/>
      <c r="L118" s="618"/>
      <c r="M118" s="618"/>
      <c r="N118" s="19"/>
      <c r="O118" s="19"/>
      <c r="P118" s="19"/>
      <c r="Q118" s="19"/>
      <c r="R118" s="19"/>
    </row>
    <row r="119" spans="1:18" ht="12.75">
      <c r="A119" s="19"/>
      <c r="B119" s="19"/>
      <c r="C119" s="19"/>
      <c r="D119" s="19" t="s">
        <v>26</v>
      </c>
      <c r="E119" s="429"/>
      <c r="F119" s="483">
        <v>95000</v>
      </c>
      <c r="G119" s="19"/>
      <c r="H119" s="618"/>
      <c r="I119" s="618"/>
      <c r="J119" s="431"/>
      <c r="K119" s="611"/>
      <c r="L119" s="618"/>
      <c r="M119" s="618"/>
      <c r="N119" s="19"/>
      <c r="O119" s="19"/>
      <c r="P119" s="19"/>
      <c r="Q119" s="19"/>
      <c r="R119" s="19"/>
    </row>
    <row r="120" spans="1:18" ht="12.75">
      <c r="A120" s="19"/>
      <c r="B120" s="19"/>
      <c r="C120" s="19"/>
      <c r="D120" s="19"/>
      <c r="E120" s="430"/>
      <c r="F120" s="483"/>
      <c r="G120" s="483"/>
      <c r="H120" s="618"/>
      <c r="I120" s="618"/>
      <c r="J120" s="431"/>
      <c r="K120" s="611"/>
      <c r="L120" s="618"/>
      <c r="M120" s="618"/>
      <c r="N120" s="19"/>
      <c r="O120" s="19"/>
      <c r="P120" s="19"/>
      <c r="Q120" s="19"/>
      <c r="R120" s="19"/>
    </row>
    <row r="121" spans="1:18" ht="12.75">
      <c r="A121" s="19"/>
      <c r="B121" s="627" t="s">
        <v>172</v>
      </c>
      <c r="C121" s="19"/>
      <c r="D121" s="19"/>
      <c r="E121" s="430"/>
      <c r="F121" s="483"/>
      <c r="G121" s="483"/>
      <c r="H121" s="618"/>
      <c r="I121" s="618"/>
      <c r="J121" s="431"/>
      <c r="K121" s="611"/>
      <c r="L121" s="618"/>
      <c r="M121" s="618"/>
      <c r="N121" s="19"/>
      <c r="O121" s="19"/>
      <c r="P121" s="19"/>
      <c r="Q121" s="19"/>
      <c r="R121" s="19"/>
    </row>
    <row r="122" spans="1:18" ht="12.75">
      <c r="A122" s="19">
        <v>1</v>
      </c>
      <c r="B122" s="19" t="s">
        <v>173</v>
      </c>
      <c r="C122" s="19" t="s">
        <v>851</v>
      </c>
      <c r="D122" s="19">
        <v>1</v>
      </c>
      <c r="E122" s="430">
        <v>10300</v>
      </c>
      <c r="F122" s="483">
        <f aca="true" t="shared" si="5" ref="F122:F134">E122*D122</f>
        <v>10300</v>
      </c>
      <c r="G122" s="483"/>
      <c r="H122" s="618"/>
      <c r="I122" s="618"/>
      <c r="J122" s="431"/>
      <c r="K122" s="611"/>
      <c r="L122" s="618"/>
      <c r="M122" s="618"/>
      <c r="N122" s="19"/>
      <c r="O122" s="19"/>
      <c r="P122" s="19"/>
      <c r="Q122" s="19"/>
      <c r="R122" s="19"/>
    </row>
    <row r="123" spans="1:18" ht="12.75">
      <c r="A123" s="19">
        <f>A122+1</f>
        <v>2</v>
      </c>
      <c r="B123" s="19" t="s">
        <v>173</v>
      </c>
      <c r="C123" s="19" t="s">
        <v>852</v>
      </c>
      <c r="D123" s="19">
        <v>1</v>
      </c>
      <c r="E123" s="430">
        <v>2200</v>
      </c>
      <c r="F123" s="483">
        <f t="shared" si="5"/>
        <v>2200</v>
      </c>
      <c r="G123" s="483"/>
      <c r="H123" s="618"/>
      <c r="I123" s="618"/>
      <c r="J123" s="431"/>
      <c r="K123" s="611"/>
      <c r="L123" s="618"/>
      <c r="M123" s="618"/>
      <c r="N123" s="19"/>
      <c r="O123" s="19"/>
      <c r="P123" s="19"/>
      <c r="Q123" s="19"/>
      <c r="R123" s="19"/>
    </row>
    <row r="124" spans="1:18" ht="12.75">
      <c r="A124" s="19">
        <f>A123+1</f>
        <v>3</v>
      </c>
      <c r="B124" s="19" t="s">
        <v>174</v>
      </c>
      <c r="C124" s="19" t="s">
        <v>853</v>
      </c>
      <c r="D124" s="19">
        <v>1</v>
      </c>
      <c r="E124" s="430">
        <v>3700</v>
      </c>
      <c r="F124" s="483">
        <f t="shared" si="5"/>
        <v>3700</v>
      </c>
      <c r="G124" s="483"/>
      <c r="H124" s="618"/>
      <c r="I124" s="618"/>
      <c r="J124" s="431"/>
      <c r="K124" s="611"/>
      <c r="L124" s="618"/>
      <c r="M124" s="618"/>
      <c r="N124" s="19"/>
      <c r="O124" s="19"/>
      <c r="P124" s="19"/>
      <c r="Q124" s="19"/>
      <c r="R124" s="19"/>
    </row>
    <row r="125" spans="1:18" ht="12.75">
      <c r="A125" s="19">
        <f>A124+1</f>
        <v>4</v>
      </c>
      <c r="B125" s="19" t="s">
        <v>174</v>
      </c>
      <c r="C125" s="19"/>
      <c r="D125" s="19">
        <v>1</v>
      </c>
      <c r="E125" s="430">
        <f>466+195</f>
        <v>661</v>
      </c>
      <c r="F125" s="483">
        <f t="shared" si="5"/>
        <v>661</v>
      </c>
      <c r="G125" s="483"/>
      <c r="H125" s="618"/>
      <c r="I125" s="618"/>
      <c r="J125" s="431"/>
      <c r="K125" s="611"/>
      <c r="L125" s="618"/>
      <c r="M125" s="618"/>
      <c r="N125" s="19"/>
      <c r="O125" s="19"/>
      <c r="P125" s="19"/>
      <c r="Q125" s="19"/>
      <c r="R125" s="19"/>
    </row>
    <row r="126" spans="1:18" ht="12.75">
      <c r="A126" s="19">
        <f>A125+1</f>
        <v>5</v>
      </c>
      <c r="B126" s="19" t="s">
        <v>175</v>
      </c>
      <c r="C126" s="19"/>
      <c r="D126" s="19">
        <v>1</v>
      </c>
      <c r="E126" s="430">
        <v>22500</v>
      </c>
      <c r="F126" s="483">
        <f t="shared" si="5"/>
        <v>22500</v>
      </c>
      <c r="G126" s="483"/>
      <c r="H126" s="618"/>
      <c r="I126" s="618"/>
      <c r="J126" s="431"/>
      <c r="K126" s="611"/>
      <c r="L126" s="618"/>
      <c r="M126" s="618"/>
      <c r="N126" s="19"/>
      <c r="O126" s="19"/>
      <c r="P126" s="19"/>
      <c r="Q126" s="19"/>
      <c r="R126" s="19"/>
    </row>
    <row r="127" spans="1:18" ht="12.75">
      <c r="A127" s="19">
        <v>6</v>
      </c>
      <c r="B127" s="19" t="s">
        <v>175</v>
      </c>
      <c r="C127" s="19" t="s">
        <v>854</v>
      </c>
      <c r="D127" s="19">
        <v>1</v>
      </c>
      <c r="E127" s="430">
        <v>2900</v>
      </c>
      <c r="F127" s="483">
        <f t="shared" si="5"/>
        <v>2900</v>
      </c>
      <c r="G127" s="483"/>
      <c r="H127" s="618"/>
      <c r="I127" s="618"/>
      <c r="J127" s="431"/>
      <c r="K127" s="611"/>
      <c r="L127" s="618"/>
      <c r="M127" s="618"/>
      <c r="N127" s="19"/>
      <c r="O127" s="19"/>
      <c r="P127" s="19"/>
      <c r="Q127" s="19"/>
      <c r="R127" s="19"/>
    </row>
    <row r="128" spans="1:18" ht="12.75">
      <c r="A128" s="19">
        <v>7</v>
      </c>
      <c r="B128" s="19" t="s">
        <v>175</v>
      </c>
      <c r="C128" s="19" t="s">
        <v>176</v>
      </c>
      <c r="D128" s="19">
        <v>1</v>
      </c>
      <c r="E128" s="430">
        <v>3400</v>
      </c>
      <c r="F128" s="483">
        <f t="shared" si="5"/>
        <v>3400</v>
      </c>
      <c r="G128" s="19"/>
      <c r="H128" s="618"/>
      <c r="I128" s="618"/>
      <c r="J128" s="431"/>
      <c r="K128" s="611"/>
      <c r="L128" s="618"/>
      <c r="M128" s="618"/>
      <c r="N128" s="19"/>
      <c r="O128" s="19"/>
      <c r="P128" s="19"/>
      <c r="Q128" s="19"/>
      <c r="R128" s="19"/>
    </row>
    <row r="129" spans="1:18" ht="12.75">
      <c r="A129" s="19">
        <v>8</v>
      </c>
      <c r="B129" s="19" t="s">
        <v>175</v>
      </c>
      <c r="C129" s="19" t="s">
        <v>177</v>
      </c>
      <c r="D129" s="19">
        <v>5</v>
      </c>
      <c r="E129" s="430">
        <v>120</v>
      </c>
      <c r="F129" s="483">
        <f t="shared" si="5"/>
        <v>600</v>
      </c>
      <c r="G129" s="483"/>
      <c r="H129" s="618"/>
      <c r="I129" s="618"/>
      <c r="J129" s="431"/>
      <c r="K129" s="611"/>
      <c r="L129" s="618"/>
      <c r="M129" s="618"/>
      <c r="N129" s="19"/>
      <c r="O129" s="19"/>
      <c r="P129" s="19"/>
      <c r="Q129" s="19"/>
      <c r="R129" s="19"/>
    </row>
    <row r="130" spans="1:18" ht="12.75">
      <c r="A130" s="19">
        <v>9</v>
      </c>
      <c r="B130" s="19" t="s">
        <v>178</v>
      </c>
      <c r="C130" s="19" t="s">
        <v>855</v>
      </c>
      <c r="D130" s="19">
        <v>1</v>
      </c>
      <c r="E130" s="430">
        <v>7000</v>
      </c>
      <c r="F130" s="483">
        <f t="shared" si="5"/>
        <v>7000</v>
      </c>
      <c r="G130" s="483"/>
      <c r="H130" s="618"/>
      <c r="I130" s="618"/>
      <c r="J130" s="431"/>
      <c r="K130" s="611"/>
      <c r="L130" s="618"/>
      <c r="M130" s="618"/>
      <c r="N130" s="19"/>
      <c r="O130" s="19"/>
      <c r="P130" s="19"/>
      <c r="Q130" s="19"/>
      <c r="R130" s="19"/>
    </row>
    <row r="131" spans="1:18" ht="12.75">
      <c r="A131" s="19">
        <v>10</v>
      </c>
      <c r="B131" s="19" t="s">
        <v>179</v>
      </c>
      <c r="C131" s="19" t="s">
        <v>856</v>
      </c>
      <c r="D131" s="19">
        <v>1</v>
      </c>
      <c r="E131" s="430">
        <v>2500</v>
      </c>
      <c r="F131" s="483">
        <f t="shared" si="5"/>
        <v>2500</v>
      </c>
      <c r="G131" s="483"/>
      <c r="H131" s="618"/>
      <c r="I131" s="618"/>
      <c r="J131" s="431"/>
      <c r="K131" s="611"/>
      <c r="L131" s="618"/>
      <c r="M131" s="618"/>
      <c r="N131" s="19"/>
      <c r="O131" s="19"/>
      <c r="P131" s="19"/>
      <c r="Q131" s="19"/>
      <c r="R131" s="19"/>
    </row>
    <row r="132" spans="1:18" ht="12.75">
      <c r="A132" s="19">
        <v>11</v>
      </c>
      <c r="B132" s="19" t="s">
        <v>180</v>
      </c>
      <c r="C132" s="19" t="s">
        <v>857</v>
      </c>
      <c r="D132" s="19">
        <v>1</v>
      </c>
      <c r="E132" s="430">
        <v>5500</v>
      </c>
      <c r="F132" s="483">
        <f t="shared" si="5"/>
        <v>5500</v>
      </c>
      <c r="G132" s="483"/>
      <c r="H132" s="618"/>
      <c r="I132" s="618"/>
      <c r="J132" s="431"/>
      <c r="K132" s="611"/>
      <c r="L132" s="618"/>
      <c r="M132" s="618"/>
      <c r="N132" s="19"/>
      <c r="O132" s="19"/>
      <c r="P132" s="19"/>
      <c r="Q132" s="19"/>
      <c r="R132" s="19"/>
    </row>
    <row r="133" spans="1:18" ht="12.75">
      <c r="A133" s="19">
        <v>12</v>
      </c>
      <c r="B133" s="19" t="s">
        <v>181</v>
      </c>
      <c r="C133" s="19" t="s">
        <v>858</v>
      </c>
      <c r="D133" s="19">
        <v>1</v>
      </c>
      <c r="E133" s="430">
        <v>6600</v>
      </c>
      <c r="F133" s="483">
        <f t="shared" si="5"/>
        <v>6600</v>
      </c>
      <c r="G133" s="483"/>
      <c r="H133" s="618"/>
      <c r="I133" s="618"/>
      <c r="J133" s="431"/>
      <c r="K133" s="611"/>
      <c r="L133" s="618"/>
      <c r="M133" s="618"/>
      <c r="N133" s="19"/>
      <c r="O133" s="19"/>
      <c r="P133" s="19"/>
      <c r="Q133" s="19"/>
      <c r="R133" s="19"/>
    </row>
    <row r="134" spans="1:18" ht="12.75">
      <c r="A134" s="19">
        <v>13</v>
      </c>
      <c r="B134" s="19" t="s">
        <v>182</v>
      </c>
      <c r="C134" s="19" t="s">
        <v>859</v>
      </c>
      <c r="D134" s="19">
        <v>1</v>
      </c>
      <c r="E134" s="430">
        <v>18000</v>
      </c>
      <c r="F134" s="483">
        <f t="shared" si="5"/>
        <v>18000</v>
      </c>
      <c r="G134" s="483"/>
      <c r="H134" s="618"/>
      <c r="I134" s="618"/>
      <c r="J134" s="431"/>
      <c r="K134" s="611"/>
      <c r="L134" s="618"/>
      <c r="M134" s="618"/>
      <c r="N134" s="19"/>
      <c r="O134" s="19"/>
      <c r="P134" s="19"/>
      <c r="Q134" s="19"/>
      <c r="R134" s="19"/>
    </row>
    <row r="135" spans="1:18" ht="12.75">
      <c r="A135" s="19">
        <v>14</v>
      </c>
      <c r="B135" s="19"/>
      <c r="C135" s="19" t="s">
        <v>183</v>
      </c>
      <c r="D135" s="19"/>
      <c r="E135" s="430"/>
      <c r="F135" s="483">
        <f>SUM(F122:F134)*0.1</f>
        <v>8586.1</v>
      </c>
      <c r="G135" s="483"/>
      <c r="H135" s="618"/>
      <c r="I135" s="618"/>
      <c r="J135" s="431"/>
      <c r="K135" s="611"/>
      <c r="L135" s="618"/>
      <c r="M135" s="618"/>
      <c r="N135" s="19"/>
      <c r="O135" s="19"/>
      <c r="P135" s="19"/>
      <c r="Q135" s="19"/>
      <c r="R135" s="19"/>
    </row>
    <row r="136" spans="1:18" ht="12.75">
      <c r="A136" s="19">
        <v>15</v>
      </c>
      <c r="B136" s="19"/>
      <c r="C136" s="19" t="s">
        <v>184</v>
      </c>
      <c r="D136" s="19"/>
      <c r="E136" s="430"/>
      <c r="F136" s="483">
        <f>SUM(F122:F135)*0.2</f>
        <v>18889.420000000002</v>
      </c>
      <c r="G136" s="483"/>
      <c r="H136" s="618"/>
      <c r="I136" s="618"/>
      <c r="J136" s="431">
        <v>7</v>
      </c>
      <c r="K136" s="611"/>
      <c r="L136" s="618"/>
      <c r="M136" s="618"/>
      <c r="N136" s="19"/>
      <c r="O136" s="19"/>
      <c r="P136" s="19"/>
      <c r="Q136" s="19"/>
      <c r="R136" s="19"/>
    </row>
    <row r="137" spans="1:18" ht="12.75">
      <c r="A137" s="19"/>
      <c r="B137" s="19"/>
      <c r="C137" s="19"/>
      <c r="D137" s="19" t="s">
        <v>26</v>
      </c>
      <c r="E137" s="429"/>
      <c r="F137" s="483">
        <f>SUM(F122:F136)</f>
        <v>113336.52</v>
      </c>
      <c r="G137" s="483">
        <f>SUM(G122:G136)</f>
        <v>0</v>
      </c>
      <c r="H137" s="618"/>
      <c r="I137" s="618"/>
      <c r="J137" s="431"/>
      <c r="K137" s="611"/>
      <c r="L137" s="618"/>
      <c r="M137" s="618"/>
      <c r="N137" s="19"/>
      <c r="O137" s="19"/>
      <c r="P137" s="19"/>
      <c r="Q137" s="19"/>
      <c r="R137" s="19"/>
    </row>
    <row r="138" spans="1:18" ht="12.75">
      <c r="A138" s="19"/>
      <c r="B138" s="19"/>
      <c r="C138" s="19"/>
      <c r="D138" s="93"/>
      <c r="E138" s="430"/>
      <c r="F138" s="483"/>
      <c r="G138" s="483"/>
      <c r="H138" s="618"/>
      <c r="I138" s="618"/>
      <c r="J138" s="431"/>
      <c r="K138" s="611"/>
      <c r="L138" s="618"/>
      <c r="M138" s="618"/>
      <c r="N138" s="19"/>
      <c r="O138" s="19"/>
      <c r="P138" s="19"/>
      <c r="Q138" s="19"/>
      <c r="R138" s="19"/>
    </row>
    <row r="139" spans="1:18" ht="12.75">
      <c r="A139" s="19"/>
      <c r="B139" s="627" t="s">
        <v>185</v>
      </c>
      <c r="C139" s="19"/>
      <c r="D139" s="19"/>
      <c r="E139" s="429"/>
      <c r="F139" s="19"/>
      <c r="G139" s="19"/>
      <c r="H139" s="618"/>
      <c r="I139" s="618"/>
      <c r="J139" s="431"/>
      <c r="K139" s="611"/>
      <c r="L139" s="618"/>
      <c r="M139" s="618"/>
      <c r="N139" s="19"/>
      <c r="O139" s="19"/>
      <c r="P139" s="19"/>
      <c r="Q139" s="19"/>
      <c r="R139" s="19"/>
    </row>
    <row r="140" spans="1:18" ht="12.75">
      <c r="A140" s="19">
        <v>1</v>
      </c>
      <c r="B140" s="19" t="s">
        <v>186</v>
      </c>
      <c r="C140" s="19"/>
      <c r="D140" s="19">
        <v>3</v>
      </c>
      <c r="E140" s="429">
        <v>150</v>
      </c>
      <c r="F140" s="19">
        <f aca="true" t="shared" si="6" ref="F140:F145">E140*D140</f>
        <v>450</v>
      </c>
      <c r="G140" s="19">
        <v>450</v>
      </c>
      <c r="H140" s="618"/>
      <c r="I140" s="618"/>
      <c r="J140" s="431"/>
      <c r="K140" s="611"/>
      <c r="L140" s="618"/>
      <c r="M140" s="618"/>
      <c r="N140" s="19"/>
      <c r="O140" s="19"/>
      <c r="P140" s="19"/>
      <c r="Q140" s="19"/>
      <c r="R140" s="19"/>
    </row>
    <row r="141" spans="1:18" ht="12.75">
      <c r="A141" s="19">
        <f aca="true" t="shared" si="7" ref="A141:A146">A140+1</f>
        <v>2</v>
      </c>
      <c r="B141" s="19" t="s">
        <v>187</v>
      </c>
      <c r="C141" s="19"/>
      <c r="D141" s="19">
        <v>2</v>
      </c>
      <c r="E141" s="429">
        <v>1200</v>
      </c>
      <c r="F141" s="19">
        <f t="shared" si="6"/>
        <v>2400</v>
      </c>
      <c r="G141" s="19">
        <v>2400</v>
      </c>
      <c r="H141" s="618"/>
      <c r="I141" s="618"/>
      <c r="J141" s="431"/>
      <c r="K141" s="611"/>
      <c r="L141" s="618"/>
      <c r="M141" s="618"/>
      <c r="N141" s="19"/>
      <c r="O141" s="19"/>
      <c r="P141" s="19"/>
      <c r="Q141" s="19"/>
      <c r="R141" s="19"/>
    </row>
    <row r="142" spans="1:18" ht="12.75">
      <c r="A142" s="19">
        <f t="shared" si="7"/>
        <v>3</v>
      </c>
      <c r="B142" s="19" t="s">
        <v>188</v>
      </c>
      <c r="C142" s="19"/>
      <c r="D142" s="19">
        <v>2</v>
      </c>
      <c r="E142" s="429">
        <v>500</v>
      </c>
      <c r="F142" s="19">
        <f t="shared" si="6"/>
        <v>1000</v>
      </c>
      <c r="G142" s="19">
        <v>1000</v>
      </c>
      <c r="H142" s="618"/>
      <c r="I142" s="618"/>
      <c r="J142" s="431"/>
      <c r="K142" s="611"/>
      <c r="L142" s="618"/>
      <c r="M142" s="618"/>
      <c r="N142" s="19"/>
      <c r="O142" s="19"/>
      <c r="P142" s="19"/>
      <c r="Q142" s="19"/>
      <c r="R142" s="19"/>
    </row>
    <row r="143" spans="1:18" ht="12.75">
      <c r="A143" s="19">
        <f t="shared" si="7"/>
        <v>4</v>
      </c>
      <c r="B143" s="19" t="s">
        <v>189</v>
      </c>
      <c r="C143" s="19"/>
      <c r="D143" s="19">
        <v>4</v>
      </c>
      <c r="E143" s="429">
        <v>200</v>
      </c>
      <c r="F143" s="19">
        <f t="shared" si="6"/>
        <v>800</v>
      </c>
      <c r="G143" s="19">
        <v>800</v>
      </c>
      <c r="H143" s="618"/>
      <c r="I143" s="618"/>
      <c r="J143" s="431"/>
      <c r="K143" s="611"/>
      <c r="L143" s="618"/>
      <c r="M143" s="618"/>
      <c r="N143" s="19"/>
      <c r="O143" s="19"/>
      <c r="P143" s="19"/>
      <c r="Q143" s="19"/>
      <c r="R143" s="19"/>
    </row>
    <row r="144" spans="1:18" ht="12.75">
      <c r="A144" s="19">
        <f t="shared" si="7"/>
        <v>5</v>
      </c>
      <c r="B144" s="19" t="s">
        <v>190</v>
      </c>
      <c r="C144" s="19"/>
      <c r="D144" s="19">
        <v>1</v>
      </c>
      <c r="E144" s="429">
        <v>1500</v>
      </c>
      <c r="F144" s="19">
        <f t="shared" si="6"/>
        <v>1500</v>
      </c>
      <c r="G144" s="19">
        <v>1000</v>
      </c>
      <c r="H144" s="618"/>
      <c r="I144" s="618"/>
      <c r="J144" s="431"/>
      <c r="K144" s="611"/>
      <c r="L144" s="618"/>
      <c r="M144" s="618"/>
      <c r="N144" s="19"/>
      <c r="O144" s="19"/>
      <c r="P144" s="19"/>
      <c r="Q144" s="19"/>
      <c r="R144" s="19"/>
    </row>
    <row r="145" spans="1:18" ht="12.75">
      <c r="A145" s="19">
        <f t="shared" si="7"/>
        <v>6</v>
      </c>
      <c r="B145" s="19" t="s">
        <v>191</v>
      </c>
      <c r="C145" s="19"/>
      <c r="D145" s="19">
        <v>1</v>
      </c>
      <c r="E145" s="429">
        <f>250</f>
        <v>250</v>
      </c>
      <c r="F145" s="19">
        <f t="shared" si="6"/>
        <v>250</v>
      </c>
      <c r="G145" s="19">
        <v>250</v>
      </c>
      <c r="H145" s="618"/>
      <c r="I145" s="618"/>
      <c r="J145" s="431"/>
      <c r="K145" s="611"/>
      <c r="L145" s="618"/>
      <c r="M145" s="618"/>
      <c r="N145" s="19"/>
      <c r="O145" s="19"/>
      <c r="P145" s="19"/>
      <c r="Q145" s="19"/>
      <c r="R145" s="19"/>
    </row>
    <row r="146" spans="1:18" ht="12.75">
      <c r="A146" s="19">
        <f t="shared" si="7"/>
        <v>7</v>
      </c>
      <c r="B146" s="19"/>
      <c r="C146" s="19"/>
      <c r="D146" s="19"/>
      <c r="E146" s="429"/>
      <c r="F146" s="19"/>
      <c r="G146" s="19"/>
      <c r="H146" s="618"/>
      <c r="I146" s="618"/>
      <c r="J146" s="431"/>
      <c r="K146" s="611"/>
      <c r="L146" s="618"/>
      <c r="M146" s="618"/>
      <c r="N146" s="19"/>
      <c r="O146" s="19"/>
      <c r="P146" s="19"/>
      <c r="Q146" s="19"/>
      <c r="R146" s="19"/>
    </row>
    <row r="147" spans="1:18" ht="12.75">
      <c r="A147" s="19"/>
      <c r="B147" s="19"/>
      <c r="C147" s="19"/>
      <c r="D147" s="93" t="s">
        <v>26</v>
      </c>
      <c r="E147" s="429"/>
      <c r="F147" s="483">
        <f>SUM(F140:F146)</f>
        <v>6400</v>
      </c>
      <c r="G147" s="483">
        <f>SUM(G140:G146)</f>
        <v>5900</v>
      </c>
      <c r="H147" s="618"/>
      <c r="I147" s="618"/>
      <c r="J147" s="431"/>
      <c r="K147" s="611"/>
      <c r="L147" s="618"/>
      <c r="M147" s="618"/>
      <c r="N147" s="19"/>
      <c r="O147" s="19"/>
      <c r="P147" s="19"/>
      <c r="Q147" s="19"/>
      <c r="R147" s="19"/>
    </row>
    <row r="148" spans="1:18" ht="12.75">
      <c r="A148" s="19"/>
      <c r="B148" s="19"/>
      <c r="C148" s="19"/>
      <c r="D148" s="19"/>
      <c r="E148" s="429"/>
      <c r="F148" s="19"/>
      <c r="G148" s="19"/>
      <c r="H148" s="618"/>
      <c r="I148" s="618"/>
      <c r="J148" s="431"/>
      <c r="K148" s="611"/>
      <c r="L148" s="618"/>
      <c r="M148" s="618"/>
      <c r="N148" s="19"/>
      <c r="O148" s="19"/>
      <c r="P148" s="19"/>
      <c r="Q148" s="19"/>
      <c r="R148" s="19"/>
    </row>
    <row r="149" spans="1:18" ht="12.75">
      <c r="A149" s="19"/>
      <c r="B149" s="627" t="s">
        <v>192</v>
      </c>
      <c r="C149" s="19"/>
      <c r="D149" s="19"/>
      <c r="E149" s="429"/>
      <c r="F149" s="19"/>
      <c r="G149" s="19"/>
      <c r="H149" s="618"/>
      <c r="I149" s="618"/>
      <c r="J149" s="431"/>
      <c r="K149" s="611"/>
      <c r="L149" s="618"/>
      <c r="M149" s="618"/>
      <c r="N149" s="19"/>
      <c r="O149" s="19"/>
      <c r="P149" s="19"/>
      <c r="Q149" s="19"/>
      <c r="R149" s="19"/>
    </row>
    <row r="150" spans="1:18" ht="12.75">
      <c r="A150" s="19">
        <v>1</v>
      </c>
      <c r="B150" s="19" t="s">
        <v>193</v>
      </c>
      <c r="C150" s="19"/>
      <c r="D150" s="19">
        <v>1</v>
      </c>
      <c r="E150" s="430">
        <v>500</v>
      </c>
      <c r="F150" s="483">
        <f aca="true" t="shared" si="8" ref="F150:F159">E150*D150</f>
        <v>500</v>
      </c>
      <c r="G150" s="483"/>
      <c r="H150" s="618"/>
      <c r="I150" s="618"/>
      <c r="J150" s="431"/>
      <c r="K150" s="611"/>
      <c r="L150" s="618"/>
      <c r="M150" s="618"/>
      <c r="N150" s="19"/>
      <c r="O150" s="19"/>
      <c r="P150" s="19"/>
      <c r="Q150" s="19"/>
      <c r="R150" s="19"/>
    </row>
    <row r="151" spans="1:18" ht="12.75">
      <c r="A151" s="19">
        <f aca="true" t="shared" si="9" ref="A151:A159">A150+1</f>
        <v>2</v>
      </c>
      <c r="B151" s="19" t="s">
        <v>194</v>
      </c>
      <c r="C151" s="19"/>
      <c r="D151" s="19">
        <v>1</v>
      </c>
      <c r="E151" s="430">
        <v>1000</v>
      </c>
      <c r="F151" s="483">
        <f t="shared" si="8"/>
        <v>1000</v>
      </c>
      <c r="G151" s="483"/>
      <c r="H151" s="618"/>
      <c r="I151" s="618"/>
      <c r="J151" s="431"/>
      <c r="K151" s="611"/>
      <c r="L151" s="618"/>
      <c r="M151" s="618"/>
      <c r="N151" s="19"/>
      <c r="O151" s="19"/>
      <c r="P151" s="19"/>
      <c r="Q151" s="19"/>
      <c r="R151" s="19"/>
    </row>
    <row r="152" spans="1:18" ht="12.75">
      <c r="A152" s="19">
        <f t="shared" si="9"/>
        <v>3</v>
      </c>
      <c r="B152" s="19" t="s">
        <v>195</v>
      </c>
      <c r="C152" s="19"/>
      <c r="D152" s="19">
        <v>1</v>
      </c>
      <c r="E152" s="430">
        <v>2500</v>
      </c>
      <c r="F152" s="483">
        <f t="shared" si="8"/>
        <v>2500</v>
      </c>
      <c r="G152" s="483"/>
      <c r="H152" s="618"/>
      <c r="I152" s="618"/>
      <c r="J152" s="431"/>
      <c r="K152" s="611"/>
      <c r="L152" s="618"/>
      <c r="M152" s="618"/>
      <c r="N152" s="19"/>
      <c r="O152" s="19"/>
      <c r="P152" s="19"/>
      <c r="Q152" s="19"/>
      <c r="R152" s="19"/>
    </row>
    <row r="153" spans="1:18" ht="12.75">
      <c r="A153" s="19">
        <f t="shared" si="9"/>
        <v>4</v>
      </c>
      <c r="B153" s="19" t="s">
        <v>196</v>
      </c>
      <c r="C153" s="19"/>
      <c r="D153" s="19">
        <v>4</v>
      </c>
      <c r="E153" s="430">
        <v>1500</v>
      </c>
      <c r="F153" s="483">
        <f t="shared" si="8"/>
        <v>6000</v>
      </c>
      <c r="G153" s="483"/>
      <c r="H153" s="618"/>
      <c r="I153" s="618"/>
      <c r="J153" s="431"/>
      <c r="K153" s="611">
        <v>1</v>
      </c>
      <c r="L153" s="618"/>
      <c r="M153" s="618"/>
      <c r="N153" s="19"/>
      <c r="O153" s="19"/>
      <c r="P153" s="19"/>
      <c r="Q153" s="19"/>
      <c r="R153" s="19"/>
    </row>
    <row r="154" spans="1:18" ht="12.75">
      <c r="A154" s="19">
        <f t="shared" si="9"/>
        <v>5</v>
      </c>
      <c r="B154" s="19" t="s">
        <v>197</v>
      </c>
      <c r="C154" s="19"/>
      <c r="D154" s="19">
        <v>4</v>
      </c>
      <c r="E154" s="430">
        <v>250</v>
      </c>
      <c r="F154" s="483">
        <f t="shared" si="8"/>
        <v>1000</v>
      </c>
      <c r="G154" s="483"/>
      <c r="H154" s="618"/>
      <c r="I154" s="618"/>
      <c r="J154" s="431"/>
      <c r="K154" s="611"/>
      <c r="L154" s="618"/>
      <c r="M154" s="618"/>
      <c r="N154" s="19"/>
      <c r="O154" s="19"/>
      <c r="P154" s="19"/>
      <c r="Q154" s="19"/>
      <c r="R154" s="19"/>
    </row>
    <row r="155" spans="1:18" ht="12.75">
      <c r="A155" s="19">
        <f t="shared" si="9"/>
        <v>6</v>
      </c>
      <c r="B155" s="19" t="s">
        <v>198</v>
      </c>
      <c r="C155" s="19"/>
      <c r="D155" s="19">
        <v>1</v>
      </c>
      <c r="E155" s="430">
        <v>250</v>
      </c>
      <c r="F155" s="483">
        <f t="shared" si="8"/>
        <v>250</v>
      </c>
      <c r="G155" s="483"/>
      <c r="H155" s="618"/>
      <c r="I155" s="618"/>
      <c r="J155" s="431"/>
      <c r="K155" s="611"/>
      <c r="L155" s="618"/>
      <c r="M155" s="618"/>
      <c r="N155" s="19"/>
      <c r="O155" s="19"/>
      <c r="P155" s="19"/>
      <c r="Q155" s="19"/>
      <c r="R155" s="19"/>
    </row>
    <row r="156" spans="1:18" ht="12.75">
      <c r="A156" s="19">
        <f t="shared" si="9"/>
        <v>7</v>
      </c>
      <c r="B156" s="19" t="s">
        <v>199</v>
      </c>
      <c r="C156" s="19"/>
      <c r="D156" s="19">
        <v>1</v>
      </c>
      <c r="E156" s="430">
        <v>250</v>
      </c>
      <c r="F156" s="483">
        <f t="shared" si="8"/>
        <v>250</v>
      </c>
      <c r="G156" s="483"/>
      <c r="H156" s="618"/>
      <c r="I156" s="618"/>
      <c r="J156" s="431"/>
      <c r="K156" s="611"/>
      <c r="L156" s="618"/>
      <c r="M156" s="618"/>
      <c r="N156" s="19"/>
      <c r="O156" s="19"/>
      <c r="P156" s="19"/>
      <c r="Q156" s="19"/>
      <c r="R156" s="19"/>
    </row>
    <row r="157" spans="1:18" ht="12.75">
      <c r="A157" s="19">
        <f t="shared" si="9"/>
        <v>8</v>
      </c>
      <c r="B157" s="19" t="s">
        <v>200</v>
      </c>
      <c r="C157" s="19"/>
      <c r="D157" s="19">
        <v>1</v>
      </c>
      <c r="E157" s="430">
        <v>5500</v>
      </c>
      <c r="F157" s="483">
        <f t="shared" si="8"/>
        <v>5500</v>
      </c>
      <c r="G157" s="483"/>
      <c r="H157" s="618"/>
      <c r="I157" s="618"/>
      <c r="J157" s="431">
        <v>5</v>
      </c>
      <c r="K157" s="611"/>
      <c r="L157" s="618"/>
      <c r="M157" s="618"/>
      <c r="N157" s="19"/>
      <c r="O157" s="19"/>
      <c r="P157" s="19"/>
      <c r="Q157" s="19"/>
      <c r="R157" s="19"/>
    </row>
    <row r="158" spans="1:18" ht="12.75">
      <c r="A158" s="19">
        <f t="shared" si="9"/>
        <v>9</v>
      </c>
      <c r="B158" s="19" t="s">
        <v>201</v>
      </c>
      <c r="C158" s="19"/>
      <c r="D158" s="19">
        <v>1</v>
      </c>
      <c r="E158" s="430">
        <v>2500</v>
      </c>
      <c r="F158" s="483">
        <f t="shared" si="8"/>
        <v>2500</v>
      </c>
      <c r="G158" s="483"/>
      <c r="H158" s="618"/>
      <c r="I158" s="618"/>
      <c r="J158" s="431"/>
      <c r="K158" s="611"/>
      <c r="L158" s="618"/>
      <c r="M158" s="618"/>
      <c r="N158" s="19"/>
      <c r="O158" s="19"/>
      <c r="P158" s="19"/>
      <c r="Q158" s="19"/>
      <c r="R158" s="19"/>
    </row>
    <row r="159" spans="1:18" ht="12.75">
      <c r="A159" s="19">
        <f t="shared" si="9"/>
        <v>10</v>
      </c>
      <c r="B159" s="19" t="s">
        <v>202</v>
      </c>
      <c r="C159" s="19"/>
      <c r="D159" s="19">
        <v>1</v>
      </c>
      <c r="E159" s="430">
        <v>15000</v>
      </c>
      <c r="F159" s="483">
        <f t="shared" si="8"/>
        <v>15000</v>
      </c>
      <c r="G159" s="483"/>
      <c r="H159" s="618"/>
      <c r="I159" s="618"/>
      <c r="J159" s="431">
        <v>5</v>
      </c>
      <c r="K159" s="611">
        <v>2</v>
      </c>
      <c r="L159" s="618"/>
      <c r="M159" s="618"/>
      <c r="N159" s="19"/>
      <c r="O159" s="19"/>
      <c r="P159" s="19"/>
      <c r="Q159" s="19"/>
      <c r="R159" s="19"/>
    </row>
    <row r="160" spans="1:18" ht="12.75">
      <c r="A160" s="19">
        <f>A159+1</f>
        <v>11</v>
      </c>
      <c r="B160" s="19"/>
      <c r="C160" s="19"/>
      <c r="D160" s="19"/>
      <c r="E160" s="430"/>
      <c r="F160" s="483"/>
      <c r="G160" s="483"/>
      <c r="H160" s="618"/>
      <c r="I160" s="618"/>
      <c r="J160" s="431"/>
      <c r="K160" s="611"/>
      <c r="L160" s="618"/>
      <c r="M160" s="618"/>
      <c r="N160" s="19"/>
      <c r="O160" s="19"/>
      <c r="P160" s="19"/>
      <c r="Q160" s="19"/>
      <c r="R160" s="19"/>
    </row>
    <row r="161" spans="1:18" ht="12.75">
      <c r="A161" s="19">
        <v>12</v>
      </c>
      <c r="B161" s="19"/>
      <c r="C161" s="19"/>
      <c r="D161" s="19"/>
      <c r="E161" s="430"/>
      <c r="F161" s="483"/>
      <c r="G161" s="483"/>
      <c r="H161" s="618"/>
      <c r="I161" s="618"/>
      <c r="J161" s="431"/>
      <c r="K161" s="611"/>
      <c r="L161" s="618"/>
      <c r="M161" s="618"/>
      <c r="N161" s="19"/>
      <c r="O161" s="19"/>
      <c r="P161" s="19"/>
      <c r="Q161" s="19"/>
      <c r="R161" s="19"/>
    </row>
    <row r="162" spans="1:18" ht="12.75">
      <c r="A162" s="19">
        <v>13</v>
      </c>
      <c r="B162" s="19"/>
      <c r="C162" s="19" t="s">
        <v>25</v>
      </c>
      <c r="D162" s="19"/>
      <c r="E162" s="430"/>
      <c r="F162" s="483">
        <f>SUM(F150:F161)*$C$190</f>
        <v>12075</v>
      </c>
      <c r="G162" s="483"/>
      <c r="H162" s="618"/>
      <c r="I162" s="618"/>
      <c r="J162" s="431"/>
      <c r="K162" s="611"/>
      <c r="L162" s="618"/>
      <c r="M162" s="618"/>
      <c r="N162" s="19"/>
      <c r="O162" s="19"/>
      <c r="P162" s="19"/>
      <c r="Q162" s="19"/>
      <c r="R162" s="19"/>
    </row>
    <row r="163" spans="1:18" ht="12.75">
      <c r="A163" s="19"/>
      <c r="B163" s="19"/>
      <c r="C163" s="19"/>
      <c r="D163" s="93" t="s">
        <v>26</v>
      </c>
      <c r="E163" s="430"/>
      <c r="F163" s="483">
        <f>SUM(F150:F162)</f>
        <v>46575</v>
      </c>
      <c r="G163" s="483"/>
      <c r="H163" s="618"/>
      <c r="I163" s="618"/>
      <c r="J163" s="431"/>
      <c r="K163" s="611"/>
      <c r="L163" s="618"/>
      <c r="M163" s="618"/>
      <c r="N163" s="19"/>
      <c r="O163" s="19"/>
      <c r="P163" s="19"/>
      <c r="Q163" s="19"/>
      <c r="R163" s="19"/>
    </row>
    <row r="164" spans="1:18" ht="12.75">
      <c r="A164" s="19"/>
      <c r="B164" s="19"/>
      <c r="C164" s="19"/>
      <c r="D164" s="93"/>
      <c r="E164" s="430"/>
      <c r="F164" s="483"/>
      <c r="G164" s="483"/>
      <c r="H164" s="618"/>
      <c r="I164" s="618"/>
      <c r="J164" s="431"/>
      <c r="K164" s="611"/>
      <c r="L164" s="618"/>
      <c r="M164" s="618"/>
      <c r="N164" s="19"/>
      <c r="O164" s="19"/>
      <c r="P164" s="19"/>
      <c r="Q164" s="19"/>
      <c r="R164" s="19"/>
    </row>
    <row r="165" spans="1:18" ht="12.75">
      <c r="A165" s="19"/>
      <c r="B165" s="627" t="s">
        <v>203</v>
      </c>
      <c r="C165" s="19"/>
      <c r="D165" s="19"/>
      <c r="E165" s="430"/>
      <c r="F165" s="483"/>
      <c r="G165" s="483"/>
      <c r="H165" s="618"/>
      <c r="I165" s="618"/>
      <c r="J165" s="431"/>
      <c r="K165" s="611"/>
      <c r="L165" s="618"/>
      <c r="M165" s="618"/>
      <c r="N165" s="19"/>
      <c r="O165" s="19"/>
      <c r="P165" s="19"/>
      <c r="Q165" s="19"/>
      <c r="R165" s="19"/>
    </row>
    <row r="166" spans="1:18" ht="12.75">
      <c r="A166" s="19">
        <v>1</v>
      </c>
      <c r="B166" s="34" t="s">
        <v>204</v>
      </c>
      <c r="C166" s="19" t="s">
        <v>205</v>
      </c>
      <c r="D166" s="19">
        <v>1</v>
      </c>
      <c r="E166" s="430">
        <v>85000</v>
      </c>
      <c r="F166" s="483">
        <f aca="true" t="shared" si="10" ref="F166:F177">E166*D166</f>
        <v>85000</v>
      </c>
      <c r="G166" s="483"/>
      <c r="H166" s="618"/>
      <c r="I166" s="618"/>
      <c r="J166" s="431">
        <v>7.5</v>
      </c>
      <c r="K166" s="611"/>
      <c r="L166" s="618"/>
      <c r="M166" s="618">
        <v>2174.0569987730814</v>
      </c>
      <c r="N166" s="19"/>
      <c r="O166" s="19"/>
      <c r="P166" s="19"/>
      <c r="Q166" s="19"/>
      <c r="R166" s="19"/>
    </row>
    <row r="167" spans="1:18" ht="12.75">
      <c r="A167" s="19">
        <f>A166+1</f>
        <v>2</v>
      </c>
      <c r="B167" s="34" t="s">
        <v>206</v>
      </c>
      <c r="C167" s="19" t="s">
        <v>207</v>
      </c>
      <c r="D167" s="19">
        <v>2</v>
      </c>
      <c r="E167" s="430">
        <v>2500</v>
      </c>
      <c r="F167" s="483">
        <f t="shared" si="10"/>
        <v>5000</v>
      </c>
      <c r="G167" s="483"/>
      <c r="H167" s="618"/>
      <c r="I167" s="618"/>
      <c r="J167" s="431"/>
      <c r="K167" s="611"/>
      <c r="L167" s="618"/>
      <c r="M167" s="618">
        <v>0.5</v>
      </c>
      <c r="N167" s="19"/>
      <c r="O167" s="19"/>
      <c r="P167" s="19"/>
      <c r="Q167" s="19"/>
      <c r="R167" s="19"/>
    </row>
    <row r="168" spans="1:18" ht="12.75">
      <c r="A168" s="19">
        <f aca="true" t="shared" si="11" ref="A168:A177">A167+1</f>
        <v>3</v>
      </c>
      <c r="B168" s="34" t="s">
        <v>208</v>
      </c>
      <c r="C168" s="19" t="s">
        <v>209</v>
      </c>
      <c r="D168" s="19">
        <v>1</v>
      </c>
      <c r="E168" s="430">
        <v>6900</v>
      </c>
      <c r="F168" s="483">
        <f t="shared" si="10"/>
        <v>6900</v>
      </c>
      <c r="G168" s="483"/>
      <c r="H168" s="618"/>
      <c r="I168" s="618"/>
      <c r="J168" s="431">
        <v>20</v>
      </c>
      <c r="K168" s="611"/>
      <c r="L168" s="618"/>
      <c r="M168" s="618"/>
      <c r="N168" s="19"/>
      <c r="O168" s="19"/>
      <c r="P168" s="19"/>
      <c r="Q168" s="19"/>
      <c r="R168" s="19"/>
    </row>
    <row r="169" spans="1:18" ht="12.75">
      <c r="A169" s="19">
        <f t="shared" si="11"/>
        <v>4</v>
      </c>
      <c r="B169" s="19" t="s">
        <v>210</v>
      </c>
      <c r="C169" s="19"/>
      <c r="D169" s="155">
        <v>3000</v>
      </c>
      <c r="E169" s="430">
        <v>35</v>
      </c>
      <c r="F169" s="483">
        <f t="shared" si="10"/>
        <v>105000</v>
      </c>
      <c r="G169" s="483"/>
      <c r="H169" s="618"/>
      <c r="I169" s="618"/>
      <c r="J169" s="431"/>
      <c r="K169" s="611"/>
      <c r="L169" s="618"/>
      <c r="M169" s="618"/>
      <c r="N169" s="19"/>
      <c r="O169" s="19"/>
      <c r="P169" s="19"/>
      <c r="Q169" s="19"/>
      <c r="R169" s="19"/>
    </row>
    <row r="170" spans="1:18" ht="12.75">
      <c r="A170" s="19">
        <f t="shared" si="11"/>
        <v>5</v>
      </c>
      <c r="B170" s="34" t="s">
        <v>211</v>
      </c>
      <c r="C170" s="19" t="s">
        <v>212</v>
      </c>
      <c r="D170" s="19">
        <v>1</v>
      </c>
      <c r="E170" s="430">
        <v>5200</v>
      </c>
      <c r="F170" s="483">
        <f t="shared" si="10"/>
        <v>5200</v>
      </c>
      <c r="G170" s="483"/>
      <c r="H170" s="618"/>
      <c r="I170" s="618"/>
      <c r="J170" s="431"/>
      <c r="K170" s="611"/>
      <c r="L170" s="618"/>
      <c r="M170" s="618"/>
      <c r="N170" s="19"/>
      <c r="O170" s="19"/>
      <c r="P170" s="19"/>
      <c r="Q170" s="19"/>
      <c r="R170" s="19"/>
    </row>
    <row r="171" spans="1:18" ht="12.75">
      <c r="A171" s="19">
        <f t="shared" si="11"/>
        <v>6</v>
      </c>
      <c r="B171" s="34" t="s">
        <v>213</v>
      </c>
      <c r="C171" s="19" t="s">
        <v>214</v>
      </c>
      <c r="D171" s="19">
        <v>8000</v>
      </c>
      <c r="E171" s="430">
        <v>73</v>
      </c>
      <c r="F171" s="483">
        <f t="shared" si="10"/>
        <v>584000</v>
      </c>
      <c r="G171" s="483"/>
      <c r="H171" s="618"/>
      <c r="I171" s="618"/>
      <c r="J171" s="431">
        <v>15</v>
      </c>
      <c r="K171" s="611"/>
      <c r="L171" s="618"/>
      <c r="M171" s="618">
        <v>0.75</v>
      </c>
      <c r="N171" s="19"/>
      <c r="O171" s="19"/>
      <c r="P171" s="19"/>
      <c r="Q171" s="19"/>
      <c r="R171" s="19"/>
    </row>
    <row r="172" spans="1:18" ht="12.75">
      <c r="A172" s="19">
        <f t="shared" si="11"/>
        <v>7</v>
      </c>
      <c r="B172" s="19" t="s">
        <v>215</v>
      </c>
      <c r="C172" s="19" t="s">
        <v>216</v>
      </c>
      <c r="D172" s="19">
        <v>1</v>
      </c>
      <c r="E172" s="430">
        <v>25000</v>
      </c>
      <c r="F172" s="483">
        <f t="shared" si="10"/>
        <v>25000</v>
      </c>
      <c r="G172" s="483"/>
      <c r="H172" s="618"/>
      <c r="I172" s="618"/>
      <c r="J172" s="431">
        <v>3</v>
      </c>
      <c r="K172" s="611"/>
      <c r="L172" s="618"/>
      <c r="M172" s="618"/>
      <c r="N172" s="19"/>
      <c r="O172" s="19"/>
      <c r="P172" s="19"/>
      <c r="Q172" s="19"/>
      <c r="R172" s="19"/>
    </row>
    <row r="173" spans="1:18" ht="12.75">
      <c r="A173" s="19">
        <f t="shared" si="11"/>
        <v>8</v>
      </c>
      <c r="B173" s="19" t="s">
        <v>217</v>
      </c>
      <c r="C173" s="19" t="s">
        <v>218</v>
      </c>
      <c r="D173" s="19">
        <v>1</v>
      </c>
      <c r="E173" s="430">
        <v>27500</v>
      </c>
      <c r="F173" s="483">
        <f t="shared" si="10"/>
        <v>27500</v>
      </c>
      <c r="G173" s="483"/>
      <c r="H173" s="618"/>
      <c r="I173" s="618"/>
      <c r="J173" s="431">
        <v>15</v>
      </c>
      <c r="K173" s="611"/>
      <c r="L173" s="618"/>
      <c r="M173" s="618"/>
      <c r="N173" s="19"/>
      <c r="O173" s="19"/>
      <c r="P173" s="19"/>
      <c r="Q173" s="19"/>
      <c r="R173" s="19"/>
    </row>
    <row r="174" spans="1:18" ht="12.75">
      <c r="A174" s="19">
        <f t="shared" si="11"/>
        <v>9</v>
      </c>
      <c r="B174" s="19" t="s">
        <v>219</v>
      </c>
      <c r="C174" s="19" t="s">
        <v>220</v>
      </c>
      <c r="D174" s="19">
        <v>1</v>
      </c>
      <c r="E174" s="430">
        <v>74500</v>
      </c>
      <c r="F174" s="483">
        <f t="shared" si="10"/>
        <v>74500</v>
      </c>
      <c r="G174" s="483"/>
      <c r="H174" s="618"/>
      <c r="I174" s="618"/>
      <c r="J174" s="431">
        <v>100</v>
      </c>
      <c r="K174" s="611"/>
      <c r="L174" s="19"/>
      <c r="M174" s="618"/>
      <c r="N174" s="19"/>
      <c r="O174" s="19"/>
      <c r="P174" s="19"/>
      <c r="Q174" s="19"/>
      <c r="R174" s="19"/>
    </row>
    <row r="175" spans="1:18" ht="12.75">
      <c r="A175" s="19">
        <f t="shared" si="11"/>
        <v>10</v>
      </c>
      <c r="B175" s="19" t="s">
        <v>221</v>
      </c>
      <c r="C175" s="19"/>
      <c r="D175" s="19">
        <v>1</v>
      </c>
      <c r="E175" s="430">
        <v>6500</v>
      </c>
      <c r="F175" s="483">
        <f t="shared" si="10"/>
        <v>6500</v>
      </c>
      <c r="G175" s="483"/>
      <c r="H175" s="618"/>
      <c r="I175" s="618"/>
      <c r="J175" s="431">
        <v>3</v>
      </c>
      <c r="K175" s="611"/>
      <c r="L175" s="19"/>
      <c r="M175" s="619">
        <f>2500000/365/24/'Engineering Calcs'!B37</f>
        <v>0.2768071075207384</v>
      </c>
      <c r="N175" s="19"/>
      <c r="O175" s="19"/>
      <c r="P175" s="19"/>
      <c r="Q175" s="19"/>
      <c r="R175" s="19"/>
    </row>
    <row r="176" spans="1:18" ht="12.75">
      <c r="A176" s="19">
        <f t="shared" si="11"/>
        <v>11</v>
      </c>
      <c r="B176" s="19" t="s">
        <v>222</v>
      </c>
      <c r="C176" s="19" t="s">
        <v>223</v>
      </c>
      <c r="D176" s="19">
        <v>1</v>
      </c>
      <c r="E176" s="430">
        <v>50000</v>
      </c>
      <c r="F176" s="483">
        <f t="shared" si="10"/>
        <v>50000</v>
      </c>
      <c r="G176" s="483"/>
      <c r="H176" s="618"/>
      <c r="I176" s="618"/>
      <c r="J176" s="431"/>
      <c r="K176" s="611"/>
      <c r="L176" s="618"/>
      <c r="M176" s="618"/>
      <c r="N176" s="19"/>
      <c r="O176" s="19"/>
      <c r="P176" s="19"/>
      <c r="Q176" s="19"/>
      <c r="R176" s="19"/>
    </row>
    <row r="177" spans="1:18" ht="12.75">
      <c r="A177" s="19">
        <f t="shared" si="11"/>
        <v>12</v>
      </c>
      <c r="B177" s="19" t="s">
        <v>713</v>
      </c>
      <c r="C177" s="19" t="s">
        <v>714</v>
      </c>
      <c r="D177" s="19">
        <v>1</v>
      </c>
      <c r="E177" s="430">
        <v>25000</v>
      </c>
      <c r="F177" s="483">
        <f t="shared" si="10"/>
        <v>25000</v>
      </c>
      <c r="G177" s="483"/>
      <c r="H177" s="618"/>
      <c r="I177" s="618"/>
      <c r="J177" s="431">
        <v>8</v>
      </c>
      <c r="K177" s="611"/>
      <c r="L177" s="618"/>
      <c r="M177" s="618"/>
      <c r="N177" s="19"/>
      <c r="O177" s="19"/>
      <c r="P177" s="19"/>
      <c r="Q177" s="19"/>
      <c r="R177" s="19"/>
    </row>
    <row r="178" spans="1:18" ht="12.75">
      <c r="A178" s="19"/>
      <c r="B178" s="19"/>
      <c r="C178" s="19"/>
      <c r="D178" s="19"/>
      <c r="E178" s="483"/>
      <c r="F178" s="483"/>
      <c r="G178" s="483"/>
      <c r="H178" s="618"/>
      <c r="I178" s="618"/>
      <c r="J178" s="431"/>
      <c r="K178" s="611"/>
      <c r="L178" s="618"/>
      <c r="M178" s="618"/>
      <c r="N178" s="19"/>
      <c r="O178" s="19"/>
      <c r="P178" s="19"/>
      <c r="Q178" s="19"/>
      <c r="R178" s="19"/>
    </row>
    <row r="179" spans="1:18" ht="12.75">
      <c r="A179" s="19"/>
      <c r="B179" s="19"/>
      <c r="C179" s="19"/>
      <c r="D179" s="19"/>
      <c r="E179" s="483"/>
      <c r="F179" s="483"/>
      <c r="G179" s="483"/>
      <c r="H179" s="618"/>
      <c r="I179" s="618"/>
      <c r="J179" s="431"/>
      <c r="K179" s="611"/>
      <c r="L179" s="618"/>
      <c r="M179" s="618"/>
      <c r="N179" s="19"/>
      <c r="O179" s="19"/>
      <c r="P179" s="19"/>
      <c r="Q179" s="19"/>
      <c r="R179" s="19"/>
    </row>
    <row r="180" spans="1:18" ht="12.75">
      <c r="A180" s="19"/>
      <c r="B180" s="19"/>
      <c r="C180" s="19"/>
      <c r="D180" s="93" t="s">
        <v>26</v>
      </c>
      <c r="E180" s="483"/>
      <c r="F180" s="483">
        <f>SUM(F166:F179)</f>
        <v>999600</v>
      </c>
      <c r="G180" s="483"/>
      <c r="H180" s="618"/>
      <c r="I180" s="618"/>
      <c r="J180" s="431">
        <f>SUM(J3:J178)</f>
        <v>1343</v>
      </c>
      <c r="K180" s="611">
        <f>SUM(K4:K179)</f>
        <v>2219.7508947344395</v>
      </c>
      <c r="L180" s="618"/>
      <c r="M180" s="611">
        <f>SUM(M122:M178)+SUM(M55:M102)+SUM(M4:M39)</f>
        <v>2311.034824309312</v>
      </c>
      <c r="N180" s="19"/>
      <c r="O180" s="19"/>
      <c r="P180" s="19"/>
      <c r="Q180" s="19"/>
      <c r="R180" s="19"/>
    </row>
    <row r="181" spans="1:18" ht="12.75">
      <c r="A181" s="19"/>
      <c r="B181" s="19"/>
      <c r="C181" s="19"/>
      <c r="D181" s="19"/>
      <c r="E181" s="19"/>
      <c r="F181" s="19"/>
      <c r="G181" s="19"/>
      <c r="H181" s="618" t="s">
        <v>742</v>
      </c>
      <c r="I181" s="618"/>
      <c r="J181" s="431">
        <f>SUM(J55:J75)+SUM(J97:J177)</f>
        <v>288</v>
      </c>
      <c r="K181" s="633">
        <f>SUM(K55:K75)+SUM(K97:K177)</f>
        <v>1984.0923947344393</v>
      </c>
      <c r="L181" s="618"/>
      <c r="M181" s="618"/>
      <c r="N181" s="19"/>
      <c r="O181" s="19"/>
      <c r="P181" s="19"/>
      <c r="Q181" s="19"/>
      <c r="R181" s="19"/>
    </row>
    <row r="182" spans="1:18" ht="12.75">
      <c r="A182" s="19"/>
      <c r="B182" s="19"/>
      <c r="C182" s="19"/>
      <c r="D182" s="19"/>
      <c r="E182" s="19"/>
      <c r="F182" s="19"/>
      <c r="G182" s="19"/>
      <c r="H182" s="631" t="s">
        <v>792</v>
      </c>
      <c r="I182" s="618"/>
      <c r="J182" s="431">
        <f>SUM(J4:J52)+SUM(J149:J159)+SUM(J79:J94)+SUM(J166:J177)</f>
        <v>1236.5</v>
      </c>
      <c r="K182" s="634">
        <f>SUM(K4:K52)+SUM(K149:K159)+SUM(K79:K94)+SUM(K166:K177)</f>
        <v>238.6585</v>
      </c>
      <c r="L182" s="618"/>
      <c r="M182" s="618"/>
      <c r="N182" s="19"/>
      <c r="O182" s="19"/>
      <c r="P182" s="19"/>
      <c r="Q182" s="19"/>
      <c r="R182" s="19"/>
    </row>
    <row r="183" spans="1:18" ht="12.75">
      <c r="A183" s="19"/>
      <c r="B183" s="19"/>
      <c r="C183" s="19"/>
      <c r="D183" s="19"/>
      <c r="E183" s="19"/>
      <c r="F183" s="19"/>
      <c r="G183" s="19"/>
      <c r="H183" s="618"/>
      <c r="I183" s="618"/>
      <c r="J183" s="618"/>
      <c r="K183" s="611"/>
      <c r="L183" s="618"/>
      <c r="M183" s="618"/>
      <c r="N183" s="19"/>
      <c r="O183" s="19"/>
      <c r="P183" s="19"/>
      <c r="Q183" s="19"/>
      <c r="R183" s="19"/>
    </row>
    <row r="184" spans="1:18" ht="12.75">
      <c r="A184" s="19"/>
      <c r="B184" s="19"/>
      <c r="C184" s="19"/>
      <c r="D184" s="19"/>
      <c r="E184" s="19"/>
      <c r="F184" s="483"/>
      <c r="G184" s="630"/>
      <c r="H184" s="19"/>
      <c r="I184" s="618"/>
      <c r="J184" s="618"/>
      <c r="K184" s="611"/>
      <c r="L184" s="618"/>
      <c r="M184" s="618"/>
      <c r="N184" s="19"/>
      <c r="O184" s="19"/>
      <c r="P184" s="19"/>
      <c r="Q184" s="19"/>
      <c r="R184" s="19"/>
    </row>
    <row r="185" spans="1:18" ht="12.75">
      <c r="A185" s="19"/>
      <c r="B185" s="19"/>
      <c r="C185" s="19"/>
      <c r="D185" s="19"/>
      <c r="E185" s="19"/>
      <c r="F185" s="483"/>
      <c r="G185" s="19"/>
      <c r="H185" s="618"/>
      <c r="I185" s="618"/>
      <c r="J185" s="618"/>
      <c r="K185" s="611"/>
      <c r="L185" s="618"/>
      <c r="M185" s="618"/>
      <c r="N185" s="19"/>
      <c r="O185" s="19"/>
      <c r="P185" s="19"/>
      <c r="Q185" s="19"/>
      <c r="R185" s="19"/>
    </row>
    <row r="186" spans="1:18" ht="12.75">
      <c r="A186" s="19"/>
      <c r="B186" s="19"/>
      <c r="C186" s="19"/>
      <c r="D186" s="19"/>
      <c r="E186" s="19"/>
      <c r="F186" s="19"/>
      <c r="G186" s="19"/>
      <c r="H186" s="618"/>
      <c r="I186" s="618"/>
      <c r="J186" s="618"/>
      <c r="K186" s="611"/>
      <c r="L186" s="618"/>
      <c r="M186" s="618"/>
      <c r="N186" s="19"/>
      <c r="O186" s="19"/>
      <c r="P186" s="19"/>
      <c r="Q186" s="19"/>
      <c r="R186" s="19"/>
    </row>
    <row r="187" spans="1:18" ht="12.75">
      <c r="A187" s="19"/>
      <c r="B187" s="19"/>
      <c r="C187" s="19"/>
      <c r="D187" s="19"/>
      <c r="E187" s="19"/>
      <c r="F187" s="19"/>
      <c r="G187" s="19"/>
      <c r="H187" s="618"/>
      <c r="I187" s="618"/>
      <c r="J187" s="618"/>
      <c r="K187" s="611"/>
      <c r="L187" s="618"/>
      <c r="M187" s="618"/>
      <c r="N187" s="19"/>
      <c r="O187" s="19"/>
      <c r="P187" s="19"/>
      <c r="Q187" s="19"/>
      <c r="R187" s="19"/>
    </row>
    <row r="188" spans="1:18" ht="12.75">
      <c r="A188" s="19"/>
      <c r="B188" s="19"/>
      <c r="C188" s="19"/>
      <c r="D188" s="19"/>
      <c r="E188" s="19"/>
      <c r="F188" s="19"/>
      <c r="G188" s="19"/>
      <c r="H188" s="618"/>
      <c r="I188" s="618"/>
      <c r="J188" s="618"/>
      <c r="K188" s="611"/>
      <c r="L188" s="618"/>
      <c r="M188" s="618"/>
      <c r="N188" s="19"/>
      <c r="O188" s="19"/>
      <c r="P188" s="19"/>
      <c r="Q188" s="19"/>
      <c r="R188" s="19"/>
    </row>
    <row r="189" spans="1:18" ht="12.75">
      <c r="A189" s="19"/>
      <c r="B189" s="19" t="s">
        <v>224</v>
      </c>
      <c r="C189" s="611">
        <f>IF('Input Value'!F25=1,'Input Value'!F23,0)</f>
        <v>5000000</v>
      </c>
      <c r="D189" s="19" t="s">
        <v>225</v>
      </c>
      <c r="E189" s="19"/>
      <c r="F189" s="19"/>
      <c r="G189" s="19"/>
      <c r="H189" s="618"/>
      <c r="I189" s="618"/>
      <c r="J189" s="618"/>
      <c r="K189" s="611"/>
      <c r="L189" s="618"/>
      <c r="M189" s="618"/>
      <c r="N189" s="19"/>
      <c r="O189" s="19"/>
      <c r="P189" s="19"/>
      <c r="Q189" s="19"/>
      <c r="R189" s="19"/>
    </row>
    <row r="190" spans="1:18" ht="12.75">
      <c r="A190" s="19"/>
      <c r="B190" s="19" t="s">
        <v>226</v>
      </c>
      <c r="C190" s="429">
        <v>0.35</v>
      </c>
      <c r="D190" s="19"/>
      <c r="E190" s="19"/>
      <c r="F190" s="19"/>
      <c r="G190" s="19"/>
      <c r="H190" s="618"/>
      <c r="I190" s="618"/>
      <c r="J190" s="618"/>
      <c r="K190" s="611"/>
      <c r="L190" s="618"/>
      <c r="M190" s="618"/>
      <c r="N190" s="19"/>
      <c r="O190" s="19"/>
      <c r="P190" s="19"/>
      <c r="Q190" s="19"/>
      <c r="R190" s="19"/>
    </row>
    <row r="191" spans="1:18" ht="12.75">
      <c r="A191" s="19"/>
      <c r="B191" s="19"/>
      <c r="C191" s="19"/>
      <c r="D191" s="19"/>
      <c r="E191" s="19"/>
      <c r="F191" s="19"/>
      <c r="G191" s="19"/>
      <c r="H191" s="618"/>
      <c r="I191" s="618"/>
      <c r="J191" s="618"/>
      <c r="K191" s="611"/>
      <c r="L191" s="618"/>
      <c r="M191" s="618"/>
      <c r="N191" s="19"/>
      <c r="O191" s="19"/>
      <c r="P191" s="19"/>
      <c r="Q191" s="19"/>
      <c r="R191" s="19"/>
    </row>
    <row r="192" spans="3:12" ht="12.75">
      <c r="C192" s="626"/>
      <c r="E192" s="626"/>
      <c r="H192" s="632"/>
      <c r="I192" s="632"/>
      <c r="J192" s="632"/>
      <c r="K192" s="632"/>
      <c r="L192" s="632"/>
    </row>
    <row r="193" spans="3:12" ht="12.75">
      <c r="C193" s="626"/>
      <c r="E193" s="626"/>
      <c r="H193" s="632"/>
      <c r="I193" s="632"/>
      <c r="J193" s="632"/>
      <c r="K193" s="632"/>
      <c r="L193" s="632"/>
    </row>
    <row r="194" spans="3:12" ht="12.75">
      <c r="C194" s="626"/>
      <c r="E194" s="626"/>
      <c r="H194" s="632"/>
      <c r="I194" s="632"/>
      <c r="J194" s="632"/>
      <c r="K194" s="632"/>
      <c r="L194" s="632"/>
    </row>
    <row r="195" spans="3:12" ht="12.75">
      <c r="C195" s="626"/>
      <c r="E195" s="626"/>
      <c r="H195" s="632"/>
      <c r="I195" s="632"/>
      <c r="J195" s="632"/>
      <c r="K195" s="632"/>
      <c r="L195" s="632"/>
    </row>
    <row r="196" spans="3:12" ht="12.75">
      <c r="C196" s="626"/>
      <c r="E196" s="626"/>
      <c r="H196" s="632"/>
      <c r="I196" s="632"/>
      <c r="J196" s="632"/>
      <c r="K196" s="632"/>
      <c r="L196" s="632"/>
    </row>
    <row r="197" spans="3:12" ht="12.75">
      <c r="C197" s="626"/>
      <c r="E197" s="626"/>
      <c r="H197" s="632"/>
      <c r="I197" s="632"/>
      <c r="J197" s="632"/>
      <c r="K197" s="632"/>
      <c r="L197" s="632"/>
    </row>
    <row r="198" spans="3:12" ht="12.75">
      <c r="C198" s="626"/>
      <c r="E198" s="626"/>
      <c r="H198" s="632"/>
      <c r="I198" s="632"/>
      <c r="J198" s="632"/>
      <c r="K198" s="632"/>
      <c r="L198" s="632"/>
    </row>
    <row r="199" spans="3:12" ht="12.75">
      <c r="C199" s="626"/>
      <c r="E199" s="626"/>
      <c r="J199" s="632"/>
      <c r="K199" s="632"/>
      <c r="L199" s="632"/>
    </row>
    <row r="200" spans="3:12" ht="12.75">
      <c r="C200" s="626"/>
      <c r="E200" s="626"/>
      <c r="J200" s="632"/>
      <c r="K200" s="632"/>
      <c r="L200" s="632"/>
    </row>
    <row r="201" spans="3:12" ht="12.75">
      <c r="C201" s="626"/>
      <c r="E201" s="626"/>
      <c r="J201" s="632"/>
      <c r="K201" s="632"/>
      <c r="L201" s="632"/>
    </row>
    <row r="202" spans="3:12" ht="12.75">
      <c r="C202" s="626"/>
      <c r="E202" s="626"/>
      <c r="J202" s="632"/>
      <c r="K202" s="632"/>
      <c r="L202" s="632"/>
    </row>
    <row r="203" spans="3:12" ht="12.75">
      <c r="C203" s="626"/>
      <c r="E203" s="626"/>
      <c r="J203" s="632"/>
      <c r="K203" s="632"/>
      <c r="L203" s="632"/>
    </row>
    <row r="204" spans="3:12" ht="12.75">
      <c r="C204" s="626"/>
      <c r="E204" s="626"/>
      <c r="J204" s="632"/>
      <c r="K204" s="632"/>
      <c r="L204" s="632"/>
    </row>
    <row r="205" spans="3:12" ht="12.75">
      <c r="C205" s="626"/>
      <c r="E205" s="626"/>
      <c r="J205" s="632"/>
      <c r="K205" s="632"/>
      <c r="L205" s="632"/>
    </row>
    <row r="206" spans="3:12" ht="12.75">
      <c r="C206" s="626"/>
      <c r="E206" s="626"/>
      <c r="J206" s="632"/>
      <c r="K206" s="632"/>
      <c r="L206" s="632"/>
    </row>
    <row r="207" spans="3:12" ht="12.75">
      <c r="C207" s="626"/>
      <c r="E207" s="626"/>
      <c r="J207" s="632"/>
      <c r="K207" s="632"/>
      <c r="L207" s="632"/>
    </row>
    <row r="208" spans="3:12" ht="12.75">
      <c r="C208" s="626"/>
      <c r="E208" s="626"/>
      <c r="J208" s="632"/>
      <c r="K208" s="632"/>
      <c r="L208" s="632"/>
    </row>
    <row r="209" spans="3:12" ht="12.75">
      <c r="C209" s="626"/>
      <c r="E209" s="626"/>
      <c r="J209" s="632"/>
      <c r="K209" s="632"/>
      <c r="L209" s="632"/>
    </row>
    <row r="210" spans="3:12" ht="12.75">
      <c r="C210" s="626"/>
      <c r="E210" s="626"/>
      <c r="H210" s="632"/>
      <c r="I210" s="632"/>
      <c r="J210" s="632"/>
      <c r="K210" s="632"/>
      <c r="L210" s="632"/>
    </row>
    <row r="211" spans="3:12" ht="12.75">
      <c r="C211" s="626"/>
      <c r="E211" s="626"/>
      <c r="H211" s="632"/>
      <c r="I211" s="632"/>
      <c r="J211" s="632"/>
      <c r="K211" s="632"/>
      <c r="L211" s="632"/>
    </row>
    <row r="212" spans="3:12" ht="12.75">
      <c r="C212" s="626"/>
      <c r="E212" s="626"/>
      <c r="H212" s="632"/>
      <c r="I212" s="632"/>
      <c r="J212" s="632"/>
      <c r="K212" s="632"/>
      <c r="L212" s="632"/>
    </row>
    <row r="213" spans="5:12" ht="12.75">
      <c r="E213" s="626"/>
      <c r="H213" s="632"/>
      <c r="I213" s="632"/>
      <c r="J213" s="632"/>
      <c r="K213" s="632"/>
      <c r="L213" s="632"/>
    </row>
    <row r="214" spans="5:12" ht="12.75">
      <c r="E214" s="626"/>
      <c r="H214" s="632"/>
      <c r="I214" s="632"/>
      <c r="J214" s="632"/>
      <c r="K214" s="632"/>
      <c r="L214" s="632"/>
    </row>
    <row r="215" spans="5:12" ht="12.75">
      <c r="E215" s="626"/>
      <c r="H215" s="632"/>
      <c r="I215" s="632"/>
      <c r="J215" s="632"/>
      <c r="K215" s="632"/>
      <c r="L215" s="632"/>
    </row>
    <row r="216" spans="5:12" ht="12.75">
      <c r="E216" s="626"/>
      <c r="H216" s="632"/>
      <c r="I216" s="632"/>
      <c r="J216" s="632"/>
      <c r="K216" s="632"/>
      <c r="L216" s="632"/>
    </row>
    <row r="217" spans="5:12" ht="12.75">
      <c r="E217" s="626"/>
      <c r="H217" s="632"/>
      <c r="I217" s="632"/>
      <c r="J217" s="632"/>
      <c r="K217" s="632"/>
      <c r="L217" s="632"/>
    </row>
    <row r="218" spans="5:12" ht="12.75">
      <c r="E218" s="626"/>
      <c r="H218" s="632"/>
      <c r="I218" s="632"/>
      <c r="J218" s="632"/>
      <c r="K218" s="632"/>
      <c r="L218" s="632"/>
    </row>
    <row r="219" spans="5:12" ht="12.75">
      <c r="E219" s="626"/>
      <c r="H219" s="632"/>
      <c r="I219" s="632"/>
      <c r="J219" s="632"/>
      <c r="K219" s="632"/>
      <c r="L219" s="632"/>
    </row>
    <row r="220" spans="5:12" ht="12.75">
      <c r="E220" s="626"/>
      <c r="H220" s="632"/>
      <c r="I220" s="632"/>
      <c r="J220" s="632"/>
      <c r="K220" s="632"/>
      <c r="L220" s="632"/>
    </row>
    <row r="221" spans="5:12" ht="12.75">
      <c r="E221" s="626"/>
      <c r="H221" s="632"/>
      <c r="I221" s="632"/>
      <c r="J221" s="632"/>
      <c r="K221" s="632"/>
      <c r="L221" s="632"/>
    </row>
    <row r="222" spans="5:10" ht="12.75">
      <c r="E222" s="626"/>
      <c r="J222" s="626"/>
    </row>
    <row r="223" spans="5:10" ht="12.75">
      <c r="E223" s="626"/>
      <c r="J223" s="626"/>
    </row>
    <row r="224" spans="5:10" ht="12.75">
      <c r="E224" s="626"/>
      <c r="J224" s="626"/>
    </row>
    <row r="225" spans="5:10" ht="12.75">
      <c r="E225" s="626"/>
      <c r="J225" s="626"/>
    </row>
    <row r="226" spans="5:10" ht="12.75">
      <c r="E226" s="626"/>
      <c r="J226" s="626"/>
    </row>
    <row r="227" spans="5:10" ht="12.75">
      <c r="E227" s="626"/>
      <c r="J227" s="626"/>
    </row>
    <row r="228" spans="5:10" ht="12.75">
      <c r="E228" s="626"/>
      <c r="J228" s="626"/>
    </row>
    <row r="229" spans="5:10" ht="12.75">
      <c r="E229" s="626"/>
      <c r="J229" s="626"/>
    </row>
    <row r="230" spans="5:10" ht="12.75">
      <c r="E230" s="626"/>
      <c r="J230" s="626"/>
    </row>
    <row r="231" spans="5:10" ht="12.75">
      <c r="E231" s="626"/>
      <c r="J231" s="626"/>
    </row>
    <row r="232" ht="12.75">
      <c r="E232" s="626"/>
    </row>
    <row r="233" ht="12.75">
      <c r="E233" s="626"/>
    </row>
  </sheetData>
  <sheetProtection password="C977" sheet="1"/>
  <printOptions gridLines="1"/>
  <pageMargins left="0.5" right="0.5" top="1" bottom="1" header="0.5" footer="0.5"/>
  <pageSetup horizontalDpi="600" verticalDpi="600" orientation="landscape" paperSize="5" r:id="rId1"/>
  <headerFooter alignWithMargins="0">
    <oddHeader>&amp;CPRELIMINARY</oddHeader>
    <oddFooter>&amp;L&amp;BOklahoma State University Confidential&amp;B&amp;C&amp;D&amp;RPage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35" customWidth="1"/>
    <col min="2" max="2" width="21.8515625" style="0" customWidth="1"/>
    <col min="3" max="3" width="15.421875" style="0" customWidth="1"/>
    <col min="6" max="6" width="11.00390625" style="0" bestFit="1" customWidth="1"/>
    <col min="10" max="10" width="11.8515625" style="0" customWidth="1"/>
    <col min="11" max="11" width="10.57421875" style="0" customWidth="1"/>
    <col min="12" max="12" width="10.7109375" style="0" customWidth="1"/>
    <col min="14" max="14" width="16.7109375" style="0" customWidth="1"/>
    <col min="15" max="15" width="13.421875" style="0" customWidth="1"/>
    <col min="20" max="20" width="12.28125" style="0" customWidth="1"/>
    <col min="24" max="24" width="19.140625" style="335" customWidth="1"/>
    <col min="25" max="25" width="9.140625" style="335" customWidth="1"/>
    <col min="26" max="26" width="11.421875" style="335" customWidth="1"/>
    <col min="27" max="16384" width="9.140625" style="335" customWidth="1"/>
  </cols>
  <sheetData>
    <row r="1" spans="2:3" ht="12.75">
      <c r="B1" s="164"/>
      <c r="C1" s="164"/>
    </row>
    <row r="2" spans="2:8" ht="12.75">
      <c r="B2" s="410"/>
      <c r="C2" s="410"/>
      <c r="D2" s="410"/>
      <c r="E2" s="410"/>
      <c r="F2" s="410"/>
      <c r="G2" s="410"/>
      <c r="H2" s="410"/>
    </row>
    <row r="3" spans="2:8" ht="12.75">
      <c r="B3" s="161" t="s">
        <v>868</v>
      </c>
      <c r="C3" s="410"/>
      <c r="D3" s="410"/>
      <c r="E3" s="410"/>
      <c r="F3" s="410"/>
      <c r="G3" s="410"/>
      <c r="H3" s="410"/>
    </row>
    <row r="4" spans="2:11" ht="12.75">
      <c r="B4" s="161" t="s">
        <v>869</v>
      </c>
      <c r="C4" s="410"/>
      <c r="D4" s="410"/>
      <c r="E4" s="410"/>
      <c r="F4" s="528">
        <f>Equipment!K181</f>
        <v>1984.0923947344393</v>
      </c>
      <c r="G4" s="161" t="s">
        <v>866</v>
      </c>
      <c r="H4" s="410"/>
      <c r="J4" s="167"/>
      <c r="K4" s="167"/>
    </row>
    <row r="5" spans="2:11" ht="12.75">
      <c r="B5" s="410"/>
      <c r="C5" s="527"/>
      <c r="D5" s="410"/>
      <c r="E5" s="410"/>
      <c r="F5" s="414"/>
      <c r="G5" s="410"/>
      <c r="H5" s="410"/>
      <c r="I5" s="239"/>
      <c r="J5" s="167"/>
      <c r="K5" s="167"/>
    </row>
    <row r="6" spans="2:11" ht="12.75">
      <c r="B6" s="410"/>
      <c r="C6" s="410"/>
      <c r="D6" s="410"/>
      <c r="E6" s="410"/>
      <c r="F6" s="414"/>
      <c r="G6" s="415"/>
      <c r="H6" s="414"/>
      <c r="I6" s="239"/>
      <c r="J6" s="167"/>
      <c r="K6" s="167"/>
    </row>
    <row r="7" spans="2:11" ht="12.75">
      <c r="B7" s="1" t="s">
        <v>871</v>
      </c>
      <c r="C7" s="410"/>
      <c r="D7" s="410"/>
      <c r="E7" s="410"/>
      <c r="F7" s="414"/>
      <c r="G7" s="410"/>
      <c r="H7" s="410"/>
      <c r="I7" s="239"/>
      <c r="J7" s="524" t="s">
        <v>849</v>
      </c>
      <c r="K7" s="167"/>
    </row>
    <row r="8" spans="2:10" ht="12.75">
      <c r="B8" s="410" t="s">
        <v>233</v>
      </c>
      <c r="C8" s="410"/>
      <c r="D8" s="410"/>
      <c r="E8" s="410"/>
      <c r="F8" s="410"/>
      <c r="G8" s="410"/>
      <c r="H8" s="410"/>
      <c r="J8" s="1" t="s">
        <v>872</v>
      </c>
    </row>
    <row r="9" spans="2:8" ht="12.75">
      <c r="B9" s="410" t="s">
        <v>235</v>
      </c>
      <c r="C9" s="411">
        <v>0.456</v>
      </c>
      <c r="D9" s="410" t="s">
        <v>236</v>
      </c>
      <c r="E9" s="410"/>
      <c r="F9" s="410"/>
      <c r="G9" s="410"/>
      <c r="H9" s="410"/>
    </row>
    <row r="10" spans="1:14" ht="12.75">
      <c r="A10"/>
      <c r="B10" s="410" t="s">
        <v>240</v>
      </c>
      <c r="C10" s="411">
        <v>0.915</v>
      </c>
      <c r="D10" s="410">
        <f>C10*C24</f>
        <v>7.62195</v>
      </c>
      <c r="E10" s="410" t="s">
        <v>128</v>
      </c>
      <c r="F10" s="410" t="s">
        <v>133</v>
      </c>
      <c r="G10" s="410"/>
      <c r="H10" s="410"/>
      <c r="J10" t="s">
        <v>228</v>
      </c>
      <c r="N10" s="161" t="s">
        <v>862</v>
      </c>
    </row>
    <row r="11" spans="1:29" ht="12.75">
      <c r="A11"/>
      <c r="B11" s="410" t="s">
        <v>242</v>
      </c>
      <c r="C11" s="417">
        <v>959.04</v>
      </c>
      <c r="D11" s="418" t="s">
        <v>243</v>
      </c>
      <c r="E11" s="410"/>
      <c r="F11" s="410"/>
      <c r="G11" s="410"/>
      <c r="H11" s="410"/>
      <c r="J11" t="s">
        <v>848</v>
      </c>
      <c r="N11" s="410" t="s">
        <v>256</v>
      </c>
      <c r="O11" s="411"/>
      <c r="P11" s="410"/>
      <c r="R11" t="s">
        <v>229</v>
      </c>
      <c r="W11" t="s">
        <v>230</v>
      </c>
      <c r="X11"/>
      <c r="Y11"/>
      <c r="Z11"/>
      <c r="AA11" t="s">
        <v>108</v>
      </c>
      <c r="AB11" s="235"/>
      <c r="AC11"/>
    </row>
    <row r="12" spans="1:29" ht="12.75">
      <c r="A12"/>
      <c r="B12" s="410" t="s">
        <v>242</v>
      </c>
      <c r="C12" s="410">
        <f>C11*0.0022046</f>
        <v>2.114299584</v>
      </c>
      <c r="D12" s="410" t="s">
        <v>246</v>
      </c>
      <c r="E12" s="410"/>
      <c r="F12" s="418"/>
      <c r="G12" s="410"/>
      <c r="H12" s="410"/>
      <c r="J12" s="359" t="s">
        <v>231</v>
      </c>
      <c r="K12">
        <v>65</v>
      </c>
      <c r="L12" t="s">
        <v>232</v>
      </c>
      <c r="N12" s="410" t="s">
        <v>235</v>
      </c>
      <c r="O12" s="411">
        <v>0.609</v>
      </c>
      <c r="P12" s="418" t="s">
        <v>236</v>
      </c>
      <c r="R12" t="s">
        <v>231</v>
      </c>
      <c r="S12">
        <v>65</v>
      </c>
      <c r="T12" t="s">
        <v>232</v>
      </c>
      <c r="W12" s="359" t="s">
        <v>231</v>
      </c>
      <c r="X12">
        <v>65</v>
      </c>
      <c r="Y12" t="s">
        <v>232</v>
      </c>
      <c r="Z12"/>
      <c r="AA12" t="s">
        <v>109</v>
      </c>
      <c r="AB12" s="235"/>
      <c r="AC12"/>
    </row>
    <row r="13" spans="1:29" ht="12.75">
      <c r="A13"/>
      <c r="B13" s="410" t="s">
        <v>249</v>
      </c>
      <c r="C13" s="436">
        <v>0.113</v>
      </c>
      <c r="D13" s="410"/>
      <c r="E13" s="410"/>
      <c r="F13" s="410"/>
      <c r="G13" s="410"/>
      <c r="H13" s="410"/>
      <c r="J13" s="359" t="s">
        <v>234</v>
      </c>
      <c r="K13">
        <v>270</v>
      </c>
      <c r="L13" t="s">
        <v>232</v>
      </c>
      <c r="N13" s="410" t="s">
        <v>257</v>
      </c>
      <c r="O13" s="411">
        <v>0.796</v>
      </c>
      <c r="P13" s="410"/>
      <c r="R13" t="s">
        <v>234</v>
      </c>
      <c r="S13">
        <v>180</v>
      </c>
      <c r="T13" t="s">
        <v>232</v>
      </c>
      <c r="W13" s="359" t="s">
        <v>234</v>
      </c>
      <c r="X13">
        <v>180</v>
      </c>
      <c r="Y13" t="s">
        <v>232</v>
      </c>
      <c r="Z13"/>
      <c r="AA13">
        <f>5*C24*C10*60*1.2</f>
        <v>2743.902</v>
      </c>
      <c r="AB13" s="235" t="s">
        <v>110</v>
      </c>
      <c r="AC13"/>
    </row>
    <row r="14" spans="1:29" ht="12.75">
      <c r="A14"/>
      <c r="B14" s="410"/>
      <c r="C14" s="410"/>
      <c r="D14" s="410"/>
      <c r="E14" s="418"/>
      <c r="F14" s="418"/>
      <c r="G14" s="418"/>
      <c r="H14" s="416"/>
      <c r="J14" t="s">
        <v>237</v>
      </c>
      <c r="K14">
        <v>65</v>
      </c>
      <c r="L14" t="s">
        <v>238</v>
      </c>
      <c r="N14" s="410" t="s">
        <v>258</v>
      </c>
      <c r="O14" s="411">
        <v>506</v>
      </c>
      <c r="P14" s="410" t="s">
        <v>259</v>
      </c>
      <c r="R14" t="s">
        <v>239</v>
      </c>
      <c r="S14">
        <v>83</v>
      </c>
      <c r="T14" t="s">
        <v>238</v>
      </c>
      <c r="W14" t="s">
        <v>237</v>
      </c>
      <c r="X14">
        <v>90</v>
      </c>
      <c r="Y14" t="s">
        <v>238</v>
      </c>
      <c r="Z14"/>
      <c r="AA14" s="235">
        <v>0.5</v>
      </c>
      <c r="AB14" s="235" t="s">
        <v>112</v>
      </c>
      <c r="AC14"/>
    </row>
    <row r="15" spans="1:29" ht="12.75">
      <c r="A15"/>
      <c r="B15" t="s">
        <v>262</v>
      </c>
      <c r="C15" s="235"/>
      <c r="E15" s="410"/>
      <c r="F15" s="410"/>
      <c r="G15" s="410"/>
      <c r="H15" s="410"/>
      <c r="J15" t="s">
        <v>241</v>
      </c>
      <c r="K15">
        <v>35</v>
      </c>
      <c r="N15" s="410" t="s">
        <v>260</v>
      </c>
      <c r="O15" s="411">
        <v>148.9</v>
      </c>
      <c r="P15" s="410" t="s">
        <v>232</v>
      </c>
      <c r="R15" t="s">
        <v>227</v>
      </c>
      <c r="S15">
        <v>17</v>
      </c>
      <c r="W15" t="s">
        <v>227</v>
      </c>
      <c r="X15">
        <v>10</v>
      </c>
      <c r="Y15"/>
      <c r="Z15"/>
      <c r="AA15">
        <v>80</v>
      </c>
      <c r="AB15" s="235" t="s">
        <v>113</v>
      </c>
      <c r="AC15"/>
    </row>
    <row r="16" spans="1:29" ht="12.75">
      <c r="A16"/>
      <c r="B16" t="s">
        <v>257</v>
      </c>
      <c r="C16" s="235">
        <v>1.2613</v>
      </c>
      <c r="E16" s="410"/>
      <c r="F16" s="410"/>
      <c r="G16" s="410"/>
      <c r="H16" s="410"/>
      <c r="J16" t="s">
        <v>244</v>
      </c>
      <c r="K16" s="235">
        <f>C9*K14/100+O12*K15/100</f>
        <v>0.50955</v>
      </c>
      <c r="L16" s="358" t="s">
        <v>245</v>
      </c>
      <c r="N16" s="410" t="s">
        <v>261</v>
      </c>
      <c r="O16" s="417">
        <v>32.04</v>
      </c>
      <c r="P16" s="410" t="s">
        <v>243</v>
      </c>
      <c r="R16" t="s">
        <v>244</v>
      </c>
      <c r="S16" s="235">
        <f>C17*S14/100+1*S15/100</f>
        <v>0.6514</v>
      </c>
      <c r="T16" s="358" t="s">
        <v>245</v>
      </c>
      <c r="W16" t="s">
        <v>244</v>
      </c>
      <c r="X16" s="235">
        <f>C9*X14/100+C25*X15/100</f>
        <v>0.5104</v>
      </c>
      <c r="Y16" s="358" t="s">
        <v>245</v>
      </c>
      <c r="Z16"/>
      <c r="AA16">
        <f>AA15*AA14*AA13/0.8</f>
        <v>137195.1</v>
      </c>
      <c r="AB16" s="235" t="s">
        <v>70</v>
      </c>
      <c r="AC16" t="s">
        <v>114</v>
      </c>
    </row>
    <row r="17" spans="1:29" ht="12.75">
      <c r="A17"/>
      <c r="B17" t="s">
        <v>235</v>
      </c>
      <c r="C17" s="235">
        <v>0.58</v>
      </c>
      <c r="D17" t="s">
        <v>245</v>
      </c>
      <c r="E17" s="410"/>
      <c r="F17" s="410"/>
      <c r="G17" s="410"/>
      <c r="H17" s="410"/>
      <c r="J17" s="358" t="s">
        <v>247</v>
      </c>
      <c r="K17" s="167">
        <v>118.49585348440544</v>
      </c>
      <c r="L17" s="358" t="s">
        <v>248</v>
      </c>
      <c r="N17" s="410" t="s">
        <v>261</v>
      </c>
      <c r="O17" s="411">
        <f>O16*0.0022046</f>
        <v>0.07063538400000001</v>
      </c>
      <c r="P17" s="410" t="s">
        <v>246</v>
      </c>
      <c r="R17" t="s">
        <v>247</v>
      </c>
      <c r="S17" s="167">
        <v>12.067383416666667</v>
      </c>
      <c r="T17" s="358" t="s">
        <v>248</v>
      </c>
      <c r="W17" s="358" t="s">
        <v>247</v>
      </c>
      <c r="X17" s="167">
        <v>75.61871527777777</v>
      </c>
      <c r="Y17" s="358" t="s">
        <v>248</v>
      </c>
      <c r="Z17"/>
      <c r="AA17">
        <f>AA16/1000</f>
        <v>137.1951</v>
      </c>
      <c r="AB17" s="235" t="s">
        <v>115</v>
      </c>
      <c r="AC17"/>
    </row>
    <row r="18" spans="1:31" ht="12.75">
      <c r="A18"/>
      <c r="B18" s="410" t="s">
        <v>132</v>
      </c>
      <c r="C18" s="413">
        <v>0.1</v>
      </c>
      <c r="D18" s="410" t="s">
        <v>129</v>
      </c>
      <c r="E18" s="410"/>
      <c r="F18" s="410"/>
      <c r="G18" s="410"/>
      <c r="H18" s="410"/>
      <c r="J18" s="358" t="s">
        <v>251</v>
      </c>
      <c r="K18" s="358">
        <v>75</v>
      </c>
      <c r="L18" t="s">
        <v>250</v>
      </c>
      <c r="N18" s="161" t="s">
        <v>827</v>
      </c>
      <c r="O18" s="526">
        <v>0.75</v>
      </c>
      <c r="R18" t="s">
        <v>251</v>
      </c>
      <c r="S18" s="358">
        <v>75</v>
      </c>
      <c r="T18" t="s">
        <v>250</v>
      </c>
      <c r="W18" s="358" t="s">
        <v>251</v>
      </c>
      <c r="X18" s="358">
        <v>75</v>
      </c>
      <c r="Y18" t="s">
        <v>250</v>
      </c>
      <c r="Z18"/>
      <c r="AA18"/>
      <c r="AB18" s="235"/>
      <c r="AC18"/>
      <c r="AD18"/>
      <c r="AE18"/>
    </row>
    <row r="19" spans="1:31" ht="12.75">
      <c r="A19"/>
      <c r="B19" s="410"/>
      <c r="C19" s="411"/>
      <c r="D19" s="410"/>
      <c r="E19" s="410"/>
      <c r="F19" s="410"/>
      <c r="G19" s="410"/>
      <c r="H19" s="410"/>
      <c r="J19" s="358" t="s">
        <v>252</v>
      </c>
      <c r="K19" s="358">
        <f>K17*K16*(K13-K12)/75*100</f>
        <v>16503.746985747533</v>
      </c>
      <c r="L19" s="358" t="s">
        <v>253</v>
      </c>
      <c r="M19" t="s">
        <v>254</v>
      </c>
      <c r="N19" s="410" t="s">
        <v>131</v>
      </c>
      <c r="O19" s="413">
        <v>0.13</v>
      </c>
      <c r="P19" s="410" t="s">
        <v>130</v>
      </c>
      <c r="R19" s="358" t="s">
        <v>252</v>
      </c>
      <c r="S19" s="358">
        <f>S17*S16*(S13-S12)/75*100</f>
        <v>1205.3063455012223</v>
      </c>
      <c r="T19" s="358" t="s">
        <v>253</v>
      </c>
      <c r="U19" t="s">
        <v>254</v>
      </c>
      <c r="W19" s="358" t="s">
        <v>252</v>
      </c>
      <c r="X19" s="358">
        <f>X17*X16*(X13-X12)/75*100</f>
        <v>5918.021482592591</v>
      </c>
      <c r="Y19" s="358" t="s">
        <v>253</v>
      </c>
      <c r="Z19"/>
      <c r="AD19"/>
      <c r="AE19"/>
    </row>
    <row r="20" spans="1:31" ht="12.75">
      <c r="A20"/>
      <c r="B20" s="410" t="s">
        <v>263</v>
      </c>
      <c r="C20" s="411"/>
      <c r="D20" s="410" t="s">
        <v>128</v>
      </c>
      <c r="E20" s="410"/>
      <c r="F20" s="410"/>
      <c r="G20" s="410"/>
      <c r="H20" s="410"/>
      <c r="J20" s="358" t="s">
        <v>255</v>
      </c>
      <c r="K20">
        <v>1.35</v>
      </c>
      <c r="N20" s="525" t="s">
        <v>864</v>
      </c>
      <c r="O20" s="410">
        <f>('Input Value'!F23*'Input Value'!I63)*O19</f>
        <v>4940000</v>
      </c>
      <c r="P20" s="418"/>
      <c r="R20" t="s">
        <v>255</v>
      </c>
      <c r="S20">
        <v>1.35</v>
      </c>
      <c r="W20" s="358" t="s">
        <v>255</v>
      </c>
      <c r="X20">
        <v>1.35</v>
      </c>
      <c r="Y20"/>
      <c r="Z20"/>
      <c r="AD20" t="s">
        <v>16</v>
      </c>
      <c r="AE20" t="s">
        <v>111</v>
      </c>
    </row>
    <row r="21" spans="1:31" ht="12.75">
      <c r="A21"/>
      <c r="B21" s="410" t="s">
        <v>257</v>
      </c>
      <c r="C21" s="411">
        <v>0.88</v>
      </c>
      <c r="D21" s="410">
        <f>C21*C24</f>
        <v>7.3304</v>
      </c>
      <c r="E21" s="410"/>
      <c r="F21" s="410"/>
      <c r="G21" s="410"/>
      <c r="H21" s="410"/>
      <c r="J21" s="358" t="s">
        <v>252</v>
      </c>
      <c r="K21" s="358">
        <f>K19*K20</f>
        <v>22280.05843075917</v>
      </c>
      <c r="L21" s="358" t="s">
        <v>253</v>
      </c>
      <c r="N21" s="161" t="s">
        <v>865</v>
      </c>
      <c r="O21">
        <f>O20/'Input Value'!F46</f>
        <v>633.3333333333334</v>
      </c>
      <c r="R21" t="s">
        <v>252</v>
      </c>
      <c r="S21" s="358">
        <f>S19*S20</f>
        <v>1627.1635664266503</v>
      </c>
      <c r="T21" s="358" t="s">
        <v>253</v>
      </c>
      <c r="W21" s="358" t="s">
        <v>252</v>
      </c>
      <c r="X21" s="358">
        <f>X19*X20</f>
        <v>7989.329001499999</v>
      </c>
      <c r="Y21" s="358" t="s">
        <v>253</v>
      </c>
      <c r="Z21"/>
      <c r="AD21"/>
      <c r="AE21"/>
    </row>
    <row r="22" spans="1:31" ht="12.75">
      <c r="A22"/>
      <c r="C22" s="235"/>
      <c r="E22" s="410"/>
      <c r="F22" s="410"/>
      <c r="G22" s="410"/>
      <c r="H22" s="410"/>
      <c r="K22" s="358">
        <f>K21*60</f>
        <v>1336803.5058455502</v>
      </c>
      <c r="L22" s="358" t="s">
        <v>70</v>
      </c>
      <c r="N22" s="161" t="s">
        <v>867</v>
      </c>
      <c r="O22">
        <f>O21*O14</f>
        <v>320466.6666666667</v>
      </c>
      <c r="P22" s="161" t="s">
        <v>70</v>
      </c>
      <c r="S22" s="358">
        <f>S21*60</f>
        <v>97629.81398559902</v>
      </c>
      <c r="T22" s="358" t="s">
        <v>70</v>
      </c>
      <c r="X22" s="358">
        <f>X21*60</f>
        <v>479359.74009</v>
      </c>
      <c r="Y22" s="358" t="s">
        <v>70</v>
      </c>
      <c r="Z22"/>
      <c r="AD22"/>
      <c r="AE22"/>
    </row>
    <row r="23" spans="1:31" ht="12.75">
      <c r="A23"/>
      <c r="B23" t="s">
        <v>264</v>
      </c>
      <c r="C23" s="235"/>
      <c r="E23" s="410"/>
      <c r="F23" s="410"/>
      <c r="G23" s="410"/>
      <c r="H23" s="410"/>
      <c r="J23" s="418" t="s">
        <v>752</v>
      </c>
      <c r="K23" s="410">
        <f>K22/1000</f>
        <v>1336.8035058455503</v>
      </c>
      <c r="L23" s="418" t="s">
        <v>751</v>
      </c>
      <c r="M23" s="410"/>
      <c r="N23" s="161" t="s">
        <v>752</v>
      </c>
      <c r="O23">
        <f>(O22/1000)/O18</f>
        <v>427.28888888888895</v>
      </c>
      <c r="R23" s="410" t="s">
        <v>752</v>
      </c>
      <c r="S23" s="410">
        <f>S22/1000</f>
        <v>97.62981398559901</v>
      </c>
      <c r="T23" s="418" t="s">
        <v>753</v>
      </c>
      <c r="U23" s="410"/>
      <c r="V23" s="410"/>
      <c r="W23" s="418" t="s">
        <v>752</v>
      </c>
      <c r="X23" s="410">
        <f>X22/1000</f>
        <v>479.35974009</v>
      </c>
      <c r="Y23" s="418" t="s">
        <v>753</v>
      </c>
      <c r="Z23"/>
      <c r="AD23"/>
      <c r="AE23"/>
    </row>
    <row r="24" spans="1:31" ht="12.75">
      <c r="A24"/>
      <c r="B24" t="s">
        <v>265</v>
      </c>
      <c r="C24" s="235">
        <v>8.33</v>
      </c>
      <c r="D24" t="s">
        <v>157</v>
      </c>
      <c r="E24" s="410"/>
      <c r="F24" s="410"/>
      <c r="G24" s="410"/>
      <c r="H24" s="410"/>
      <c r="AD24"/>
      <c r="AE24"/>
    </row>
    <row r="25" spans="1:31" ht="12.75">
      <c r="A25"/>
      <c r="B25" t="s">
        <v>266</v>
      </c>
      <c r="C25" s="235">
        <v>1</v>
      </c>
      <c r="D25" t="s">
        <v>245</v>
      </c>
      <c r="E25" s="410"/>
      <c r="F25" s="410"/>
      <c r="G25" s="410"/>
      <c r="H25" s="418"/>
      <c r="AD25"/>
      <c r="AE25"/>
    </row>
    <row r="26" spans="1:10" ht="12.75">
      <c r="A26"/>
      <c r="E26" s="410"/>
      <c r="F26" s="410"/>
      <c r="G26" s="410"/>
      <c r="H26" s="418"/>
      <c r="I26" s="358"/>
      <c r="J26" t="s">
        <v>267</v>
      </c>
    </row>
    <row r="27" spans="1:11" ht="12.75">
      <c r="A27"/>
      <c r="B27" s="410" t="s">
        <v>839</v>
      </c>
      <c r="C27" s="411"/>
      <c r="H27" s="410"/>
      <c r="J27" s="175">
        <v>33.90769725938108</v>
      </c>
      <c r="K27" t="s">
        <v>268</v>
      </c>
    </row>
    <row r="28" spans="1:11" ht="12.75">
      <c r="A28"/>
      <c r="B28" s="410" t="s">
        <v>850</v>
      </c>
      <c r="C28" s="522">
        <v>0.01</v>
      </c>
      <c r="D28" t="s">
        <v>129</v>
      </c>
      <c r="H28" s="410"/>
      <c r="J28" s="175">
        <f>O14</f>
        <v>506</v>
      </c>
      <c r="K28" t="s">
        <v>269</v>
      </c>
    </row>
    <row r="29" spans="1:11" ht="12.75">
      <c r="A29"/>
      <c r="B29" s="433"/>
      <c r="C29" s="412"/>
      <c r="H29" s="410"/>
      <c r="J29">
        <v>65</v>
      </c>
      <c r="K29" t="s">
        <v>270</v>
      </c>
    </row>
    <row r="30" spans="1:11" ht="12.75">
      <c r="A30"/>
      <c r="B30" t="s">
        <v>104</v>
      </c>
      <c r="C30" s="235"/>
      <c r="H30" s="410"/>
      <c r="J30">
        <v>125</v>
      </c>
      <c r="K30" t="s">
        <v>271</v>
      </c>
    </row>
    <row r="31" spans="1:11" ht="12.75">
      <c r="A31"/>
      <c r="B31" s="161" t="s">
        <v>870</v>
      </c>
      <c r="C31" s="235"/>
      <c r="H31" s="410"/>
      <c r="J31" s="358">
        <f>J28*J27</f>
        <v>17157.294813246826</v>
      </c>
      <c r="K31" t="s">
        <v>272</v>
      </c>
    </row>
    <row r="32" spans="1:11" ht="12.75">
      <c r="A32"/>
      <c r="B32">
        <v>35</v>
      </c>
      <c r="C32" s="235" t="s">
        <v>105</v>
      </c>
      <c r="H32" s="410"/>
      <c r="J32" s="358">
        <f>J31*60</f>
        <v>1029437.6887948096</v>
      </c>
      <c r="K32" t="s">
        <v>70</v>
      </c>
    </row>
    <row r="33" spans="1:11" ht="12.75">
      <c r="A33"/>
      <c r="B33">
        <f>'Market Projection'!F7/'Input Value'!F42</f>
        <v>136.8</v>
      </c>
      <c r="C33" s="235" t="s">
        <v>106</v>
      </c>
      <c r="H33" s="410"/>
      <c r="J33" s="358">
        <f>J31/(J30-J29)</f>
        <v>285.9549135541138</v>
      </c>
      <c r="K33" t="s">
        <v>273</v>
      </c>
    </row>
    <row r="34" spans="1:11" ht="12.75">
      <c r="A34"/>
      <c r="B34">
        <f>B33/24*2000</f>
        <v>11400</v>
      </c>
      <c r="C34" s="235" t="s">
        <v>16</v>
      </c>
      <c r="H34" s="410"/>
      <c r="J34" s="358">
        <f>J33/8.3</f>
        <v>34.4523992233872</v>
      </c>
      <c r="K34" t="s">
        <v>274</v>
      </c>
    </row>
    <row r="35" spans="1:11" ht="12.75">
      <c r="A35"/>
      <c r="B35">
        <v>0.35</v>
      </c>
      <c r="C35" s="235" t="s">
        <v>245</v>
      </c>
      <c r="H35" s="410"/>
      <c r="J35" s="1" t="s">
        <v>861</v>
      </c>
      <c r="K35" s="410"/>
    </row>
    <row r="36" spans="1:10" ht="12.75">
      <c r="A36"/>
      <c r="B36">
        <f>B35*B34*B32</f>
        <v>139649.99999999997</v>
      </c>
      <c r="C36" s="235" t="s">
        <v>70</v>
      </c>
      <c r="H36" s="410"/>
      <c r="J36" s="1" t="s">
        <v>863</v>
      </c>
    </row>
    <row r="37" spans="1:8" ht="12.75">
      <c r="A37"/>
      <c r="B37">
        <v>1031</v>
      </c>
      <c r="C37" s="235" t="s">
        <v>630</v>
      </c>
      <c r="H37" s="410"/>
    </row>
    <row r="38" spans="1:8" ht="12.75">
      <c r="A38"/>
      <c r="B38">
        <f>B36/B37</f>
        <v>135.45101842870997</v>
      </c>
      <c r="C38" s="235" t="s">
        <v>107</v>
      </c>
      <c r="H38" s="410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spans="1:12" ht="12.75">
      <c r="A66"/>
      <c r="L66" s="410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spans="1:3" ht="12.75">
      <c r="A75"/>
      <c r="C75" s="235"/>
    </row>
    <row r="76" spans="1:3" ht="12.75">
      <c r="A76"/>
      <c r="C76" s="235"/>
    </row>
    <row r="77" spans="1:3" ht="12.75">
      <c r="A77"/>
      <c r="C77" s="235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spans="1:3" ht="12.75">
      <c r="A86"/>
      <c r="B86" t="s">
        <v>57</v>
      </c>
      <c r="C86" s="235"/>
    </row>
    <row r="87" spans="1:5" ht="12.75">
      <c r="A87"/>
      <c r="B87">
        <f>(AA13-(AA13/1.2))*0.15</f>
        <v>68.59755</v>
      </c>
      <c r="C87" s="235" t="s">
        <v>116</v>
      </c>
      <c r="E87" t="s">
        <v>117</v>
      </c>
    </row>
    <row r="88" spans="1:3" ht="12.75">
      <c r="A88"/>
      <c r="B88">
        <f>B87/0.75</f>
        <v>91.4634</v>
      </c>
      <c r="C88" s="235" t="s">
        <v>118</v>
      </c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</sheetData>
  <sheetProtection password="C977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C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455" customWidth="1"/>
    <col min="2" max="2" width="17.140625" style="455" customWidth="1"/>
    <col min="3" max="3" width="0.13671875" style="455" customWidth="1"/>
    <col min="4" max="4" width="12.421875" style="455" customWidth="1"/>
    <col min="5" max="5" width="26.00390625" style="455" customWidth="1"/>
    <col min="6" max="6" width="20.7109375" style="455" bestFit="1" customWidth="1"/>
    <col min="7" max="9" width="15.00390625" style="455" bestFit="1" customWidth="1"/>
    <col min="10" max="13" width="16.00390625" style="455" bestFit="1" customWidth="1"/>
    <col min="14" max="14" width="16.00390625" style="456" bestFit="1" customWidth="1"/>
    <col min="15" max="15" width="16.00390625" style="455" bestFit="1" customWidth="1"/>
    <col min="16" max="16" width="9.140625" style="455" customWidth="1"/>
    <col min="17" max="17" width="19.57421875" style="455" customWidth="1"/>
    <col min="18" max="27" width="14.7109375" style="455" customWidth="1"/>
    <col min="28" max="29" width="13.7109375" style="455" customWidth="1"/>
    <col min="30" max="16384" width="9.140625" style="455" customWidth="1"/>
  </cols>
  <sheetData>
    <row r="1" s="410" customFormat="1" ht="6" customHeight="1" thickBot="1">
      <c r="N1" s="453"/>
    </row>
    <row r="2" spans="2:27" ht="21" thickBot="1">
      <c r="B2" s="400"/>
      <c r="C2" s="454"/>
      <c r="D2" s="455" t="s">
        <v>633</v>
      </c>
      <c r="E2" s="516"/>
      <c r="F2" s="516"/>
      <c r="G2" s="516"/>
      <c r="H2" s="516"/>
      <c r="I2" s="516"/>
      <c r="Q2" s="275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2:27" ht="21" thickBot="1">
      <c r="B3" s="457"/>
      <c r="C3" s="458"/>
      <c r="D3" s="455" t="s">
        <v>634</v>
      </c>
      <c r="E3" s="455" t="s">
        <v>632</v>
      </c>
      <c r="Q3" s="275"/>
      <c r="R3" s="256"/>
      <c r="S3" s="256"/>
      <c r="T3" s="256"/>
      <c r="U3" s="256"/>
      <c r="V3" s="256"/>
      <c r="W3" s="256"/>
      <c r="X3" s="256"/>
      <c r="Y3" s="256"/>
      <c r="Z3" s="256"/>
      <c r="AA3" s="256"/>
    </row>
    <row r="4" spans="2:27" ht="16.5" thickBot="1">
      <c r="B4" s="457"/>
      <c r="C4" s="459"/>
      <c r="D4" s="460">
        <f>+'Input Value'!$F$48</f>
        <v>44460</v>
      </c>
      <c r="E4" s="455" t="str">
        <f>'Input Value'!I28</f>
        <v>Soybeans</v>
      </c>
      <c r="F4" s="461">
        <f>IF('Input Value'!$F$24=1,$D$4*$D$7*$D$11,0)</f>
        <v>0</v>
      </c>
      <c r="G4" s="461">
        <f>+$F4</f>
        <v>0</v>
      </c>
      <c r="H4" s="461">
        <f aca="true" t="shared" si="0" ref="H4:O6">+$F4</f>
        <v>0</v>
      </c>
      <c r="I4" s="461">
        <f t="shared" si="0"/>
        <v>0</v>
      </c>
      <c r="J4" s="461">
        <f t="shared" si="0"/>
        <v>0</v>
      </c>
      <c r="K4" s="461">
        <f t="shared" si="0"/>
        <v>0</v>
      </c>
      <c r="L4" s="461">
        <f t="shared" si="0"/>
        <v>0</v>
      </c>
      <c r="M4" s="461">
        <f t="shared" si="0"/>
        <v>0</v>
      </c>
      <c r="N4" s="461">
        <f t="shared" si="0"/>
        <v>0</v>
      </c>
      <c r="O4" s="461">
        <f t="shared" si="0"/>
        <v>0</v>
      </c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</row>
    <row r="5" spans="2:27" ht="15.75">
      <c r="B5" s="1"/>
      <c r="D5" s="460">
        <f>+'Input Value'!$F$48</f>
        <v>44460</v>
      </c>
      <c r="E5" s="455" t="str">
        <f>'Input Value'!J28</f>
        <v>Canola</v>
      </c>
      <c r="F5" s="461">
        <f>IF('Input Value'!$F$24=1,$D$5*$D$8*$D$12,0)</f>
        <v>44460</v>
      </c>
      <c r="G5" s="461">
        <f>$F$5</f>
        <v>44460</v>
      </c>
      <c r="H5" s="461">
        <f aca="true" t="shared" si="1" ref="H5:O5">$F$5</f>
        <v>44460</v>
      </c>
      <c r="I5" s="461">
        <f t="shared" si="1"/>
        <v>44460</v>
      </c>
      <c r="J5" s="461">
        <f t="shared" si="1"/>
        <v>44460</v>
      </c>
      <c r="K5" s="461">
        <f t="shared" si="1"/>
        <v>44460</v>
      </c>
      <c r="L5" s="461">
        <f t="shared" si="1"/>
        <v>44460</v>
      </c>
      <c r="M5" s="461">
        <f t="shared" si="1"/>
        <v>44460</v>
      </c>
      <c r="N5" s="461">
        <f t="shared" si="1"/>
        <v>44460</v>
      </c>
      <c r="O5" s="461">
        <f t="shared" si="1"/>
        <v>44460</v>
      </c>
      <c r="Q5" s="257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2:29" ht="15.75">
      <c r="B6" s="462" t="s">
        <v>643</v>
      </c>
      <c r="D6" s="460">
        <f>+'Input Value'!$F$48</f>
        <v>44460</v>
      </c>
      <c r="E6" s="455" t="str">
        <f>'Input Value'!K28</f>
        <v>Sunflowers</v>
      </c>
      <c r="F6" s="461">
        <f>IF('Input Value'!$F$24=1,$D$6*$D$9*$D$13,0)</f>
        <v>0</v>
      </c>
      <c r="G6" s="461">
        <f>+$F6</f>
        <v>0</v>
      </c>
      <c r="H6" s="461">
        <f t="shared" si="0"/>
        <v>0</v>
      </c>
      <c r="I6" s="461">
        <f t="shared" si="0"/>
        <v>0</v>
      </c>
      <c r="J6" s="461">
        <f t="shared" si="0"/>
        <v>0</v>
      </c>
      <c r="K6" s="461">
        <f t="shared" si="0"/>
        <v>0</v>
      </c>
      <c r="L6" s="461">
        <f t="shared" si="0"/>
        <v>0</v>
      </c>
      <c r="M6" s="461">
        <f t="shared" si="0"/>
        <v>0</v>
      </c>
      <c r="N6" s="461">
        <f t="shared" si="0"/>
        <v>0</v>
      </c>
      <c r="O6" s="461">
        <f t="shared" si="0"/>
        <v>0</v>
      </c>
      <c r="Q6" s="26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462"/>
      <c r="AC6" s="462"/>
    </row>
    <row r="7" spans="2:29" ht="15.75">
      <c r="B7" s="1" t="str">
        <f>'Input Value'!I28</f>
        <v>Soybeans</v>
      </c>
      <c r="D7" s="463">
        <f>'Input Value'!J34</f>
        <v>0</v>
      </c>
      <c r="F7" s="464">
        <f>SUM(F4:F6)</f>
        <v>44460</v>
      </c>
      <c r="G7" s="464">
        <f aca="true" t="shared" si="2" ref="G7:O7">SUM(G4:G6)</f>
        <v>44460</v>
      </c>
      <c r="H7" s="464">
        <f t="shared" si="2"/>
        <v>44460</v>
      </c>
      <c r="I7" s="464">
        <f t="shared" si="2"/>
        <v>44460</v>
      </c>
      <c r="J7" s="464">
        <f t="shared" si="2"/>
        <v>44460</v>
      </c>
      <c r="K7" s="464">
        <f t="shared" si="2"/>
        <v>44460</v>
      </c>
      <c r="L7" s="464">
        <f t="shared" si="2"/>
        <v>44460</v>
      </c>
      <c r="M7" s="464">
        <f t="shared" si="2"/>
        <v>44460</v>
      </c>
      <c r="N7" s="464">
        <f t="shared" si="2"/>
        <v>44460</v>
      </c>
      <c r="O7" s="464">
        <f t="shared" si="2"/>
        <v>44460</v>
      </c>
      <c r="Q7" s="266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462"/>
      <c r="AC7" s="462"/>
    </row>
    <row r="8" spans="2:29" ht="15.75">
      <c r="B8" s="1" t="str">
        <f>'Input Value'!J28</f>
        <v>Canola</v>
      </c>
      <c r="D8" s="463">
        <f>'Input Value'!K34</f>
        <v>1</v>
      </c>
      <c r="E8" s="4" t="s">
        <v>565</v>
      </c>
      <c r="F8" s="462">
        <v>1</v>
      </c>
      <c r="G8" s="455">
        <v>2</v>
      </c>
      <c r="H8" s="455">
        <v>3</v>
      </c>
      <c r="I8" s="455">
        <v>4</v>
      </c>
      <c r="J8" s="455">
        <v>5</v>
      </c>
      <c r="K8" s="455">
        <v>6</v>
      </c>
      <c r="L8" s="455">
        <v>7</v>
      </c>
      <c r="M8" s="455">
        <v>8</v>
      </c>
      <c r="N8" s="465">
        <v>9</v>
      </c>
      <c r="O8" s="455">
        <v>10</v>
      </c>
      <c r="Q8" s="266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462"/>
      <c r="AC8" s="462"/>
    </row>
    <row r="9" spans="2:29" ht="15.75">
      <c r="B9" s="1" t="str">
        <f>'Input Value'!K28</f>
        <v>Sunflowers</v>
      </c>
      <c r="D9" s="463">
        <f>'Input Value'!L34</f>
        <v>0</v>
      </c>
      <c r="E9" s="455" t="str">
        <f>'Input Value'!I28</f>
        <v>Soybeans</v>
      </c>
      <c r="F9" s="466">
        <f>+'Input Value'!I7</f>
        <v>9.24</v>
      </c>
      <c r="G9" s="466">
        <f>+F9*(1+'Input Value'!$K$18)</f>
        <v>9.3324</v>
      </c>
      <c r="H9" s="466">
        <f>+G9*(1+'Input Value'!$K$18)</f>
        <v>9.425724</v>
      </c>
      <c r="I9" s="466">
        <f>+H9*(1+'Input Value'!$K$18)</f>
        <v>9.51998124</v>
      </c>
      <c r="J9" s="466">
        <f>+I9*(1+'Input Value'!$K$18)</f>
        <v>9.6151810524</v>
      </c>
      <c r="K9" s="466">
        <f>+J9*(1+'Input Value'!$K$18)</f>
        <v>9.711332862924001</v>
      </c>
      <c r="L9" s="466">
        <f>+K9*(1+'Input Value'!$K$18)</f>
        <v>9.80844619155324</v>
      </c>
      <c r="M9" s="466">
        <f>+L9*(1+'Input Value'!$K$18)</f>
        <v>9.906530653468772</v>
      </c>
      <c r="N9" s="466">
        <f>+M9*(1+'Input Value'!$K$18)</f>
        <v>10.00559596000346</v>
      </c>
      <c r="O9" s="466">
        <f>+N9*(1+'Input Value'!$K$18)</f>
        <v>10.105651919603494</v>
      </c>
      <c r="Q9" s="266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462"/>
      <c r="AC9" s="462"/>
    </row>
    <row r="10" spans="2:27" ht="15.75">
      <c r="B10" s="1" t="s">
        <v>644</v>
      </c>
      <c r="D10" s="463"/>
      <c r="E10" s="455" t="str">
        <f>'Input Value'!J28</f>
        <v>Canola</v>
      </c>
      <c r="F10" s="466">
        <f>+'Input Value'!I11</f>
        <v>0.1882</v>
      </c>
      <c r="G10" s="466">
        <f>+F10*(1+'Input Value'!$K$19)</f>
        <v>0.190082</v>
      </c>
      <c r="H10" s="466">
        <f>+G10*(1+'Input Value'!$K$19)</f>
        <v>0.19198282</v>
      </c>
      <c r="I10" s="466">
        <f>+H10*(1+'Input Value'!$K$19)</f>
        <v>0.1939026482</v>
      </c>
      <c r="J10" s="466">
        <f>+I10*(1+'Input Value'!$K$19)</f>
        <v>0.195841674682</v>
      </c>
      <c r="K10" s="466">
        <f>+J10*(1+'Input Value'!$K$19)</f>
        <v>0.19780009142882002</v>
      </c>
      <c r="L10" s="466">
        <f>+K10*(1+'Input Value'!$K$19)</f>
        <v>0.19977809234310823</v>
      </c>
      <c r="M10" s="466">
        <f>+L10*(1+'Input Value'!$K$19)</f>
        <v>0.2017758732665393</v>
      </c>
      <c r="N10" s="466">
        <f>+M10*(1+'Input Value'!$K$19)</f>
        <v>0.2037936319992047</v>
      </c>
      <c r="O10" s="466">
        <f>+N10*(1+'Input Value'!$K$19)</f>
        <v>0.20583156831919674</v>
      </c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</row>
    <row r="11" spans="2:29" ht="15.75">
      <c r="B11" s="1" t="str">
        <f>'Input Value'!I28</f>
        <v>Soybeans</v>
      </c>
      <c r="D11" s="463">
        <v>1</v>
      </c>
      <c r="E11" s="455" t="str">
        <f>'Input Value'!K28</f>
        <v>Sunflowers</v>
      </c>
      <c r="F11" s="466">
        <f>+'Input Value'!I15</f>
        <v>0.1988</v>
      </c>
      <c r="G11" s="466">
        <f>+F11*(1+'Input Value'!$K$20)</f>
        <v>0.200788</v>
      </c>
      <c r="H11" s="466">
        <f>+G11*(1+'Input Value'!$K$20)</f>
        <v>0.20279587999999998</v>
      </c>
      <c r="I11" s="466">
        <f>+H11*(1+'Input Value'!$K$20)</f>
        <v>0.2048238388</v>
      </c>
      <c r="J11" s="466">
        <f>+I11*(1+'Input Value'!$K$20)</f>
        <v>0.206872077188</v>
      </c>
      <c r="K11" s="466">
        <f>+J11*(1+'Input Value'!$K$20)</f>
        <v>0.20894079795988</v>
      </c>
      <c r="L11" s="466">
        <f>+K11*(1+'Input Value'!$K$20)</f>
        <v>0.2110302059394788</v>
      </c>
      <c r="M11" s="466">
        <f>+L11*(1+'Input Value'!$K$20)</f>
        <v>0.2131405079988736</v>
      </c>
      <c r="N11" s="466">
        <f>+M11*(1+'Input Value'!$K$20)</f>
        <v>0.21527191307886234</v>
      </c>
      <c r="O11" s="466">
        <f>+N11*(1+'Input Value'!$K$20)</f>
        <v>0.21742463220965097</v>
      </c>
      <c r="Q11" s="268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467"/>
      <c r="AC11" s="467"/>
    </row>
    <row r="12" spans="2:27" ht="15.75">
      <c r="B12" s="1" t="str">
        <f>'Input Value'!J28</f>
        <v>Canola</v>
      </c>
      <c r="D12" s="463">
        <v>1</v>
      </c>
      <c r="E12" s="455" t="str">
        <f>'Input Value'!J30</f>
        <v>PBSY Cottonseed Oil</v>
      </c>
      <c r="F12" s="466">
        <f>'Input Value'!K9</f>
        <v>0.53</v>
      </c>
      <c r="G12" s="466">
        <f>+F12*(1+'Input Value'!$I$23)</f>
        <v>0.5353</v>
      </c>
      <c r="H12" s="466">
        <f>+G12*(1+'Input Value'!$I$23)</f>
        <v>0.540653</v>
      </c>
      <c r="I12" s="466">
        <f>+H12*(1+'Input Value'!$I$23)</f>
        <v>0.5460595300000001</v>
      </c>
      <c r="J12" s="466">
        <f>+I12*(1+'Input Value'!$I$23)</f>
        <v>0.5515201253</v>
      </c>
      <c r="K12" s="466">
        <f>+J12*(1+'Input Value'!$I$23)</f>
        <v>0.557035326553</v>
      </c>
      <c r="L12" s="466">
        <f>+K12*(1+'Input Value'!$I$23)</f>
        <v>0.56260567981853</v>
      </c>
      <c r="M12" s="466">
        <f>+L12*(1+'Input Value'!$I$23)</f>
        <v>0.5682317366167153</v>
      </c>
      <c r="N12" s="466">
        <f>+M12*(1+'Input Value'!$I$23)</f>
        <v>0.5739140539828825</v>
      </c>
      <c r="O12" s="466">
        <f>+N12*(1+'Input Value'!$I$23)</f>
        <v>0.5796531945227114</v>
      </c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</row>
    <row r="13" spans="2:29" ht="15.75">
      <c r="B13" s="1" t="str">
        <f>'Input Value'!K28</f>
        <v>Sunflowers</v>
      </c>
      <c r="D13" s="463">
        <v>1</v>
      </c>
      <c r="E13" s="455" t="str">
        <f>CONCATENATE('Input Value'!I28," Meal/ton")</f>
        <v>Soybeans Meal/ton</v>
      </c>
      <c r="F13" s="466">
        <f>'Input Value'!K11</f>
        <v>276.43</v>
      </c>
      <c r="G13" s="466">
        <f>F13*(1+'Input Value'!$I$18)</f>
        <v>279.1943</v>
      </c>
      <c r="H13" s="466">
        <f>G13*(1+'Input Value'!$I$18)</f>
        <v>281.986243</v>
      </c>
      <c r="I13" s="466">
        <f>H13*(1+'Input Value'!$I$18)</f>
        <v>284.80610543</v>
      </c>
      <c r="J13" s="466">
        <f>I13*(1+'Input Value'!$I$18)</f>
        <v>287.6541664843</v>
      </c>
      <c r="K13" s="466">
        <f>J13*(1+'Input Value'!$I$18)</f>
        <v>290.530708149143</v>
      </c>
      <c r="L13" s="466">
        <f>K13*(1+'Input Value'!$I$18)</f>
        <v>293.43601523063444</v>
      </c>
      <c r="M13" s="466">
        <f>L13*(1+'Input Value'!$I$18)</f>
        <v>296.3703753829408</v>
      </c>
      <c r="N13" s="466">
        <f>M13*(1+'Input Value'!$I$18)</f>
        <v>299.3340791367702</v>
      </c>
      <c r="O13" s="466">
        <f>N13*(1+'Input Value'!$I$18)</f>
        <v>302.3274199281379</v>
      </c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462"/>
      <c r="AC13" s="462"/>
    </row>
    <row r="14" spans="4:29" ht="15.75">
      <c r="D14" s="466"/>
      <c r="E14" s="455" t="str">
        <f>CONCATENATE('Input Value'!J28," Meal/ton")</f>
        <v>Canola Meal/ton</v>
      </c>
      <c r="F14" s="466">
        <f>'Input Value'!K12</f>
        <v>213</v>
      </c>
      <c r="G14" s="466">
        <f>F14*(1+'Input Value'!$I$19)</f>
        <v>215.13</v>
      </c>
      <c r="H14" s="466">
        <f>G14*(1+'Input Value'!$I$19)</f>
        <v>217.2813</v>
      </c>
      <c r="I14" s="466">
        <f>H14*(1+'Input Value'!$I$19)</f>
        <v>219.45411299999998</v>
      </c>
      <c r="J14" s="466">
        <f>I14*(1+'Input Value'!$I$19)</f>
        <v>221.64865412999998</v>
      </c>
      <c r="K14" s="466">
        <f>J14*(1+'Input Value'!$I$19)</f>
        <v>223.8651406713</v>
      </c>
      <c r="L14" s="466">
        <f>K14*(1+'Input Value'!$I$19)</f>
        <v>226.103792078013</v>
      </c>
      <c r="M14" s="466">
        <f>L14*(1+'Input Value'!$I$19)</f>
        <v>228.3648299987931</v>
      </c>
      <c r="N14" s="466">
        <f>M14*(1+'Input Value'!$I$19)</f>
        <v>230.64847829878104</v>
      </c>
      <c r="O14" s="466">
        <f>N14*(1+'Input Value'!$I$19)</f>
        <v>232.95496308176885</v>
      </c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462"/>
      <c r="AC14" s="462"/>
    </row>
    <row r="15" spans="4:29" ht="15.75">
      <c r="D15" s="4"/>
      <c r="E15" s="455" t="str">
        <f>CONCATENATE('Input Value'!K28," Meal/ton")</f>
        <v>Sunflowers Meal/ton</v>
      </c>
      <c r="F15" s="466">
        <f>'Input Value'!K13</f>
        <v>139</v>
      </c>
      <c r="G15" s="466">
        <f>F15*(1+'Input Value'!$I$20)</f>
        <v>140.39000000000001</v>
      </c>
      <c r="H15" s="466">
        <f>G15*(1+'Input Value'!$I$20)</f>
        <v>141.7939</v>
      </c>
      <c r="I15" s="466">
        <f>H15*(1+'Input Value'!$I$20)</f>
        <v>143.211839</v>
      </c>
      <c r="J15" s="466">
        <f>I15*(1+'Input Value'!$I$20)</f>
        <v>144.64395739</v>
      </c>
      <c r="K15" s="466">
        <f>J15*(1+'Input Value'!$I$20)</f>
        <v>146.0903969639</v>
      </c>
      <c r="L15" s="466">
        <f>K15*(1+'Input Value'!$I$20)</f>
        <v>147.55130093353898</v>
      </c>
      <c r="M15" s="466">
        <f>L15*(1+'Input Value'!$I$20)</f>
        <v>149.02681394287438</v>
      </c>
      <c r="N15" s="466">
        <f>M15*(1+'Input Value'!$I$20)</f>
        <v>150.51708208230312</v>
      </c>
      <c r="O15" s="466">
        <f>N15*(1+'Input Value'!$I$20)</f>
        <v>152.02225290312614</v>
      </c>
      <c r="P15" s="468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462"/>
      <c r="AC15" s="462"/>
    </row>
    <row r="16" spans="2:27" ht="15.75">
      <c r="B16" s="161"/>
      <c r="C16" s="161"/>
      <c r="D16" s="161"/>
      <c r="E16" s="455" t="str">
        <f>CONCATENATE('Input Value'!I28," Oil/lb")</f>
        <v>Soybeans Oil/lb</v>
      </c>
      <c r="F16" s="466">
        <f>'Input Value'!K4</f>
        <v>0.43</v>
      </c>
      <c r="G16" s="466">
        <f>F16*(1+'Input Value'!$J$18)</f>
        <v>0.4343</v>
      </c>
      <c r="H16" s="466">
        <f>G16*(1+'Input Value'!$J$18)</f>
        <v>0.438643</v>
      </c>
      <c r="I16" s="466">
        <f>H16*(1+'Input Value'!$J$18)</f>
        <v>0.44302943</v>
      </c>
      <c r="J16" s="466">
        <f>I16*(1+'Input Value'!$J$18)</f>
        <v>0.44745972430000003</v>
      </c>
      <c r="K16" s="466">
        <f>J16*(1+'Input Value'!$J$18)</f>
        <v>0.451934321543</v>
      </c>
      <c r="L16" s="466">
        <f>K16*(1+'Input Value'!$J$18)</f>
        <v>0.45645366475843</v>
      </c>
      <c r="M16" s="466">
        <f>L16*(1+'Input Value'!$J$18)</f>
        <v>0.46101820140601435</v>
      </c>
      <c r="N16" s="466">
        <f>M16*(1+'Input Value'!$J$18)</f>
        <v>0.4656283834200745</v>
      </c>
      <c r="O16" s="466">
        <f>N16*(1+'Input Value'!$J$18)</f>
        <v>0.47028466725427526</v>
      </c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</row>
    <row r="17" spans="2:29" ht="15.75">
      <c r="B17" s="161"/>
      <c r="C17" s="161"/>
      <c r="D17" s="161"/>
      <c r="E17" s="455" t="str">
        <f>CONCATENATE('Input Value'!J28," Oil/lb")</f>
        <v>Canola Oil/lb</v>
      </c>
      <c r="F17" s="466">
        <f>'Input Value'!K5</f>
        <v>0.56</v>
      </c>
      <c r="G17" s="466">
        <f>F17*(1+'Input Value'!$J$19)</f>
        <v>0.5656000000000001</v>
      </c>
      <c r="H17" s="466">
        <f>G17*(1+'Input Value'!$J$19)</f>
        <v>0.5712560000000001</v>
      </c>
      <c r="I17" s="466">
        <f>H17*(1+'Input Value'!$J$19)</f>
        <v>0.5769685600000001</v>
      </c>
      <c r="J17" s="466">
        <f>I17*(1+'Input Value'!$J$19)</f>
        <v>0.5827382456000001</v>
      </c>
      <c r="K17" s="466">
        <f>J17*(1+'Input Value'!$J$19)</f>
        <v>0.5885656280560001</v>
      </c>
      <c r="L17" s="466">
        <f>K17*(1+'Input Value'!$J$19)</f>
        <v>0.5944512843365601</v>
      </c>
      <c r="M17" s="466">
        <f>L17*(1+'Input Value'!$J$19)</f>
        <v>0.6003957971799257</v>
      </c>
      <c r="N17" s="466">
        <f>M17*(1+'Input Value'!$J$19)</f>
        <v>0.6063997551517251</v>
      </c>
      <c r="O17" s="466">
        <f>N17*(1+'Input Value'!$J$19)</f>
        <v>0.6124637527032423</v>
      </c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462"/>
      <c r="AC17" s="462"/>
    </row>
    <row r="18" spans="2:29" ht="15.75">
      <c r="B18" s="161"/>
      <c r="E18" s="455" t="str">
        <f>CONCATENATE('Input Value'!K28," Oil/lb")</f>
        <v>Sunflowers Oil/lb</v>
      </c>
      <c r="F18" s="466">
        <f>'Input Value'!K6</f>
        <v>0.78</v>
      </c>
      <c r="G18" s="466">
        <f>F18*(1+'Input Value'!$J$20)</f>
        <v>0.7878000000000001</v>
      </c>
      <c r="H18" s="466">
        <f>G18*(1+'Input Value'!$J$20)</f>
        <v>0.7956780000000001</v>
      </c>
      <c r="I18" s="466">
        <f>H18*(1+'Input Value'!$J$20)</f>
        <v>0.8036347800000001</v>
      </c>
      <c r="J18" s="466">
        <f>I18*(1+'Input Value'!$J$20)</f>
        <v>0.8116711278000001</v>
      </c>
      <c r="K18" s="466">
        <f>J18*(1+'Input Value'!$J$20)</f>
        <v>0.819787839078</v>
      </c>
      <c r="L18" s="466">
        <f>K18*(1+'Input Value'!$J$20)</f>
        <v>0.82798571746878</v>
      </c>
      <c r="M18" s="466">
        <f>L18*(1+'Input Value'!$J$20)</f>
        <v>0.8362655746434678</v>
      </c>
      <c r="N18" s="466">
        <f>M18*(1+'Input Value'!$J$20)</f>
        <v>0.8446282303899025</v>
      </c>
      <c r="O18" s="466">
        <f>N18*(1+'Input Value'!$J$20)</f>
        <v>0.8530745126938015</v>
      </c>
      <c r="Q18" s="266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469"/>
      <c r="AC18" s="469"/>
    </row>
    <row r="19" spans="2:29" ht="15.75">
      <c r="B19" s="161"/>
      <c r="E19" s="462" t="str">
        <f>CONCATENATE('Input Value'!J15," hulls/ton")</f>
        <v>Soybeans hulls/ton</v>
      </c>
      <c r="F19" s="466">
        <f>'Input Value'!K15</f>
        <v>120</v>
      </c>
      <c r="G19" s="466">
        <f>F19*(1+'Input Value'!$K$16)</f>
        <v>121.2</v>
      </c>
      <c r="H19" s="466">
        <f>G19*(1+'Input Value'!$K$16)</f>
        <v>122.412</v>
      </c>
      <c r="I19" s="466">
        <f>H19*(1+'Input Value'!$K$16)</f>
        <v>123.63612</v>
      </c>
      <c r="J19" s="466">
        <f>I19*(1+'Input Value'!$K$16)</f>
        <v>124.87248120000001</v>
      </c>
      <c r="K19" s="466">
        <f>J19*(1+'Input Value'!$K$16)</f>
        <v>126.12120601200002</v>
      </c>
      <c r="L19" s="466">
        <f>K19*(1+'Input Value'!$K$16)</f>
        <v>127.38241807212002</v>
      </c>
      <c r="M19" s="466">
        <f>L19*(1+'Input Value'!$K$16)</f>
        <v>128.65624225284122</v>
      </c>
      <c r="N19" s="466">
        <f>M19*(1+'Input Value'!$K$16)</f>
        <v>129.94280467536964</v>
      </c>
      <c r="O19" s="466">
        <f>N19*(1+'Input Value'!$K$16)</f>
        <v>131.24223272212333</v>
      </c>
      <c r="Q19" s="266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469"/>
      <c r="AC19" s="469"/>
    </row>
    <row r="20" spans="2:29" ht="15.75">
      <c r="B20" s="161"/>
      <c r="E20" s="462" t="s">
        <v>651</v>
      </c>
      <c r="F20" s="466">
        <f>'Input Value'!$K$7</f>
        <v>3.43</v>
      </c>
      <c r="G20" s="466">
        <f>F20*(1+'Input Value'!$I$21)</f>
        <v>3.4643</v>
      </c>
      <c r="H20" s="466">
        <f>G20*(1+'Input Value'!$I$21)</f>
        <v>3.498943</v>
      </c>
      <c r="I20" s="466">
        <f>H20*(1+'Input Value'!$I$21)</f>
        <v>3.53393243</v>
      </c>
      <c r="J20" s="466">
        <f>I20*(1+'Input Value'!$I$21)</f>
        <v>3.5692717543000003</v>
      </c>
      <c r="K20" s="466">
        <f>J20*(1+'Input Value'!$I$21)</f>
        <v>3.6049644718430005</v>
      </c>
      <c r="L20" s="466">
        <f>K20*(1+'Input Value'!$I$21)</f>
        <v>3.6410141165614305</v>
      </c>
      <c r="M20" s="466">
        <f>L20*(1+'Input Value'!$I$21)</f>
        <v>3.677424257727045</v>
      </c>
      <c r="N20" s="466">
        <f>M20*(1+'Input Value'!$I$21)</f>
        <v>3.7141985003043154</v>
      </c>
      <c r="O20" s="466">
        <f>N20*(1+'Input Value'!$I$21)</f>
        <v>3.7513404853073586</v>
      </c>
      <c r="Q20" s="266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469"/>
      <c r="AC20" s="469"/>
    </row>
    <row r="21" spans="2:29" ht="15.75">
      <c r="B21" s="161"/>
      <c r="E21" s="462" t="s">
        <v>135</v>
      </c>
      <c r="F21" s="466">
        <f>'Input Value'!K8</f>
        <v>0.18749999999999997</v>
      </c>
      <c r="G21" s="466">
        <f>F21*(1+'Input Value'!$I$22)</f>
        <v>0.18937499999999996</v>
      </c>
      <c r="H21" s="466">
        <f>G21*(1+'Input Value'!$I$22)</f>
        <v>0.19126874999999996</v>
      </c>
      <c r="I21" s="466">
        <f>H21*(1+'Input Value'!$I$22)</f>
        <v>0.19318143749999997</v>
      </c>
      <c r="J21" s="466">
        <f>I21*(1+'Input Value'!$I$22)</f>
        <v>0.19511325187499998</v>
      </c>
      <c r="K21" s="466">
        <f>J21*(1+'Input Value'!$I$22)</f>
        <v>0.19706438439375</v>
      </c>
      <c r="L21" s="466">
        <f>K21*(1+'Input Value'!$I$22)</f>
        <v>0.19903502823768748</v>
      </c>
      <c r="M21" s="466">
        <f>L21*(1+'Input Value'!$I$22)</f>
        <v>0.20102537852006436</v>
      </c>
      <c r="N21" s="466">
        <f>M21*(1+'Input Value'!$I$22)</f>
        <v>0.203035632305265</v>
      </c>
      <c r="O21" s="466">
        <f>N21*(1+'Input Value'!$I$22)</f>
        <v>0.20506598862831765</v>
      </c>
      <c r="Q21" s="266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469"/>
      <c r="AC21" s="469"/>
    </row>
    <row r="22" spans="2:29" ht="15.75">
      <c r="B22" s="161"/>
      <c r="E22" s="462" t="s">
        <v>134</v>
      </c>
      <c r="F22" s="466">
        <f>'Input Value'!M4</f>
        <v>2.75</v>
      </c>
      <c r="G22" s="466">
        <f>F22*(1+'Input Value'!$I$24)</f>
        <v>2.7775</v>
      </c>
      <c r="H22" s="466">
        <f>G22*(1+'Input Value'!$I$24)</f>
        <v>2.805275</v>
      </c>
      <c r="I22" s="466">
        <f>H22*(1+'Input Value'!$I$24)</f>
        <v>2.83332775</v>
      </c>
      <c r="J22" s="466">
        <f>I22*(1+'Input Value'!$I$24)</f>
        <v>2.8616610275</v>
      </c>
      <c r="K22" s="466">
        <f>J22*(1+'Input Value'!$I$24)</f>
        <v>2.8902776377749997</v>
      </c>
      <c r="L22" s="466">
        <f>K22*(1+'Input Value'!$I$24)</f>
        <v>2.9191804141527498</v>
      </c>
      <c r="M22" s="466">
        <f>L22*(1+'Input Value'!$I$24)</f>
        <v>2.9483722182942773</v>
      </c>
      <c r="N22" s="466">
        <f>M22*(1+'Input Value'!$I$24)</f>
        <v>2.97785594047722</v>
      </c>
      <c r="O22" s="466">
        <f>N22*(1+'Input Value'!$I$24)</f>
        <v>3.007634499881992</v>
      </c>
      <c r="Q22" s="266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469"/>
      <c r="AC22" s="469"/>
    </row>
    <row r="23" spans="2:29" ht="15.75">
      <c r="B23" s="161"/>
      <c r="E23" s="462" t="s">
        <v>842</v>
      </c>
      <c r="F23" s="523">
        <f>'Input Value'!M5</f>
        <v>350</v>
      </c>
      <c r="G23" s="466">
        <f>F23*(1+'Input Value'!$I$25)</f>
        <v>353.5</v>
      </c>
      <c r="H23" s="466">
        <f>G23*(1+'Input Value'!$I$25)</f>
        <v>357.035</v>
      </c>
      <c r="I23" s="466">
        <f>H23*(1+'Input Value'!$I$25)</f>
        <v>360.60535000000004</v>
      </c>
      <c r="J23" s="466">
        <f>I23*(1+'Input Value'!$I$25)</f>
        <v>364.2114035000001</v>
      </c>
      <c r="K23" s="466">
        <f>J23*(1+'Input Value'!$I$25)</f>
        <v>367.8535175350001</v>
      </c>
      <c r="L23" s="466">
        <f>K23*(1+'Input Value'!$I$25)</f>
        <v>371.5320527103501</v>
      </c>
      <c r="M23" s="466">
        <f>L23*(1+'Input Value'!$I$25)</f>
        <v>375.24737323745364</v>
      </c>
      <c r="N23" s="466">
        <f>M23*(1+'Input Value'!$I$25)</f>
        <v>378.9998469698282</v>
      </c>
      <c r="O23" s="466">
        <f>N23*(1+'Input Value'!$I$25)</f>
        <v>382.78984543952646</v>
      </c>
      <c r="Q23" s="266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469"/>
      <c r="AC23" s="469"/>
    </row>
    <row r="24" spans="2:29" ht="15.75">
      <c r="B24" s="161"/>
      <c r="G24" s="462"/>
      <c r="H24" s="462"/>
      <c r="I24" s="462"/>
      <c r="J24" s="462"/>
      <c r="K24" s="462"/>
      <c r="L24" s="462"/>
      <c r="M24" s="462"/>
      <c r="N24" s="462"/>
      <c r="Q24" s="266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469"/>
      <c r="AC24" s="469"/>
    </row>
    <row r="25" spans="2:29" ht="15.75">
      <c r="B25" s="161"/>
      <c r="E25" s="4" t="s">
        <v>613</v>
      </c>
      <c r="F25" s="462"/>
      <c r="G25" s="2"/>
      <c r="H25" s="2"/>
      <c r="I25" s="2"/>
      <c r="J25" s="2"/>
      <c r="K25" s="2"/>
      <c r="L25" s="2"/>
      <c r="M25" s="2"/>
      <c r="N25" s="2"/>
      <c r="Q25" s="256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469"/>
      <c r="AC25" s="469"/>
    </row>
    <row r="26" spans="2:29" ht="15.75">
      <c r="B26" s="161"/>
      <c r="E26" s="462" t="str">
        <f>CONCATENATE('Input Value'!I28," Meal Tons")</f>
        <v>Soybeans Meal Tons</v>
      </c>
      <c r="F26" s="231">
        <f>'Input Value'!$I$80*F4</f>
        <v>0</v>
      </c>
      <c r="G26" s="231">
        <f>'Input Value'!$I$80*G4</f>
        <v>0</v>
      </c>
      <c r="H26" s="231">
        <f>'Input Value'!$I$80*H4</f>
        <v>0</v>
      </c>
      <c r="I26" s="231">
        <f>'Input Value'!$I$80*I4</f>
        <v>0</v>
      </c>
      <c r="J26" s="231">
        <f>'Input Value'!$I$80*J4</f>
        <v>0</v>
      </c>
      <c r="K26" s="231">
        <f>'Input Value'!$I$80*K4</f>
        <v>0</v>
      </c>
      <c r="L26" s="231">
        <f>'Input Value'!$I$80*L4</f>
        <v>0</v>
      </c>
      <c r="M26" s="231">
        <f>'Input Value'!$I$80*M4</f>
        <v>0</v>
      </c>
      <c r="N26" s="231">
        <f>'Input Value'!$I$80*N4</f>
        <v>0</v>
      </c>
      <c r="O26" s="231">
        <f>'Input Value'!$I$80*O4</f>
        <v>0</v>
      </c>
      <c r="Q26" s="266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469"/>
      <c r="AC26" s="469"/>
    </row>
    <row r="27" spans="2:29" ht="15.75">
      <c r="B27" s="161"/>
      <c r="E27" s="462" t="str">
        <f>CONCATENATE('Input Value'!J28," Meal Tons")</f>
        <v>Canola Meal Tons</v>
      </c>
      <c r="F27" s="467">
        <f>'Input Value'!$J$80*F5</f>
        <v>31655.875679999997</v>
      </c>
      <c r="G27" s="467">
        <f>'Input Value'!$J$80*G5</f>
        <v>31655.875679999997</v>
      </c>
      <c r="H27" s="467">
        <f>'Input Value'!$J$80*H5</f>
        <v>31655.875679999997</v>
      </c>
      <c r="I27" s="467">
        <f>'Input Value'!$J$80*I5</f>
        <v>31655.875679999997</v>
      </c>
      <c r="J27" s="467">
        <f>'Input Value'!$J$80*J5</f>
        <v>31655.875679999997</v>
      </c>
      <c r="K27" s="467">
        <f>'Input Value'!$J$80*K5</f>
        <v>31655.875679999997</v>
      </c>
      <c r="L27" s="467">
        <f>'Input Value'!$J$80*L5</f>
        <v>31655.875679999997</v>
      </c>
      <c r="M27" s="467">
        <f>'Input Value'!$J$80*M5</f>
        <v>31655.875679999997</v>
      </c>
      <c r="N27" s="467">
        <f>'Input Value'!$J$80*N5</f>
        <v>31655.875679999997</v>
      </c>
      <c r="O27" s="467">
        <f>'Input Value'!$J$80*O5</f>
        <v>31655.875679999997</v>
      </c>
      <c r="Q27" s="266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469"/>
      <c r="AC27" s="469"/>
    </row>
    <row r="28" spans="2:29" ht="15.75">
      <c r="B28" s="161"/>
      <c r="E28" s="462" t="str">
        <f>CONCATENATE('Input Value'!K28," Meal Tons")</f>
        <v>Sunflowers Meal Tons</v>
      </c>
      <c r="F28" s="464">
        <f>'Input Value'!$K$80*F6</f>
        <v>0</v>
      </c>
      <c r="G28" s="464">
        <f>'Input Value'!$K$80*G6</f>
        <v>0</v>
      </c>
      <c r="H28" s="464">
        <f>'Input Value'!$K$80*H6</f>
        <v>0</v>
      </c>
      <c r="I28" s="464">
        <f>'Input Value'!$K$80*I6</f>
        <v>0</v>
      </c>
      <c r="J28" s="464">
        <f>'Input Value'!$K$80*J6</f>
        <v>0</v>
      </c>
      <c r="K28" s="464">
        <f>'Input Value'!$K$80*K6</f>
        <v>0</v>
      </c>
      <c r="L28" s="464">
        <f>'Input Value'!$K$80*L6</f>
        <v>0</v>
      </c>
      <c r="M28" s="464">
        <f>'Input Value'!$K$80*M6</f>
        <v>0</v>
      </c>
      <c r="N28" s="464">
        <f>'Input Value'!$K$80*N6</f>
        <v>0</v>
      </c>
      <c r="O28" s="464">
        <f>'Input Value'!$K$80*O6</f>
        <v>0</v>
      </c>
      <c r="Q28" s="266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469"/>
      <c r="AC28" s="469"/>
    </row>
    <row r="29" spans="2:29" ht="15.75">
      <c r="B29" s="161"/>
      <c r="E29" s="462" t="str">
        <f>CONCATENATE('Input Value'!I28," oil lb")</f>
        <v>Soybeans oil lb</v>
      </c>
      <c r="F29" s="232">
        <f>IF('Input Value'!$F$28=1,0,'Input Value'!$I$75*F4)+'Input Value'!$J$45</f>
        <v>0</v>
      </c>
      <c r="G29" s="232">
        <f>IF('Input Value'!$F$28=1,0,'Input Value'!$I$75*G4)+'Input Value'!$J$45</f>
        <v>0</v>
      </c>
      <c r="H29" s="232">
        <f>IF('Input Value'!$F$28=1,0,'Input Value'!$I$75*H4)+'Input Value'!$J$45</f>
        <v>0</v>
      </c>
      <c r="I29" s="232">
        <f>IF('Input Value'!$F$28=1,0,'Input Value'!$I$75*I4)+'Input Value'!$J$45</f>
        <v>0</v>
      </c>
      <c r="J29" s="232">
        <f>IF('Input Value'!$F$28=1,0,'Input Value'!$I$75*J4)+'Input Value'!$J$45</f>
        <v>0</v>
      </c>
      <c r="K29" s="232">
        <f>IF('Input Value'!$F$28=1,0,'Input Value'!$I$75*K4)+'Input Value'!$J$45</f>
        <v>0</v>
      </c>
      <c r="L29" s="232">
        <f>IF('Input Value'!$F$28=1,0,'Input Value'!$I$75*L4)+'Input Value'!$J$45</f>
        <v>0</v>
      </c>
      <c r="M29" s="232">
        <f>IF('Input Value'!$F$28=1,0,'Input Value'!$I$75*M4)+'Input Value'!$J$45</f>
        <v>0</v>
      </c>
      <c r="N29" s="232">
        <f>IF('Input Value'!$F$28=1,0,'Input Value'!$I$75*N4)+'Input Value'!$J$45</f>
        <v>0</v>
      </c>
      <c r="O29" s="232">
        <f>IF('Input Value'!$F$28=1,0,'Input Value'!$I$75*O4)+'Input Value'!$J$45</f>
        <v>0</v>
      </c>
      <c r="Q29" s="266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469"/>
      <c r="AC29" s="469"/>
    </row>
    <row r="30" spans="2:29" ht="15.75">
      <c r="B30" s="161"/>
      <c r="E30" s="462" t="str">
        <f>CONCATENATE('Input Value'!J28," oil lb")</f>
        <v>Canola oil lb</v>
      </c>
      <c r="F30" s="232">
        <f>IF('Input Value'!$F$29=1,0,'Input Value'!$J$75*F5)+'Input Value'!$K$45</f>
        <v>0</v>
      </c>
      <c r="G30" s="232">
        <f>IF('Input Value'!$F$29=1,0,'Input Value'!$J$75*G5)+'Input Value'!$K$45</f>
        <v>0</v>
      </c>
      <c r="H30" s="232">
        <f>IF('Input Value'!$F$29=1,0,'Input Value'!$J$75*H5)+'Input Value'!$K$45</f>
        <v>0</v>
      </c>
      <c r="I30" s="232">
        <f>IF('Input Value'!$F$29=1,0,'Input Value'!$J$75*I5)+'Input Value'!$K$45</f>
        <v>0</v>
      </c>
      <c r="J30" s="232">
        <f>IF('Input Value'!$F$29=1,0,'Input Value'!$J$75*J5)+'Input Value'!$K$45</f>
        <v>0</v>
      </c>
      <c r="K30" s="232">
        <f>IF('Input Value'!$F$29=1,0,'Input Value'!$J$75*K5)+'Input Value'!$K$45</f>
        <v>0</v>
      </c>
      <c r="L30" s="232">
        <f>IF('Input Value'!$F$29=1,0,'Input Value'!$J$75*L5)+'Input Value'!$K$45</f>
        <v>0</v>
      </c>
      <c r="M30" s="232">
        <f>IF('Input Value'!$F$29=1,0,'Input Value'!$J$75*M5)+'Input Value'!$K$45</f>
        <v>0</v>
      </c>
      <c r="N30" s="232">
        <f>IF('Input Value'!$F$29=1,0,'Input Value'!$J$75*N5)+'Input Value'!$K$45</f>
        <v>0</v>
      </c>
      <c r="O30" s="232">
        <f>IF('Input Value'!$F$29=1,0,'Input Value'!$J$75*O5)+'Input Value'!$K$45</f>
        <v>0</v>
      </c>
      <c r="Q30" s="266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469"/>
      <c r="AC30" s="469"/>
    </row>
    <row r="31" spans="2:29" ht="15.75">
      <c r="B31" s="161"/>
      <c r="E31" s="462" t="str">
        <f>CONCATENATE('Input Value'!K28," oil lb")</f>
        <v>Sunflowers oil lb</v>
      </c>
      <c r="F31" s="232">
        <f>IF('Input Value'!$F$30=1,0,'Input Value'!$K$75*F6)+'Input Value'!$L$45</f>
        <v>0</v>
      </c>
      <c r="G31" s="232">
        <f>IF('Input Value'!$F$30=1,0,'Input Value'!$K$75*G6)+'Input Value'!$L$45</f>
        <v>0</v>
      </c>
      <c r="H31" s="232">
        <f>IF('Input Value'!$F$30=1,0,'Input Value'!$K$75*H6)+'Input Value'!$L$45</f>
        <v>0</v>
      </c>
      <c r="I31" s="232">
        <f>IF('Input Value'!$F$30=1,0,'Input Value'!$K$75*I6)+'Input Value'!$L$45</f>
        <v>0</v>
      </c>
      <c r="J31" s="232">
        <f>IF('Input Value'!$F$30=1,0,'Input Value'!$K$75*J6)+'Input Value'!$L$45</f>
        <v>0</v>
      </c>
      <c r="K31" s="232">
        <f>IF('Input Value'!$F$30=1,0,'Input Value'!$K$75*K6)+'Input Value'!$L$45</f>
        <v>0</v>
      </c>
      <c r="L31" s="232">
        <f>IF('Input Value'!$F$30=1,0,'Input Value'!$K$75*L6)+'Input Value'!$L$45</f>
        <v>0</v>
      </c>
      <c r="M31" s="232">
        <f>IF('Input Value'!$F$30=1,0,'Input Value'!$K$75*M6)+'Input Value'!$L$45</f>
        <v>0</v>
      </c>
      <c r="N31" s="232">
        <f>IF('Input Value'!$F$30=1,0,'Input Value'!$K$75*N6)+'Input Value'!$L$45</f>
        <v>0</v>
      </c>
      <c r="O31" s="232">
        <f>IF('Input Value'!$F$30=1,0,'Input Value'!$K$75*O6)+'Input Value'!$L$45</f>
        <v>0</v>
      </c>
      <c r="Q31" s="266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469"/>
      <c r="AC31" s="469"/>
    </row>
    <row r="32" spans="2:29" ht="15.75">
      <c r="B32" s="161"/>
      <c r="E32" s="462" t="str">
        <f>CONCATENATE('Input Value'!J15," hulls tons")</f>
        <v>Soybeans hulls tons</v>
      </c>
      <c r="F32" s="464">
        <f>F4*'Input Value'!$I$73</f>
        <v>0</v>
      </c>
      <c r="G32" s="464">
        <f>G4*'Input Value'!$I$73</f>
        <v>0</v>
      </c>
      <c r="H32" s="464">
        <f>H4*'Input Value'!$I$73</f>
        <v>0</v>
      </c>
      <c r="I32" s="464">
        <f>I4*'Input Value'!$I$73</f>
        <v>0</v>
      </c>
      <c r="J32" s="464">
        <f>J4*'Input Value'!$I$73</f>
        <v>0</v>
      </c>
      <c r="K32" s="464">
        <f>K4*'Input Value'!$I$73</f>
        <v>0</v>
      </c>
      <c r="L32" s="464">
        <f>L4*'Input Value'!$I$73</f>
        <v>0</v>
      </c>
      <c r="M32" s="464">
        <f>M4*'Input Value'!$I$73</f>
        <v>0</v>
      </c>
      <c r="N32" s="464">
        <f>N4*'Input Value'!$I$73</f>
        <v>0</v>
      </c>
      <c r="O32" s="464">
        <f>O4*'Input Value'!$I$73</f>
        <v>0</v>
      </c>
      <c r="Q32" s="266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469"/>
      <c r="AC32" s="469"/>
    </row>
    <row r="33" spans="2:29" ht="15.75">
      <c r="B33" s="161"/>
      <c r="E33" s="462" t="s">
        <v>650</v>
      </c>
      <c r="F33" s="464">
        <f>IF('Input Value'!$F$25=1,'Input Value'!$F$23,0)</f>
        <v>5000000</v>
      </c>
      <c r="G33" s="464">
        <f>IF('Input Value'!$F$25=1,'Input Value'!$F$23,0)</f>
        <v>5000000</v>
      </c>
      <c r="H33" s="464">
        <f>IF('Input Value'!$F$25=1,'Input Value'!$F$23,0)</f>
        <v>5000000</v>
      </c>
      <c r="I33" s="464">
        <f>IF('Input Value'!$F$25=1,'Input Value'!$F$23,0)</f>
        <v>5000000</v>
      </c>
      <c r="J33" s="464">
        <f>IF('Input Value'!$F$25=1,'Input Value'!$F$23,0)</f>
        <v>5000000</v>
      </c>
      <c r="K33" s="464">
        <f>IF('Input Value'!$F$25=1,'Input Value'!$F$23,0)</f>
        <v>5000000</v>
      </c>
      <c r="L33" s="464">
        <f>IF('Input Value'!$F$25=1,'Input Value'!$F$23,0)</f>
        <v>5000000</v>
      </c>
      <c r="M33" s="464">
        <f>IF('Input Value'!$F$25=1,'Input Value'!$F$23,0)</f>
        <v>5000000</v>
      </c>
      <c r="N33" s="464">
        <f>IF('Input Value'!$F$25=1,'Input Value'!$F$23,0)</f>
        <v>5000000</v>
      </c>
      <c r="O33" s="464">
        <f>IF('Input Value'!$F$25=1,'Input Value'!$F$23,0)</f>
        <v>5000000</v>
      </c>
      <c r="Q33" s="266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469"/>
      <c r="AC33" s="469"/>
    </row>
    <row r="34" spans="2:29" ht="15.75">
      <c r="B34" s="161"/>
      <c r="E34" s="462" t="s">
        <v>136</v>
      </c>
      <c r="F34" s="464">
        <f>F33*'Engineering Calcs'!$C$18*'Engineering Calcs'!$D$21</f>
        <v>3665200</v>
      </c>
      <c r="G34" s="464">
        <f>G33*'Engineering Calcs'!$C$18*'Engineering Calcs'!$D$21</f>
        <v>3665200</v>
      </c>
      <c r="H34" s="464">
        <f>H33*'Engineering Calcs'!$C$18*'Engineering Calcs'!$D$21</f>
        <v>3665200</v>
      </c>
      <c r="I34" s="464">
        <f>I33*'Engineering Calcs'!$C$18*'Engineering Calcs'!$D$21</f>
        <v>3665200</v>
      </c>
      <c r="J34" s="464">
        <f>J33*'Engineering Calcs'!$C$18*'Engineering Calcs'!$D$21</f>
        <v>3665200</v>
      </c>
      <c r="K34" s="464">
        <f>K33*'Engineering Calcs'!$C$18*'Engineering Calcs'!$D$21</f>
        <v>3665200</v>
      </c>
      <c r="L34" s="464">
        <f>L33*'Engineering Calcs'!$C$18*'Engineering Calcs'!$D$21</f>
        <v>3665200</v>
      </c>
      <c r="M34" s="464">
        <f>M33*'Engineering Calcs'!$C$18*'Engineering Calcs'!$D$21</f>
        <v>3665200</v>
      </c>
      <c r="N34" s="464">
        <f>N33*'Engineering Calcs'!$C$18*'Engineering Calcs'!$D$21</f>
        <v>3665200</v>
      </c>
      <c r="O34" s="464">
        <f>O33*'Engineering Calcs'!$C$18*'Engineering Calcs'!$D$21</f>
        <v>3665200</v>
      </c>
      <c r="Q34" s="266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469"/>
      <c r="AC34" s="469"/>
    </row>
    <row r="35" spans="2:29" ht="15.75">
      <c r="B35" s="161"/>
      <c r="E35" s="462"/>
      <c r="F35" s="468"/>
      <c r="G35" s="470"/>
      <c r="H35" s="470"/>
      <c r="I35" s="470"/>
      <c r="J35" s="470"/>
      <c r="K35" s="470"/>
      <c r="L35" s="470"/>
      <c r="M35" s="470"/>
      <c r="N35" s="470"/>
      <c r="Q35" s="266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469"/>
      <c r="AC35" s="469"/>
    </row>
    <row r="36" spans="2:29" ht="15.75">
      <c r="B36" s="1"/>
      <c r="C36" s="471"/>
      <c r="D36" s="472"/>
      <c r="E36" s="4" t="s">
        <v>590</v>
      </c>
      <c r="F36" s="470"/>
      <c r="G36" s="470"/>
      <c r="H36" s="470"/>
      <c r="I36" s="470"/>
      <c r="J36" s="470"/>
      <c r="K36" s="470"/>
      <c r="L36" s="470"/>
      <c r="M36" s="470"/>
      <c r="N36" s="470"/>
      <c r="Q36" s="266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469"/>
      <c r="AC36" s="469"/>
    </row>
    <row r="37" spans="5:29" ht="15.75">
      <c r="E37" s="462" t="str">
        <f>CONCATENATE('Input Value'!I28," Meal")</f>
        <v>Soybeans Meal</v>
      </c>
      <c r="F37" s="469">
        <f>+F26*F13</f>
        <v>0</v>
      </c>
      <c r="G37" s="469">
        <f aca="true" t="shared" si="3" ref="G37:O37">+G26*G13</f>
        <v>0</v>
      </c>
      <c r="H37" s="469">
        <f t="shared" si="3"/>
        <v>0</v>
      </c>
      <c r="I37" s="469">
        <f t="shared" si="3"/>
        <v>0</v>
      </c>
      <c r="J37" s="469">
        <f t="shared" si="3"/>
        <v>0</v>
      </c>
      <c r="K37" s="469">
        <f t="shared" si="3"/>
        <v>0</v>
      </c>
      <c r="L37" s="469">
        <f t="shared" si="3"/>
        <v>0</v>
      </c>
      <c r="M37" s="469">
        <f t="shared" si="3"/>
        <v>0</v>
      </c>
      <c r="N37" s="469">
        <f t="shared" si="3"/>
        <v>0</v>
      </c>
      <c r="O37" s="469">
        <f t="shared" si="3"/>
        <v>0</v>
      </c>
      <c r="Q37" s="266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462"/>
      <c r="AC37" s="462"/>
    </row>
    <row r="38" spans="2:15" ht="12.75">
      <c r="B38" s="162"/>
      <c r="E38" s="462" t="str">
        <f>CONCATENATE('Input Value'!J28," Meal")</f>
        <v>Canola Meal</v>
      </c>
      <c r="F38" s="469">
        <f>+F27*F14</f>
        <v>6742701.519839999</v>
      </c>
      <c r="G38" s="469">
        <f aca="true" t="shared" si="4" ref="G38:O38">+G27*G14</f>
        <v>6810128.5350383995</v>
      </c>
      <c r="H38" s="469">
        <f t="shared" si="4"/>
        <v>6878229.820388783</v>
      </c>
      <c r="I38" s="469">
        <f t="shared" si="4"/>
        <v>6947012.11859267</v>
      </c>
      <c r="J38" s="469">
        <f t="shared" si="4"/>
        <v>7016482.239778598</v>
      </c>
      <c r="K38" s="469">
        <f t="shared" si="4"/>
        <v>7086647.062176384</v>
      </c>
      <c r="L38" s="469">
        <f t="shared" si="4"/>
        <v>7157513.532798148</v>
      </c>
      <c r="M38" s="469">
        <f t="shared" si="4"/>
        <v>7229088.668126129</v>
      </c>
      <c r="N38" s="469">
        <f t="shared" si="4"/>
        <v>7301379.55480739</v>
      </c>
      <c r="O38" s="469">
        <f t="shared" si="4"/>
        <v>7374393.350355464</v>
      </c>
    </row>
    <row r="39" spans="2:17" ht="15.75">
      <c r="B39" s="1"/>
      <c r="C39" s="462"/>
      <c r="D39" s="462"/>
      <c r="E39" s="462" t="str">
        <f>CONCATENATE('Input Value'!K28," Meal")</f>
        <v>Sunflowers Meal</v>
      </c>
      <c r="F39" s="473">
        <f>F28*F15</f>
        <v>0</v>
      </c>
      <c r="G39" s="473">
        <f aca="true" t="shared" si="5" ref="G39:O39">G28*G15</f>
        <v>0</v>
      </c>
      <c r="H39" s="473">
        <f t="shared" si="5"/>
        <v>0</v>
      </c>
      <c r="I39" s="473">
        <f t="shared" si="5"/>
        <v>0</v>
      </c>
      <c r="J39" s="473">
        <f t="shared" si="5"/>
        <v>0</v>
      </c>
      <c r="K39" s="473">
        <f t="shared" si="5"/>
        <v>0</v>
      </c>
      <c r="L39" s="473">
        <f t="shared" si="5"/>
        <v>0</v>
      </c>
      <c r="M39" s="473">
        <f t="shared" si="5"/>
        <v>0</v>
      </c>
      <c r="N39" s="473">
        <f t="shared" si="5"/>
        <v>0</v>
      </c>
      <c r="O39" s="473">
        <f t="shared" si="5"/>
        <v>0</v>
      </c>
      <c r="Q39" s="256"/>
    </row>
    <row r="40" spans="5:27" ht="15.75">
      <c r="E40" s="462" t="str">
        <f>CONCATENATE('Input Value'!I28," Oil")</f>
        <v>Soybeans Oil</v>
      </c>
      <c r="F40" s="473">
        <f aca="true" t="shared" si="6" ref="F40:O40">+F29*F16</f>
        <v>0</v>
      </c>
      <c r="G40" s="473">
        <f t="shared" si="6"/>
        <v>0</v>
      </c>
      <c r="H40" s="473">
        <f t="shared" si="6"/>
        <v>0</v>
      </c>
      <c r="I40" s="473">
        <f t="shared" si="6"/>
        <v>0</v>
      </c>
      <c r="J40" s="473">
        <f t="shared" si="6"/>
        <v>0</v>
      </c>
      <c r="K40" s="473">
        <f t="shared" si="6"/>
        <v>0</v>
      </c>
      <c r="L40" s="473">
        <f t="shared" si="6"/>
        <v>0</v>
      </c>
      <c r="M40" s="473">
        <f t="shared" si="6"/>
        <v>0</v>
      </c>
      <c r="N40" s="473">
        <f t="shared" si="6"/>
        <v>0</v>
      </c>
      <c r="O40" s="473">
        <f t="shared" si="6"/>
        <v>0</v>
      </c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</row>
    <row r="41" spans="2:27" ht="15.75">
      <c r="B41" s="1"/>
      <c r="C41" s="473"/>
      <c r="D41" s="473"/>
      <c r="E41" s="462" t="str">
        <f>CONCATENATE('Input Value'!J28," Oil")</f>
        <v>Canola Oil</v>
      </c>
      <c r="F41" s="473">
        <f aca="true" t="shared" si="7" ref="F41:O41">+F30*F17</f>
        <v>0</v>
      </c>
      <c r="G41" s="473">
        <f t="shared" si="7"/>
        <v>0</v>
      </c>
      <c r="H41" s="473">
        <f t="shared" si="7"/>
        <v>0</v>
      </c>
      <c r="I41" s="473">
        <f t="shared" si="7"/>
        <v>0</v>
      </c>
      <c r="J41" s="473">
        <f t="shared" si="7"/>
        <v>0</v>
      </c>
      <c r="K41" s="473">
        <f t="shared" si="7"/>
        <v>0</v>
      </c>
      <c r="L41" s="473">
        <f t="shared" si="7"/>
        <v>0</v>
      </c>
      <c r="M41" s="473">
        <f t="shared" si="7"/>
        <v>0</v>
      </c>
      <c r="N41" s="473">
        <f t="shared" si="7"/>
        <v>0</v>
      </c>
      <c r="O41" s="473">
        <f t="shared" si="7"/>
        <v>0</v>
      </c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</row>
    <row r="42" spans="5:27" ht="15.75">
      <c r="E42" s="462" t="str">
        <f>CONCATENATE('Input Value'!K28," Oil")</f>
        <v>Sunflowers Oil</v>
      </c>
      <c r="F42" s="467">
        <f aca="true" t="shared" si="8" ref="F42:O42">+F31*F18</f>
        <v>0</v>
      </c>
      <c r="G42" s="467">
        <f t="shared" si="8"/>
        <v>0</v>
      </c>
      <c r="H42" s="467">
        <f t="shared" si="8"/>
        <v>0</v>
      </c>
      <c r="I42" s="467">
        <f t="shared" si="8"/>
        <v>0</v>
      </c>
      <c r="J42" s="467">
        <f t="shared" si="8"/>
        <v>0</v>
      </c>
      <c r="K42" s="467">
        <f t="shared" si="8"/>
        <v>0</v>
      </c>
      <c r="L42" s="467">
        <f t="shared" si="8"/>
        <v>0</v>
      </c>
      <c r="M42" s="467">
        <f t="shared" si="8"/>
        <v>0</v>
      </c>
      <c r="N42" s="467">
        <f t="shared" si="8"/>
        <v>0</v>
      </c>
      <c r="O42" s="467">
        <f t="shared" si="8"/>
        <v>0</v>
      </c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</row>
    <row r="43" spans="2:17" ht="12.75">
      <c r="B43" s="1"/>
      <c r="E43" s="462" t="str">
        <f>CONCATENATE('Input Value'!J15," hulls")</f>
        <v>Soybeans hulls</v>
      </c>
      <c r="F43" s="470">
        <f aca="true" t="shared" si="9" ref="F43:O43">+F32*F19</f>
        <v>0</v>
      </c>
      <c r="G43" s="470">
        <f t="shared" si="9"/>
        <v>0</v>
      </c>
      <c r="H43" s="470">
        <f t="shared" si="9"/>
        <v>0</v>
      </c>
      <c r="I43" s="470">
        <f t="shared" si="9"/>
        <v>0</v>
      </c>
      <c r="J43" s="470">
        <f t="shared" si="9"/>
        <v>0</v>
      </c>
      <c r="K43" s="470">
        <f t="shared" si="9"/>
        <v>0</v>
      </c>
      <c r="L43" s="470">
        <f t="shared" si="9"/>
        <v>0</v>
      </c>
      <c r="M43" s="470">
        <f t="shared" si="9"/>
        <v>0</v>
      </c>
      <c r="N43" s="470">
        <f t="shared" si="9"/>
        <v>0</v>
      </c>
      <c r="O43" s="470">
        <f t="shared" si="9"/>
        <v>0</v>
      </c>
      <c r="Q43" s="462"/>
    </row>
    <row r="44" spans="2:17" ht="12.75">
      <c r="B44" s="1"/>
      <c r="D44" s="473"/>
      <c r="E44" s="462" t="s">
        <v>648</v>
      </c>
      <c r="F44" s="473">
        <f aca="true" t="shared" si="10" ref="F44:O44">F33*F20</f>
        <v>17150000</v>
      </c>
      <c r="G44" s="473">
        <f t="shared" si="10"/>
        <v>17321500</v>
      </c>
      <c r="H44" s="473">
        <f t="shared" si="10"/>
        <v>17494715</v>
      </c>
      <c r="I44" s="473">
        <f t="shared" si="10"/>
        <v>17669662.150000002</v>
      </c>
      <c r="J44" s="473">
        <f t="shared" si="10"/>
        <v>17846358.771500003</v>
      </c>
      <c r="K44" s="473">
        <f t="shared" si="10"/>
        <v>18024822.359215003</v>
      </c>
      <c r="L44" s="473">
        <f t="shared" si="10"/>
        <v>18205070.582807153</v>
      </c>
      <c r="M44" s="473">
        <f t="shared" si="10"/>
        <v>18387121.288635224</v>
      </c>
      <c r="N44" s="473">
        <f t="shared" si="10"/>
        <v>18570992.501521576</v>
      </c>
      <c r="O44" s="473">
        <f t="shared" si="10"/>
        <v>18756702.426536795</v>
      </c>
      <c r="Q44" s="462"/>
    </row>
    <row r="45" spans="2:17" ht="12.75">
      <c r="B45" s="1"/>
      <c r="E45" s="462" t="s">
        <v>653</v>
      </c>
      <c r="F45" s="473">
        <f aca="true" t="shared" si="11" ref="F45:O45">F34*F21</f>
        <v>687224.9999999999</v>
      </c>
      <c r="G45" s="473">
        <f t="shared" si="11"/>
        <v>694097.2499999999</v>
      </c>
      <c r="H45" s="473">
        <f t="shared" si="11"/>
        <v>701038.2224999998</v>
      </c>
      <c r="I45" s="473">
        <f t="shared" si="11"/>
        <v>708048.6047249999</v>
      </c>
      <c r="J45" s="473">
        <f t="shared" si="11"/>
        <v>715129.09077225</v>
      </c>
      <c r="K45" s="473">
        <f t="shared" si="11"/>
        <v>722280.3816799724</v>
      </c>
      <c r="L45" s="473">
        <f t="shared" si="11"/>
        <v>729503.1854967722</v>
      </c>
      <c r="M45" s="473">
        <f t="shared" si="11"/>
        <v>736798.2173517399</v>
      </c>
      <c r="N45" s="473">
        <f t="shared" si="11"/>
        <v>744166.1995252573</v>
      </c>
      <c r="O45" s="473">
        <f t="shared" si="11"/>
        <v>751607.8615205098</v>
      </c>
      <c r="P45" s="473"/>
      <c r="Q45" s="466"/>
    </row>
    <row r="46" spans="2:17" ht="12.75">
      <c r="B46" s="13"/>
      <c r="C46" s="474"/>
      <c r="D46" s="474"/>
      <c r="E46" s="462" t="s">
        <v>594</v>
      </c>
      <c r="F46" s="469">
        <f>SUM(F37:F45)</f>
        <v>24579926.51984</v>
      </c>
      <c r="G46" s="469">
        <f aca="true" t="shared" si="12" ref="G46:O46">SUM(G37:G45)</f>
        <v>24825725.7850384</v>
      </c>
      <c r="H46" s="469">
        <f t="shared" si="12"/>
        <v>25073983.042888783</v>
      </c>
      <c r="I46" s="469">
        <f t="shared" si="12"/>
        <v>25324722.87331767</v>
      </c>
      <c r="J46" s="469">
        <f t="shared" si="12"/>
        <v>25577970.10205085</v>
      </c>
      <c r="K46" s="469">
        <f t="shared" si="12"/>
        <v>25833749.803071357</v>
      </c>
      <c r="L46" s="469">
        <f t="shared" si="12"/>
        <v>26092087.301102076</v>
      </c>
      <c r="M46" s="469">
        <f t="shared" si="12"/>
        <v>26353008.17411309</v>
      </c>
      <c r="N46" s="469">
        <f t="shared" si="12"/>
        <v>26616538.255854223</v>
      </c>
      <c r="O46" s="469">
        <f t="shared" si="12"/>
        <v>26882703.63841277</v>
      </c>
      <c r="Q46" s="462"/>
    </row>
    <row r="47" spans="2:17" ht="12.75">
      <c r="B47" s="158"/>
      <c r="C47" s="475"/>
      <c r="D47" s="476"/>
      <c r="F47" s="470"/>
      <c r="Q47" s="462"/>
    </row>
    <row r="48" spans="2:14" ht="12.75">
      <c r="B48" s="158"/>
      <c r="C48" s="477"/>
      <c r="D48" s="478"/>
      <c r="E48" s="227" t="s">
        <v>577</v>
      </c>
      <c r="F48" s="470"/>
      <c r="G48" s="472"/>
      <c r="H48" s="472"/>
      <c r="I48" s="472"/>
      <c r="J48" s="472"/>
      <c r="K48" s="472"/>
      <c r="L48" s="472"/>
      <c r="M48" s="472"/>
      <c r="N48" s="472"/>
    </row>
    <row r="49" spans="2:15" ht="12.75">
      <c r="B49" s="158"/>
      <c r="C49" s="479"/>
      <c r="D49" s="478"/>
      <c r="E49" s="472" t="str">
        <f>CONCATENATE('Input Value'!I28," ","(",'Input Value'!I5,")")</f>
        <v>Soybeans (bu)</v>
      </c>
      <c r="F49" s="461">
        <f>IF('Input Value'!$I$5="lbs",+F4*2000,(+F4*2000)/'Input Value'!$I$6)</f>
        <v>0</v>
      </c>
      <c r="G49" s="461">
        <f>IF('Input Value'!$I$5="lbs",+G4*2000,(+G4*2000)/'Input Value'!$I$6)</f>
        <v>0</v>
      </c>
      <c r="H49" s="461">
        <f>IF('Input Value'!$I$5="lbs",+H4*2000,(+H4*2000)/'Input Value'!$I$6)</f>
        <v>0</v>
      </c>
      <c r="I49" s="461">
        <f>IF('Input Value'!$I$5="lbs",+I4*2000,(+I4*2000)/'Input Value'!$I$6)</f>
        <v>0</v>
      </c>
      <c r="J49" s="461">
        <f>IF('Input Value'!$I$5="lbs",+J4*2000,(+J4*2000)/'Input Value'!$I$6)</f>
        <v>0</v>
      </c>
      <c r="K49" s="461">
        <f>IF('Input Value'!$I$5="lbs",+K4*2000,(+K4*2000)/'Input Value'!$I$6)</f>
        <v>0</v>
      </c>
      <c r="L49" s="461">
        <f>IF('Input Value'!$I$5="lbs",+L4*2000,(+L4*2000)/'Input Value'!$I$6)</f>
        <v>0</v>
      </c>
      <c r="M49" s="461">
        <f>IF('Input Value'!$I$5="lbs",+M4*2000,(+M4*2000)/'Input Value'!$I$6)</f>
        <v>0</v>
      </c>
      <c r="N49" s="461">
        <f>IF('Input Value'!$I$5="lbs",+N4*2000,(+N4*2000)/'Input Value'!$I$6)</f>
        <v>0</v>
      </c>
      <c r="O49" s="461">
        <f>IF('Input Value'!$I$5="lbs",+O4*2000,(+O4*2000)/'Input Value'!$I$6)</f>
        <v>0</v>
      </c>
    </row>
    <row r="50" spans="2:15" ht="12.75">
      <c r="B50" s="158"/>
      <c r="C50" s="479"/>
      <c r="D50" s="478"/>
      <c r="E50" s="472" t="str">
        <f>CONCATENATE('Input Value'!J28," ","(",'Input Value'!I9,")")</f>
        <v>Canola (lbs)</v>
      </c>
      <c r="F50" s="461">
        <f>IF('Input Value'!$I$9="lbs",+F5*2000,(+F5*2000)/'Input Value'!$I$10)</f>
        <v>88920000</v>
      </c>
      <c r="G50" s="461">
        <f>IF('Input Value'!$I$9="lbs",+G5*2000,(+G5*2000)/'Input Value'!$I$10)</f>
        <v>88920000</v>
      </c>
      <c r="H50" s="461">
        <f>IF('Input Value'!$I$9="lbs",+H5*2000,(+H5*2000)/'Input Value'!$I$10)</f>
        <v>88920000</v>
      </c>
      <c r="I50" s="461">
        <f>IF('Input Value'!$I$9="lbs",+I5*2000,(+I5*2000)/'Input Value'!$I$10)</f>
        <v>88920000</v>
      </c>
      <c r="J50" s="461">
        <f>IF('Input Value'!$I$9="lbs",+J5*2000,(+J5*2000)/'Input Value'!$I$10)</f>
        <v>88920000</v>
      </c>
      <c r="K50" s="461">
        <f>IF('Input Value'!$I$9="lbs",+K5*2000,(+K5*2000)/'Input Value'!$I$10)</f>
        <v>88920000</v>
      </c>
      <c r="L50" s="461">
        <f>IF('Input Value'!$I$9="lbs",+L5*2000,(+L5*2000)/'Input Value'!$I$10)</f>
        <v>88920000</v>
      </c>
      <c r="M50" s="461">
        <f>IF('Input Value'!$I$9="lbs",+M5*2000,(+M5*2000)/'Input Value'!$I$10)</f>
        <v>88920000</v>
      </c>
      <c r="N50" s="461">
        <f>IF('Input Value'!$I$9="lbs",+N5*2000,(+N5*2000)/'Input Value'!$I$10)</f>
        <v>88920000</v>
      </c>
      <c r="O50" s="461">
        <f>IF('Input Value'!$I$9="lbs",+O5*2000,(+O5*2000)/'Input Value'!$I$10)</f>
        <v>88920000</v>
      </c>
    </row>
    <row r="51" spans="2:17" ht="12.75">
      <c r="B51" s="158"/>
      <c r="C51" s="479"/>
      <c r="D51" s="478"/>
      <c r="E51" s="472" t="str">
        <f>CONCATENATE('Input Value'!K28," ","(",'Input Value'!I13,")")</f>
        <v>Sunflowers (lbs)</v>
      </c>
      <c r="F51" s="461">
        <f>IF('Input Value'!$I$13="lbs",+F6*2000,(+F6*2000)/'Input Value'!$I$14)</f>
        <v>0</v>
      </c>
      <c r="G51" s="461">
        <f>IF('Input Value'!$I$13="lbs",+G6*2000,(+G6*2000)/'Input Value'!$I$14)</f>
        <v>0</v>
      </c>
      <c r="H51" s="461">
        <f>IF('Input Value'!$I$13="lbs",+H6*2000,(+H6*2000)/'Input Value'!$I$14)</f>
        <v>0</v>
      </c>
      <c r="I51" s="461">
        <f>IF('Input Value'!$I$13="lbs",+I6*2000,(+I6*2000)/'Input Value'!$I$14)</f>
        <v>0</v>
      </c>
      <c r="J51" s="461">
        <f>IF('Input Value'!$I$13="lbs",+J6*2000,(+J6*2000)/'Input Value'!$I$14)</f>
        <v>0</v>
      </c>
      <c r="K51" s="461">
        <f>IF('Input Value'!$I$13="lbs",+K6*2000,(+K6*2000)/'Input Value'!$I$14)</f>
        <v>0</v>
      </c>
      <c r="L51" s="461">
        <f>IF('Input Value'!$I$13="lbs",+L6*2000,(+L6*2000)/'Input Value'!$I$14)</f>
        <v>0</v>
      </c>
      <c r="M51" s="461">
        <f>IF('Input Value'!$I$13="lbs",+M6*2000,(+M6*2000)/'Input Value'!$I$14)</f>
        <v>0</v>
      </c>
      <c r="N51" s="461">
        <f>IF('Input Value'!$I$13="lbs",+N6*2000,(+N6*2000)/'Input Value'!$I$14)</f>
        <v>0</v>
      </c>
      <c r="O51" s="461">
        <f>IF('Input Value'!$I$13="lbs",+O6*2000,(+O6*2000)/'Input Value'!$I$14)</f>
        <v>0</v>
      </c>
      <c r="Q51" s="462"/>
    </row>
    <row r="52" spans="2:15" ht="12.75">
      <c r="B52" s="13"/>
      <c r="C52" s="479"/>
      <c r="D52" s="478"/>
      <c r="E52" s="472" t="str">
        <f>CONCATENATE('Input Value'!I28," (tons)")</f>
        <v>Soybeans (tons)</v>
      </c>
      <c r="F52" s="462">
        <f>+F4</f>
        <v>0</v>
      </c>
      <c r="G52" s="462">
        <f aca="true" t="shared" si="13" ref="G52:O52">+G4</f>
        <v>0</v>
      </c>
      <c r="H52" s="462">
        <f t="shared" si="13"/>
        <v>0</v>
      </c>
      <c r="I52" s="462">
        <f t="shared" si="13"/>
        <v>0</v>
      </c>
      <c r="J52" s="462">
        <f t="shared" si="13"/>
        <v>0</v>
      </c>
      <c r="K52" s="462">
        <f t="shared" si="13"/>
        <v>0</v>
      </c>
      <c r="L52" s="462">
        <f t="shared" si="13"/>
        <v>0</v>
      </c>
      <c r="M52" s="462">
        <f t="shared" si="13"/>
        <v>0</v>
      </c>
      <c r="N52" s="462">
        <f t="shared" si="13"/>
        <v>0</v>
      </c>
      <c r="O52" s="462">
        <f t="shared" si="13"/>
        <v>0</v>
      </c>
    </row>
    <row r="53" spans="2:15" ht="12.75">
      <c r="B53" s="158"/>
      <c r="C53" s="479"/>
      <c r="D53" s="480"/>
      <c r="E53" s="472" t="str">
        <f>CONCATENATE('Input Value'!J28," (tons)")</f>
        <v>Canola (tons)</v>
      </c>
      <c r="F53" s="462">
        <f aca="true" t="shared" si="14" ref="F53:O54">+F5</f>
        <v>44460</v>
      </c>
      <c r="G53" s="462">
        <f t="shared" si="14"/>
        <v>44460</v>
      </c>
      <c r="H53" s="462">
        <f t="shared" si="14"/>
        <v>44460</v>
      </c>
      <c r="I53" s="462">
        <f t="shared" si="14"/>
        <v>44460</v>
      </c>
      <c r="J53" s="462">
        <f t="shared" si="14"/>
        <v>44460</v>
      </c>
      <c r="K53" s="462">
        <f t="shared" si="14"/>
        <v>44460</v>
      </c>
      <c r="L53" s="462">
        <f t="shared" si="14"/>
        <v>44460</v>
      </c>
      <c r="M53" s="462">
        <f t="shared" si="14"/>
        <v>44460</v>
      </c>
      <c r="N53" s="462">
        <f t="shared" si="14"/>
        <v>44460</v>
      </c>
      <c r="O53" s="462">
        <f t="shared" si="14"/>
        <v>44460</v>
      </c>
    </row>
    <row r="54" spans="2:15" ht="12.75">
      <c r="B54" s="173"/>
      <c r="C54" s="474"/>
      <c r="D54" s="480"/>
      <c r="E54" s="472" t="str">
        <f>CONCATENATE('Input Value'!K28," (tons)")</f>
        <v>Sunflowers (tons)</v>
      </c>
      <c r="F54" s="462">
        <f t="shared" si="14"/>
        <v>0</v>
      </c>
      <c r="G54" s="462">
        <f t="shared" si="14"/>
        <v>0</v>
      </c>
      <c r="H54" s="462">
        <f t="shared" si="14"/>
        <v>0</v>
      </c>
      <c r="I54" s="462">
        <f t="shared" si="14"/>
        <v>0</v>
      </c>
      <c r="J54" s="462">
        <f t="shared" si="14"/>
        <v>0</v>
      </c>
      <c r="K54" s="462">
        <f t="shared" si="14"/>
        <v>0</v>
      </c>
      <c r="L54" s="462">
        <f t="shared" si="14"/>
        <v>0</v>
      </c>
      <c r="M54" s="462">
        <f t="shared" si="14"/>
        <v>0</v>
      </c>
      <c r="N54" s="462">
        <f t="shared" si="14"/>
        <v>0</v>
      </c>
      <c r="O54" s="462">
        <f t="shared" si="14"/>
        <v>0</v>
      </c>
    </row>
    <row r="55" spans="2:15" ht="12.75">
      <c r="B55" s="173"/>
      <c r="C55" s="474"/>
      <c r="D55" s="480"/>
      <c r="E55" s="472" t="str">
        <f>CONCATENATE('Input Value'!J30," (lbs)")</f>
        <v>PBSY Cottonseed Oil (lbs)</v>
      </c>
      <c r="F55" s="462">
        <f>'Input Value'!$M$48</f>
        <v>13280951.36</v>
      </c>
      <c r="G55" s="462">
        <f>'Input Value'!$M$48</f>
        <v>13280951.36</v>
      </c>
      <c r="H55" s="462">
        <f>'Input Value'!$M$48</f>
        <v>13280951.36</v>
      </c>
      <c r="I55" s="462">
        <f>'Input Value'!$M$48</f>
        <v>13280951.36</v>
      </c>
      <c r="J55" s="462">
        <f>'Input Value'!$M$48</f>
        <v>13280951.36</v>
      </c>
      <c r="K55" s="462">
        <f>'Input Value'!$M$48</f>
        <v>13280951.36</v>
      </c>
      <c r="L55" s="462">
        <f>'Input Value'!$M$48</f>
        <v>13280951.36</v>
      </c>
      <c r="M55" s="462">
        <f>'Input Value'!$M$48</f>
        <v>13280951.36</v>
      </c>
      <c r="N55" s="462">
        <f>'Input Value'!$M$48</f>
        <v>13280951.36</v>
      </c>
      <c r="O55" s="462">
        <f>'Input Value'!$M$48</f>
        <v>13280951.36</v>
      </c>
    </row>
    <row r="56" spans="2:15" ht="12.75">
      <c r="B56" s="173"/>
      <c r="C56" s="474"/>
      <c r="D56" s="480"/>
      <c r="E56" s="228" t="s">
        <v>127</v>
      </c>
      <c r="F56" s="462">
        <f>F33*('Engineering Calcs'!$K$15/100-'Engineering Calcs'!$O$19)</f>
        <v>1099999.9999999998</v>
      </c>
      <c r="G56" s="462">
        <f>G33*('Engineering Calcs'!$K$15/100-'Engineering Calcs'!$O$19)</f>
        <v>1099999.9999999998</v>
      </c>
      <c r="H56" s="462">
        <f>H33*('Engineering Calcs'!$K$15/100-'Engineering Calcs'!$O$19)</f>
        <v>1099999.9999999998</v>
      </c>
      <c r="I56" s="462">
        <f>I33*('Engineering Calcs'!$K$15/100-'Engineering Calcs'!$O$19)</f>
        <v>1099999.9999999998</v>
      </c>
      <c r="J56" s="462">
        <f>J33*('Engineering Calcs'!$K$15/100-'Engineering Calcs'!$O$19)</f>
        <v>1099999.9999999998</v>
      </c>
      <c r="K56" s="462">
        <f>K33*('Engineering Calcs'!$K$15/100-'Engineering Calcs'!$O$19)</f>
        <v>1099999.9999999998</v>
      </c>
      <c r="L56" s="462">
        <f>L33*('Engineering Calcs'!$K$15/100-'Engineering Calcs'!$O$19)</f>
        <v>1099999.9999999998</v>
      </c>
      <c r="M56" s="462">
        <f>M33*('Engineering Calcs'!$K$15/100-'Engineering Calcs'!$O$19)</f>
        <v>1099999.9999999998</v>
      </c>
      <c r="N56" s="462">
        <f>N33*('Engineering Calcs'!$K$15/100-'Engineering Calcs'!$O$19)</f>
        <v>1099999.9999999998</v>
      </c>
      <c r="O56" s="462">
        <f>O33*('Engineering Calcs'!$K$15/100-'Engineering Calcs'!$O$19)</f>
        <v>1099999.9999999998</v>
      </c>
    </row>
    <row r="57" spans="2:15" ht="12.75">
      <c r="B57" s="173"/>
      <c r="C57" s="474"/>
      <c r="D57" s="480"/>
      <c r="E57" s="228" t="s">
        <v>840</v>
      </c>
      <c r="F57" s="462">
        <f>'Input Value'!$F$23*'Engineering Calcs'!$D$21*'Engineering Calcs'!$C$28</f>
        <v>366520</v>
      </c>
      <c r="G57" s="462">
        <f>'Input Value'!$F$23*'Engineering Calcs'!$D$21*'Engineering Calcs'!$C$28</f>
        <v>366520</v>
      </c>
      <c r="H57" s="462">
        <f>'Input Value'!$F$23*'Engineering Calcs'!$D$21*'Engineering Calcs'!$C$28</f>
        <v>366520</v>
      </c>
      <c r="I57" s="462">
        <f>'Input Value'!$F$23*'Engineering Calcs'!$D$21*'Engineering Calcs'!$C$28</f>
        <v>366520</v>
      </c>
      <c r="J57" s="462">
        <f>'Input Value'!$F$23*'Engineering Calcs'!$D$21*'Engineering Calcs'!$C$28</f>
        <v>366520</v>
      </c>
      <c r="K57" s="462">
        <f>'Input Value'!$F$23*'Engineering Calcs'!$D$21*'Engineering Calcs'!$C$28</f>
        <v>366520</v>
      </c>
      <c r="L57" s="462">
        <f>'Input Value'!$F$23*'Engineering Calcs'!$D$21*'Engineering Calcs'!$C$28</f>
        <v>366520</v>
      </c>
      <c r="M57" s="462">
        <f>'Input Value'!$F$23*'Engineering Calcs'!$D$21*'Engineering Calcs'!$C$28</f>
        <v>366520</v>
      </c>
      <c r="N57" s="462">
        <f>'Input Value'!$F$23*'Engineering Calcs'!$D$21*'Engineering Calcs'!$C$28</f>
        <v>366520</v>
      </c>
      <c r="O57" s="462">
        <f>'Input Value'!$F$23*'Engineering Calcs'!$D$21*'Engineering Calcs'!$C$28</f>
        <v>366520</v>
      </c>
    </row>
    <row r="58" spans="2:4" ht="12.75">
      <c r="B58" s="1"/>
      <c r="D58" s="470"/>
    </row>
    <row r="59" spans="5:14" ht="12.75">
      <c r="E59" s="360" t="s">
        <v>576</v>
      </c>
      <c r="F59" s="471"/>
      <c r="G59" s="473"/>
      <c r="H59" s="473"/>
      <c r="I59" s="473"/>
      <c r="J59" s="473"/>
      <c r="K59" s="473"/>
      <c r="L59" s="473"/>
      <c r="M59" s="473"/>
      <c r="N59" s="11"/>
    </row>
    <row r="60" spans="5:15" ht="12.75">
      <c r="E60" s="472" t="str">
        <f>'Input Value'!I28</f>
        <v>Soybeans</v>
      </c>
      <c r="F60" s="469">
        <f aca="true" t="shared" si="15" ref="F60:O60">+F49*F9</f>
        <v>0</v>
      </c>
      <c r="G60" s="469">
        <f t="shared" si="15"/>
        <v>0</v>
      </c>
      <c r="H60" s="469">
        <f t="shared" si="15"/>
        <v>0</v>
      </c>
      <c r="I60" s="469">
        <f t="shared" si="15"/>
        <v>0</v>
      </c>
      <c r="J60" s="469">
        <f t="shared" si="15"/>
        <v>0</v>
      </c>
      <c r="K60" s="469">
        <f t="shared" si="15"/>
        <v>0</v>
      </c>
      <c r="L60" s="469">
        <f t="shared" si="15"/>
        <v>0</v>
      </c>
      <c r="M60" s="469">
        <f t="shared" si="15"/>
        <v>0</v>
      </c>
      <c r="N60" s="469">
        <f t="shared" si="15"/>
        <v>0</v>
      </c>
      <c r="O60" s="469">
        <f t="shared" si="15"/>
        <v>0</v>
      </c>
    </row>
    <row r="61" spans="3:15" ht="12.75">
      <c r="C61" s="462"/>
      <c r="D61" s="462"/>
      <c r="E61" s="472" t="str">
        <f>'Input Value'!J28</f>
        <v>Canola</v>
      </c>
      <c r="F61" s="469">
        <f aca="true" t="shared" si="16" ref="F61:O61">+F50*F10</f>
        <v>16734744</v>
      </c>
      <c r="G61" s="469">
        <f t="shared" si="16"/>
        <v>16902091.44</v>
      </c>
      <c r="H61" s="469">
        <f t="shared" si="16"/>
        <v>17071112.3544</v>
      </c>
      <c r="I61" s="469">
        <f t="shared" si="16"/>
        <v>17241823.477944</v>
      </c>
      <c r="J61" s="469">
        <f t="shared" si="16"/>
        <v>17414241.71272344</v>
      </c>
      <c r="K61" s="469">
        <f t="shared" si="16"/>
        <v>17588384.129850674</v>
      </c>
      <c r="L61" s="469">
        <f t="shared" si="16"/>
        <v>17764267.971149184</v>
      </c>
      <c r="M61" s="469">
        <f t="shared" si="16"/>
        <v>17941910.650860675</v>
      </c>
      <c r="N61" s="469">
        <f t="shared" si="16"/>
        <v>18121329.75736928</v>
      </c>
      <c r="O61" s="469">
        <f t="shared" si="16"/>
        <v>18302543.054942973</v>
      </c>
    </row>
    <row r="62" spans="3:15" ht="12.75">
      <c r="C62" s="462"/>
      <c r="D62" s="462"/>
      <c r="E62" s="228" t="str">
        <f>'Input Value'!K28</f>
        <v>Sunflowers</v>
      </c>
      <c r="F62" s="469">
        <f aca="true" t="shared" si="17" ref="F62:O62">+F51*F11</f>
        <v>0</v>
      </c>
      <c r="G62" s="469">
        <f t="shared" si="17"/>
        <v>0</v>
      </c>
      <c r="H62" s="469">
        <f t="shared" si="17"/>
        <v>0</v>
      </c>
      <c r="I62" s="469">
        <f t="shared" si="17"/>
        <v>0</v>
      </c>
      <c r="J62" s="469">
        <f t="shared" si="17"/>
        <v>0</v>
      </c>
      <c r="K62" s="469">
        <f t="shared" si="17"/>
        <v>0</v>
      </c>
      <c r="L62" s="469">
        <f t="shared" si="17"/>
        <v>0</v>
      </c>
      <c r="M62" s="469">
        <f t="shared" si="17"/>
        <v>0</v>
      </c>
      <c r="N62" s="469">
        <f t="shared" si="17"/>
        <v>0</v>
      </c>
      <c r="O62" s="469">
        <f t="shared" si="17"/>
        <v>0</v>
      </c>
    </row>
    <row r="63" spans="3:15" ht="12.75">
      <c r="C63" s="462"/>
      <c r="D63" s="462"/>
      <c r="E63" s="228" t="str">
        <f>'Input Value'!J30</f>
        <v>PBSY Cottonseed Oil</v>
      </c>
      <c r="F63" s="469">
        <f aca="true" t="shared" si="18" ref="F63:O63">F55*F12</f>
        <v>7038904.2208</v>
      </c>
      <c r="G63" s="469">
        <f t="shared" si="18"/>
        <v>7109293.263007999</v>
      </c>
      <c r="H63" s="469">
        <f t="shared" si="18"/>
        <v>7180386.19563808</v>
      </c>
      <c r="I63" s="469">
        <f t="shared" si="18"/>
        <v>7252190.057594461</v>
      </c>
      <c r="J63" s="469">
        <f t="shared" si="18"/>
        <v>7324711.958170406</v>
      </c>
      <c r="K63" s="469">
        <f t="shared" si="18"/>
        <v>7397959.07775211</v>
      </c>
      <c r="L63" s="469">
        <f t="shared" si="18"/>
        <v>7471938.668529631</v>
      </c>
      <c r="M63" s="469">
        <f t="shared" si="18"/>
        <v>7546658.055214927</v>
      </c>
      <c r="N63" s="469">
        <f t="shared" si="18"/>
        <v>7622124.635767077</v>
      </c>
      <c r="O63" s="469">
        <f t="shared" si="18"/>
        <v>7698345.882124747</v>
      </c>
    </row>
    <row r="64" spans="3:15" ht="12.75">
      <c r="C64" s="462"/>
      <c r="D64" s="462"/>
      <c r="E64" s="228" t="s">
        <v>645</v>
      </c>
      <c r="F64" s="469">
        <f aca="true" t="shared" si="19" ref="F64:O64">F56*F22</f>
        <v>3024999.9999999995</v>
      </c>
      <c r="G64" s="469">
        <f t="shared" si="19"/>
        <v>3055249.999999999</v>
      </c>
      <c r="H64" s="469">
        <f t="shared" si="19"/>
        <v>3085802.4999999995</v>
      </c>
      <c r="I64" s="469">
        <f t="shared" si="19"/>
        <v>3116660.5249999994</v>
      </c>
      <c r="J64" s="469">
        <f t="shared" si="19"/>
        <v>3147827.130249999</v>
      </c>
      <c r="K64" s="469">
        <f t="shared" si="19"/>
        <v>3179305.401552499</v>
      </c>
      <c r="L64" s="469">
        <f t="shared" si="19"/>
        <v>3211098.455568024</v>
      </c>
      <c r="M64" s="469">
        <f t="shared" si="19"/>
        <v>3243209.4401237043</v>
      </c>
      <c r="N64" s="469">
        <f t="shared" si="19"/>
        <v>3275641.5345249414</v>
      </c>
      <c r="O64" s="469">
        <f t="shared" si="19"/>
        <v>3308397.9498701906</v>
      </c>
    </row>
    <row r="65" spans="3:15" ht="12.75">
      <c r="C65" s="462"/>
      <c r="D65" s="462"/>
      <c r="E65" s="228" t="s">
        <v>841</v>
      </c>
      <c r="F65" s="469">
        <f>F57/2000*F23</f>
        <v>64141</v>
      </c>
      <c r="G65" s="469">
        <f>G57/2000*G23</f>
        <v>64782.409999999996</v>
      </c>
      <c r="H65" s="469">
        <f aca="true" t="shared" si="20" ref="H65:O65">H57/2000*H23</f>
        <v>65430.2341</v>
      </c>
      <c r="I65" s="469">
        <f t="shared" si="20"/>
        <v>66084.536441</v>
      </c>
      <c r="J65" s="469">
        <f t="shared" si="20"/>
        <v>66745.38180541001</v>
      </c>
      <c r="K65" s="469">
        <f t="shared" si="20"/>
        <v>67412.83562346411</v>
      </c>
      <c r="L65" s="469">
        <f t="shared" si="20"/>
        <v>68086.96397969876</v>
      </c>
      <c r="M65" s="469">
        <f t="shared" si="20"/>
        <v>68767.83361949575</v>
      </c>
      <c r="N65" s="469">
        <f t="shared" si="20"/>
        <v>69455.51195569072</v>
      </c>
      <c r="O65" s="469">
        <f t="shared" si="20"/>
        <v>70150.06707524761</v>
      </c>
    </row>
    <row r="66" spans="3:15" ht="12.75">
      <c r="C66" s="4"/>
      <c r="D66" s="4"/>
      <c r="E66" s="455" t="s">
        <v>595</v>
      </c>
      <c r="F66" s="469">
        <f>SUM(F60:F65)</f>
        <v>26862789.2208</v>
      </c>
      <c r="G66" s="469">
        <f aca="true" t="shared" si="21" ref="G66:O66">SUM(G60:G64)</f>
        <v>27066634.703008</v>
      </c>
      <c r="H66" s="469">
        <f t="shared" si="21"/>
        <v>27337301.05003808</v>
      </c>
      <c r="I66" s="469">
        <f t="shared" si="21"/>
        <v>27610674.060538463</v>
      </c>
      <c r="J66" s="469">
        <f t="shared" si="21"/>
        <v>27886780.801143847</v>
      </c>
      <c r="K66" s="469">
        <f t="shared" si="21"/>
        <v>28165648.609155282</v>
      </c>
      <c r="L66" s="469">
        <f t="shared" si="21"/>
        <v>28447305.095246837</v>
      </c>
      <c r="M66" s="469">
        <f t="shared" si="21"/>
        <v>28731778.146199305</v>
      </c>
      <c r="N66" s="469">
        <f t="shared" si="21"/>
        <v>29019095.927661296</v>
      </c>
      <c r="O66" s="469">
        <f t="shared" si="21"/>
        <v>29309286.886937913</v>
      </c>
    </row>
    <row r="67" spans="5:13" ht="12.75">
      <c r="E67" s="469"/>
      <c r="F67" s="469"/>
      <c r="G67" s="469"/>
      <c r="H67" s="469"/>
      <c r="I67" s="469"/>
      <c r="J67" s="469"/>
      <c r="K67" s="469"/>
      <c r="L67" s="469"/>
      <c r="M67" s="469"/>
    </row>
    <row r="68" spans="5:15" ht="12.75">
      <c r="E68" s="238" t="s">
        <v>379</v>
      </c>
      <c r="F68" s="469">
        <f aca="true" t="shared" si="22" ref="F68:O68">+F46-F66</f>
        <v>-2282862.700960003</v>
      </c>
      <c r="G68" s="469">
        <f t="shared" si="22"/>
        <v>-2240908.9179695994</v>
      </c>
      <c r="H68" s="469">
        <f t="shared" si="22"/>
        <v>-2263318.0071492977</v>
      </c>
      <c r="I68" s="469">
        <f t="shared" si="22"/>
        <v>-2285951.187220793</v>
      </c>
      <c r="J68" s="469">
        <f t="shared" si="22"/>
        <v>-2308810.699092999</v>
      </c>
      <c r="K68" s="469">
        <f t="shared" si="22"/>
        <v>-2331898.806083925</v>
      </c>
      <c r="L68" s="469">
        <f t="shared" si="22"/>
        <v>-2355217.794144761</v>
      </c>
      <c r="M68" s="469">
        <f t="shared" si="22"/>
        <v>-2378769.9720862135</v>
      </c>
      <c r="N68" s="469">
        <f t="shared" si="22"/>
        <v>-2402557.671807073</v>
      </c>
      <c r="O68" s="469">
        <f t="shared" si="22"/>
        <v>-2426583.2485251427</v>
      </c>
    </row>
    <row r="69" spans="5:12" ht="12.75">
      <c r="E69" s="462"/>
      <c r="F69" s="462"/>
      <c r="G69" s="462"/>
      <c r="H69" s="462"/>
      <c r="I69" s="462"/>
      <c r="J69" s="462"/>
      <c r="K69" s="462"/>
      <c r="L69" s="462"/>
    </row>
    <row r="70" spans="5:12" ht="12.75">
      <c r="E70" s="462"/>
      <c r="F70" s="466"/>
      <c r="G70" s="462"/>
      <c r="H70" s="462"/>
      <c r="I70" s="462"/>
      <c r="J70" s="462"/>
      <c r="K70" s="462"/>
      <c r="L70" s="462"/>
    </row>
    <row r="71" spans="5:12" ht="12.75">
      <c r="E71" s="4"/>
      <c r="F71" s="4"/>
      <c r="G71" s="4"/>
      <c r="H71" s="4"/>
      <c r="I71" s="4"/>
      <c r="J71" s="4"/>
      <c r="K71" s="4"/>
      <c r="L71" s="4"/>
    </row>
    <row r="73" spans="6:15" ht="12.75">
      <c r="F73" s="481"/>
      <c r="G73" s="481"/>
      <c r="H73" s="481"/>
      <c r="I73" s="481"/>
      <c r="J73" s="481"/>
      <c r="K73" s="481"/>
      <c r="L73" s="481"/>
      <c r="M73" s="481"/>
      <c r="N73" s="481"/>
      <c r="O73" s="481"/>
    </row>
    <row r="74" spans="6:15" ht="12.75">
      <c r="F74" s="481"/>
      <c r="G74" s="481"/>
      <c r="H74" s="481"/>
      <c r="I74" s="481"/>
      <c r="J74" s="481"/>
      <c r="K74" s="481"/>
      <c r="L74" s="481"/>
      <c r="M74" s="481"/>
      <c r="N74" s="481"/>
      <c r="O74" s="481"/>
    </row>
    <row r="75" spans="6:15" ht="12.75">
      <c r="F75" s="467"/>
      <c r="G75" s="467"/>
      <c r="H75" s="467"/>
      <c r="I75" s="467"/>
      <c r="J75" s="467"/>
      <c r="K75" s="467"/>
      <c r="L75" s="467"/>
      <c r="M75" s="467"/>
      <c r="N75" s="467"/>
      <c r="O75" s="467"/>
    </row>
    <row r="76" spans="6:15" ht="12.75">
      <c r="F76" s="462"/>
      <c r="G76" s="462"/>
      <c r="H76" s="462"/>
      <c r="I76" s="462"/>
      <c r="J76" s="462"/>
      <c r="K76" s="462"/>
      <c r="L76" s="462"/>
      <c r="M76" s="462"/>
      <c r="N76" s="462"/>
      <c r="O76" s="462"/>
    </row>
    <row r="77" ht="12.75">
      <c r="Q77" s="462"/>
    </row>
    <row r="78" spans="6:17" ht="12.75"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Q78" s="462"/>
    </row>
  </sheetData>
  <sheetProtection password="C977" sheet="1"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AG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9" customWidth="1"/>
    <col min="2" max="2" width="23.7109375" style="19" customWidth="1"/>
    <col min="3" max="3" width="21.7109375" style="529" customWidth="1"/>
    <col min="4" max="4" width="11.421875" style="560" bestFit="1" customWidth="1"/>
    <col min="5" max="5" width="11.421875" style="78" customWidth="1"/>
    <col min="6" max="6" width="11.00390625" style="78" customWidth="1"/>
    <col min="7" max="7" width="11.00390625" style="560" customWidth="1"/>
    <col min="8" max="8" width="12.7109375" style="560" customWidth="1"/>
    <col min="9" max="9" width="11.7109375" style="19" customWidth="1"/>
    <col min="10" max="10" width="12.00390625" style="19" customWidth="1"/>
    <col min="11" max="11" width="10.140625" style="529" customWidth="1"/>
    <col min="12" max="12" width="11.57421875" style="19" customWidth="1"/>
    <col min="13" max="13" width="10.57421875" style="19" customWidth="1"/>
    <col min="14" max="14" width="10.28125" style="529" customWidth="1"/>
    <col min="15" max="15" width="11.28125" style="19" customWidth="1"/>
    <col min="16" max="18" width="9.140625" style="19" customWidth="1"/>
    <col min="19" max="19" width="18.7109375" style="19" customWidth="1"/>
    <col min="20" max="20" width="8.00390625" style="529" customWidth="1"/>
    <col min="21" max="21" width="9.00390625" style="529" customWidth="1"/>
    <col min="22" max="22" width="9.421875" style="529" customWidth="1"/>
    <col min="23" max="23" width="8.28125" style="529" customWidth="1"/>
    <col min="24" max="24" width="8.57421875" style="529" customWidth="1"/>
    <col min="25" max="25" width="7.421875" style="529" customWidth="1"/>
    <col min="26" max="26" width="9.421875" style="529" customWidth="1"/>
    <col min="27" max="27" width="9.57421875" style="529" customWidth="1"/>
    <col min="28" max="28" width="9.140625" style="529" customWidth="1"/>
    <col min="29" max="29" width="7.7109375" style="529" customWidth="1"/>
    <col min="30" max="30" width="8.8515625" style="529" customWidth="1"/>
    <col min="31" max="31" width="9.140625" style="529" customWidth="1"/>
    <col min="32" max="32" width="8.00390625" style="529" customWidth="1"/>
    <col min="33" max="33" width="8.57421875" style="529" customWidth="1"/>
    <col min="34" max="16384" width="9.140625" style="529" customWidth="1"/>
  </cols>
  <sheetData>
    <row r="1" spans="3:33" ht="12.75">
      <c r="C1" s="19"/>
      <c r="D1" s="78"/>
      <c r="G1" s="78"/>
      <c r="H1" s="78"/>
      <c r="K1" s="19"/>
      <c r="N1" s="19"/>
      <c r="S1" s="260"/>
      <c r="T1" s="640"/>
      <c r="U1" s="641"/>
      <c r="V1" s="641"/>
      <c r="W1" s="641"/>
      <c r="X1" s="642"/>
      <c r="Y1" s="641"/>
      <c r="Z1" s="641"/>
      <c r="AA1" s="640"/>
      <c r="AB1" s="640"/>
      <c r="AC1" s="640"/>
      <c r="AD1" s="640"/>
      <c r="AE1" s="640"/>
      <c r="AF1" s="640"/>
      <c r="AG1" s="640"/>
    </row>
    <row r="2" spans="2:33" ht="12.75">
      <c r="B2" s="133" t="s">
        <v>352</v>
      </c>
      <c r="C2" s="159" t="s">
        <v>660</v>
      </c>
      <c r="D2" s="134" t="s">
        <v>353</v>
      </c>
      <c r="E2" s="134" t="s">
        <v>486</v>
      </c>
      <c r="F2" s="134" t="s">
        <v>355</v>
      </c>
      <c r="G2" s="134" t="s">
        <v>418</v>
      </c>
      <c r="H2" s="134" t="s">
        <v>354</v>
      </c>
      <c r="I2" s="135" t="s">
        <v>377</v>
      </c>
      <c r="K2" s="19"/>
      <c r="N2" s="19"/>
      <c r="S2" s="26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</row>
    <row r="3" spans="2:33" ht="12.75">
      <c r="B3" s="136"/>
      <c r="C3" s="46"/>
      <c r="D3" s="137"/>
      <c r="E3" s="137"/>
      <c r="F3" s="137"/>
      <c r="G3" s="137"/>
      <c r="H3" s="23"/>
      <c r="I3" s="138"/>
      <c r="K3" s="19"/>
      <c r="N3" s="19"/>
      <c r="S3" s="26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</row>
    <row r="4" spans="2:33" ht="12.75">
      <c r="B4" s="171" t="s">
        <v>431</v>
      </c>
      <c r="C4" s="166">
        <v>1</v>
      </c>
      <c r="D4" s="139">
        <v>60000</v>
      </c>
      <c r="E4" s="27">
        <f>+C4*D4</f>
        <v>60000</v>
      </c>
      <c r="F4" s="140">
        <f>+E4*'Input Value'!$C$21</f>
        <v>18000.000000000004</v>
      </c>
      <c r="G4" s="141">
        <v>0</v>
      </c>
      <c r="H4" s="140">
        <f>E4*G4</f>
        <v>0</v>
      </c>
      <c r="I4" s="142">
        <f>(E4+F4+H4)</f>
        <v>78000</v>
      </c>
      <c r="K4" s="19"/>
      <c r="N4" s="19"/>
      <c r="S4" s="26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</row>
    <row r="5" spans="2:33" ht="12.75">
      <c r="B5" s="136" t="s">
        <v>140</v>
      </c>
      <c r="C5" s="160">
        <v>1</v>
      </c>
      <c r="D5" s="139">
        <v>35000</v>
      </c>
      <c r="E5" s="27">
        <f>+C5*D5</f>
        <v>35000</v>
      </c>
      <c r="F5" s="140">
        <f>+E5*'Input Value'!$C$21</f>
        <v>10500.000000000002</v>
      </c>
      <c r="G5" s="141">
        <v>0</v>
      </c>
      <c r="H5" s="140">
        <f>E5*G5</f>
        <v>0</v>
      </c>
      <c r="I5" s="142">
        <f>(E5+F5+H5)</f>
        <v>45500</v>
      </c>
      <c r="K5" s="19"/>
      <c r="N5" s="19"/>
      <c r="S5" s="260"/>
      <c r="T5" s="640"/>
      <c r="U5" s="640"/>
      <c r="V5" s="640"/>
      <c r="W5" s="640"/>
      <c r="X5" s="640"/>
      <c r="Y5" s="640"/>
      <c r="Z5" s="640"/>
      <c r="AA5" s="640"/>
      <c r="AB5" s="640"/>
      <c r="AC5" s="640"/>
      <c r="AD5" s="640"/>
      <c r="AE5" s="640"/>
      <c r="AF5" s="640"/>
      <c r="AG5" s="640"/>
    </row>
    <row r="6" spans="2:33" ht="12.75">
      <c r="B6" s="136" t="s">
        <v>137</v>
      </c>
      <c r="C6" s="160">
        <v>0</v>
      </c>
      <c r="D6" s="139">
        <v>45000</v>
      </c>
      <c r="E6" s="27">
        <f>+C6*D6</f>
        <v>0</v>
      </c>
      <c r="F6" s="140">
        <f>+E6*'Input Value'!$C$21</f>
        <v>0</v>
      </c>
      <c r="G6" s="141">
        <v>0</v>
      </c>
      <c r="H6" s="140">
        <f>E6*G6</f>
        <v>0</v>
      </c>
      <c r="I6" s="142">
        <f>IF('Input Value'!F25=1,(E6+F6+H6),0)</f>
        <v>0</v>
      </c>
      <c r="K6" s="19"/>
      <c r="N6" s="19"/>
      <c r="S6" s="26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</row>
    <row r="7" spans="2:33" ht="12.75">
      <c r="B7" s="171" t="s">
        <v>468</v>
      </c>
      <c r="C7" s="166">
        <v>1</v>
      </c>
      <c r="D7" s="139">
        <v>40000</v>
      </c>
      <c r="E7" s="27">
        <f>+C7*D7</f>
        <v>40000</v>
      </c>
      <c r="F7" s="140">
        <f>+E7*'Input Value'!$C$21</f>
        <v>12000.000000000002</v>
      </c>
      <c r="G7" s="141">
        <v>0.4</v>
      </c>
      <c r="H7" s="140">
        <f>E7*G7</f>
        <v>16000</v>
      </c>
      <c r="I7" s="142">
        <f>(E7+F7+H7)</f>
        <v>68000</v>
      </c>
      <c r="K7" s="38"/>
      <c r="N7" s="19"/>
      <c r="S7" s="26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0"/>
      <c r="AG7" s="640"/>
    </row>
    <row r="8" spans="2:33" ht="12.75">
      <c r="B8" s="647"/>
      <c r="C8" s="38"/>
      <c r="D8" s="27"/>
      <c r="E8" s="27"/>
      <c r="F8" s="27"/>
      <c r="G8" s="376"/>
      <c r="H8" s="38"/>
      <c r="I8" s="143"/>
      <c r="K8" s="38"/>
      <c r="N8" s="19"/>
      <c r="S8" s="259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</row>
    <row r="9" spans="2:33" ht="12.75">
      <c r="B9" s="648" t="s">
        <v>657</v>
      </c>
      <c r="C9" s="650">
        <f>SUM(C4:C8)</f>
        <v>3</v>
      </c>
      <c r="D9" s="131">
        <f>SUM(D4:D7)</f>
        <v>180000</v>
      </c>
      <c r="E9" s="131">
        <f>SUM(E4:E7)</f>
        <v>135000</v>
      </c>
      <c r="F9" s="131">
        <f>SUM(F4:F7)</f>
        <v>40500.00000000001</v>
      </c>
      <c r="G9" s="652"/>
      <c r="H9" s="131">
        <f>SUM(H4:H7)</f>
        <v>16000</v>
      </c>
      <c r="I9" s="146">
        <f>SUM(I4:I7)</f>
        <v>191500</v>
      </c>
      <c r="K9" s="38"/>
      <c r="N9" s="19"/>
      <c r="S9" s="261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</row>
    <row r="10" spans="2:33" ht="12.75">
      <c r="B10" s="649" t="s">
        <v>394</v>
      </c>
      <c r="C10" s="651"/>
      <c r="D10" s="144"/>
      <c r="E10" s="144"/>
      <c r="F10" s="144"/>
      <c r="G10" s="653"/>
      <c r="H10" s="132"/>
      <c r="I10" s="145"/>
      <c r="K10" s="38"/>
      <c r="N10" s="19"/>
      <c r="S10" s="260"/>
      <c r="T10" s="640"/>
      <c r="U10" s="645"/>
      <c r="V10" s="641"/>
      <c r="W10" s="641"/>
      <c r="X10" s="640"/>
      <c r="Y10" s="642"/>
      <c r="Z10" s="645"/>
      <c r="AA10" s="640"/>
      <c r="AB10" s="642"/>
      <c r="AC10" s="641"/>
      <c r="AD10" s="640"/>
      <c r="AE10" s="642"/>
      <c r="AF10" s="641"/>
      <c r="AG10" s="641"/>
    </row>
    <row r="11" spans="2:33" ht="12.75">
      <c r="B11" s="46" t="s">
        <v>646</v>
      </c>
      <c r="C11" s="46" t="s">
        <v>631</v>
      </c>
      <c r="D11" s="27"/>
      <c r="E11" s="27"/>
      <c r="F11" s="27"/>
      <c r="G11" s="27"/>
      <c r="H11" s="376"/>
      <c r="I11" s="38"/>
      <c r="J11" s="27"/>
      <c r="K11" s="38"/>
      <c r="N11" s="19"/>
      <c r="S11" s="260"/>
      <c r="T11" s="640"/>
      <c r="U11" s="645"/>
      <c r="V11" s="641"/>
      <c r="W11" s="641"/>
      <c r="X11" s="640"/>
      <c r="Y11" s="642"/>
      <c r="Z11" s="645"/>
      <c r="AA11" s="640"/>
      <c r="AB11" s="642"/>
      <c r="AC11" s="641"/>
      <c r="AD11" s="640"/>
      <c r="AE11" s="642"/>
      <c r="AF11" s="641"/>
      <c r="AG11" s="641"/>
    </row>
    <row r="12" spans="2:33" ht="12.75">
      <c r="B12" s="149" t="s">
        <v>658</v>
      </c>
      <c r="C12" s="159" t="s">
        <v>659</v>
      </c>
      <c r="D12" s="147" t="s">
        <v>487</v>
      </c>
      <c r="E12" s="134" t="s">
        <v>486</v>
      </c>
      <c r="F12" s="147" t="s">
        <v>355</v>
      </c>
      <c r="G12" s="134" t="s">
        <v>541</v>
      </c>
      <c r="H12" s="147" t="s">
        <v>418</v>
      </c>
      <c r="I12" s="147" t="s">
        <v>354</v>
      </c>
      <c r="J12" s="147" t="s">
        <v>464</v>
      </c>
      <c r="K12" s="147" t="s">
        <v>418</v>
      </c>
      <c r="L12" s="147" t="s">
        <v>354</v>
      </c>
      <c r="M12" s="150" t="s">
        <v>465</v>
      </c>
      <c r="N12" s="147" t="s">
        <v>418</v>
      </c>
      <c r="O12" s="147" t="s">
        <v>354</v>
      </c>
      <c r="P12" s="151" t="s">
        <v>469</v>
      </c>
      <c r="Q12" s="148"/>
      <c r="S12" s="260"/>
      <c r="T12" s="640"/>
      <c r="U12" s="645"/>
      <c r="V12" s="641"/>
      <c r="W12" s="641"/>
      <c r="X12" s="640"/>
      <c r="Y12" s="642"/>
      <c r="Z12" s="645"/>
      <c r="AA12" s="640"/>
      <c r="AB12" s="642"/>
      <c r="AC12" s="641"/>
      <c r="AD12" s="640"/>
      <c r="AE12" s="642"/>
      <c r="AF12" s="641"/>
      <c r="AG12" s="641"/>
    </row>
    <row r="13" spans="2:33" ht="12.75">
      <c r="B13" s="171" t="s">
        <v>817</v>
      </c>
      <c r="C13" s="166">
        <v>1</v>
      </c>
      <c r="D13" s="139">
        <v>12</v>
      </c>
      <c r="E13" s="27">
        <f>+(C13*D13)*'Input Value'!$F$42*G13</f>
        <v>93600</v>
      </c>
      <c r="F13" s="140">
        <f>+E13*'Input Value'!$C$21</f>
        <v>28080.000000000004</v>
      </c>
      <c r="G13" s="165">
        <f>+J13+M13</f>
        <v>24</v>
      </c>
      <c r="H13" s="223">
        <f>AVERAGE(K13,N13)</f>
        <v>0</v>
      </c>
      <c r="I13" s="27">
        <f>L13+O13</f>
        <v>0</v>
      </c>
      <c r="J13" s="222">
        <f>+'Input Value'!$F$44/2</f>
        <v>12</v>
      </c>
      <c r="K13" s="141">
        <v>0</v>
      </c>
      <c r="L13" s="140">
        <f aca="true" t="shared" si="0" ref="L13:L21">(K13*J13)*E13</f>
        <v>0</v>
      </c>
      <c r="M13" s="222">
        <f>+'Input Value'!$F$44/2</f>
        <v>12</v>
      </c>
      <c r="N13" s="141">
        <v>0</v>
      </c>
      <c r="O13" s="140">
        <f>(M13*N13)*E13</f>
        <v>0</v>
      </c>
      <c r="P13" s="142">
        <f>IF('Input Value'!F24=1,(E13+F13+I13),0)</f>
        <v>121680</v>
      </c>
      <c r="S13" s="260"/>
      <c r="T13" s="640"/>
      <c r="U13" s="645"/>
      <c r="V13" s="641"/>
      <c r="W13" s="641"/>
      <c r="X13" s="640"/>
      <c r="Y13" s="642"/>
      <c r="Z13" s="645"/>
      <c r="AA13" s="640"/>
      <c r="AB13" s="642"/>
      <c r="AC13" s="641"/>
      <c r="AD13" s="640"/>
      <c r="AE13" s="642"/>
      <c r="AF13" s="641"/>
      <c r="AG13" s="641"/>
    </row>
    <row r="14" spans="2:33" ht="12.75">
      <c r="B14" s="171" t="s">
        <v>818</v>
      </c>
      <c r="C14" s="166">
        <v>1</v>
      </c>
      <c r="D14" s="139">
        <v>12</v>
      </c>
      <c r="E14" s="27">
        <f>+(C14*D14)*'Input Value'!$F$42*G14</f>
        <v>93600</v>
      </c>
      <c r="F14" s="140">
        <f>+E14*'Input Value'!$C$21</f>
        <v>28080.000000000004</v>
      </c>
      <c r="G14" s="165">
        <f>+J14+M14</f>
        <v>24</v>
      </c>
      <c r="H14" s="223">
        <f>AVERAGE(K14,N14)</f>
        <v>0</v>
      </c>
      <c r="I14" s="27">
        <f>L14+O14</f>
        <v>0</v>
      </c>
      <c r="J14" s="222">
        <f>+'Input Value'!$F$44/2</f>
        <v>12</v>
      </c>
      <c r="K14" s="141">
        <v>0</v>
      </c>
      <c r="L14" s="140">
        <f>(K14*J14)*E14</f>
        <v>0</v>
      </c>
      <c r="M14" s="222">
        <f>+'Input Value'!$F$44/2</f>
        <v>12</v>
      </c>
      <c r="N14" s="141">
        <v>0</v>
      </c>
      <c r="O14" s="140">
        <f>(M14*N14)*E14</f>
        <v>0</v>
      </c>
      <c r="P14" s="142">
        <f>IF('Input Value'!F25=1,(E14+F14+I14),0)</f>
        <v>121680</v>
      </c>
      <c r="S14" s="260"/>
      <c r="T14" s="640"/>
      <c r="U14" s="645"/>
      <c r="V14" s="641"/>
      <c r="W14" s="641"/>
      <c r="X14" s="640"/>
      <c r="Y14" s="642"/>
      <c r="Z14" s="645"/>
      <c r="AA14" s="640"/>
      <c r="AB14" s="642"/>
      <c r="AC14" s="641"/>
      <c r="AD14" s="640"/>
      <c r="AE14" s="642"/>
      <c r="AF14" s="641"/>
      <c r="AG14" s="641"/>
    </row>
    <row r="15" spans="2:33" ht="12.75">
      <c r="B15" s="171" t="s">
        <v>138</v>
      </c>
      <c r="C15" s="166">
        <f>IF('Input Value'!$F$24=1,1,0)</f>
        <v>1</v>
      </c>
      <c r="D15" s="139">
        <v>12</v>
      </c>
      <c r="E15" s="27">
        <f>+(C15*D15)*'Input Value'!$F$42*G15</f>
        <v>31200</v>
      </c>
      <c r="F15" s="140">
        <f>+E15*'Input Value'!$C$21</f>
        <v>9360.000000000002</v>
      </c>
      <c r="G15" s="165">
        <f aca="true" t="shared" si="1" ref="G15:G21">+J15+M15</f>
        <v>8</v>
      </c>
      <c r="H15" s="223">
        <f>MIN(0,AVERAGE(K15,N15))</f>
        <v>0</v>
      </c>
      <c r="I15" s="27">
        <f aca="true" t="shared" si="2" ref="I15:I21">L15+O15</f>
        <v>0</v>
      </c>
      <c r="J15" s="222">
        <v>8</v>
      </c>
      <c r="K15" s="141">
        <v>0</v>
      </c>
      <c r="L15" s="140">
        <f t="shared" si="0"/>
        <v>0</v>
      </c>
      <c r="M15" s="222">
        <v>0</v>
      </c>
      <c r="N15" s="141">
        <v>0</v>
      </c>
      <c r="O15" s="140">
        <f>(M15*N15)*E15</f>
        <v>0</v>
      </c>
      <c r="P15" s="142">
        <f>IF('Input Value'!F24=1,(E15+F15+I15),0)</f>
        <v>40560</v>
      </c>
      <c r="S15" s="259"/>
      <c r="T15" s="643"/>
      <c r="U15" s="643"/>
      <c r="V15" s="643"/>
      <c r="W15" s="643"/>
      <c r="X15" s="643"/>
      <c r="Y15" s="643"/>
      <c r="Z15" s="643"/>
      <c r="AA15" s="643"/>
      <c r="AB15" s="642"/>
      <c r="AC15" s="641"/>
      <c r="AD15" s="640"/>
      <c r="AE15" s="642"/>
      <c r="AF15" s="641"/>
      <c r="AG15" s="641"/>
    </row>
    <row r="16" spans="2:33" ht="12.75">
      <c r="B16" s="171" t="s">
        <v>364</v>
      </c>
      <c r="C16" s="160">
        <v>1</v>
      </c>
      <c r="D16" s="139">
        <v>10</v>
      </c>
      <c r="E16" s="27">
        <f>+(C16*D16)*'Input Value'!$F$42*G16</f>
        <v>78000</v>
      </c>
      <c r="F16" s="140">
        <f>+E16*'Input Value'!$C$21</f>
        <v>23400.000000000004</v>
      </c>
      <c r="G16" s="165">
        <f t="shared" si="1"/>
        <v>24</v>
      </c>
      <c r="H16" s="223">
        <f aca="true" t="shared" si="3" ref="H16:H21">MIN(0,AVERAGE(K16,N16))</f>
        <v>0</v>
      </c>
      <c r="I16" s="27">
        <f t="shared" si="2"/>
        <v>0</v>
      </c>
      <c r="J16" s="222">
        <f>+'Input Value'!$F$44/2</f>
        <v>12</v>
      </c>
      <c r="K16" s="141">
        <v>0</v>
      </c>
      <c r="L16" s="140">
        <f t="shared" si="0"/>
        <v>0</v>
      </c>
      <c r="M16" s="222">
        <f>+'Input Value'!$F$44/2</f>
        <v>12</v>
      </c>
      <c r="N16" s="141">
        <v>0</v>
      </c>
      <c r="O16" s="140">
        <f aca="true" t="shared" si="4" ref="O16:O21">(M16*N16)*E16</f>
        <v>0</v>
      </c>
      <c r="P16" s="142">
        <f aca="true" t="shared" si="5" ref="P16:P21">(E16+F16+I16)</f>
        <v>101400</v>
      </c>
      <c r="S16" s="260"/>
      <c r="T16" s="640"/>
      <c r="U16" s="645"/>
      <c r="V16" s="641"/>
      <c r="W16" s="641"/>
      <c r="X16" s="640"/>
      <c r="Y16" s="642"/>
      <c r="Z16" s="645"/>
      <c r="AA16" s="641"/>
      <c r="AB16" s="642"/>
      <c r="AC16" s="641"/>
      <c r="AD16" s="640"/>
      <c r="AE16" s="642"/>
      <c r="AF16" s="641"/>
      <c r="AG16" s="641"/>
    </row>
    <row r="17" spans="2:33" ht="12.75">
      <c r="B17" s="172" t="s">
        <v>139</v>
      </c>
      <c r="C17" s="160">
        <v>1</v>
      </c>
      <c r="D17" s="139">
        <v>12</v>
      </c>
      <c r="E17" s="27">
        <f>+(C17*D17)*'Input Value'!$F$42*G17</f>
        <v>31200</v>
      </c>
      <c r="F17" s="140">
        <f>+E17*'Input Value'!$C$21</f>
        <v>9360.000000000002</v>
      </c>
      <c r="G17" s="165">
        <f t="shared" si="1"/>
        <v>8</v>
      </c>
      <c r="H17" s="223">
        <f t="shared" si="3"/>
        <v>0</v>
      </c>
      <c r="I17" s="27">
        <f t="shared" si="2"/>
        <v>0</v>
      </c>
      <c r="J17" s="222">
        <v>8</v>
      </c>
      <c r="K17" s="141">
        <v>0</v>
      </c>
      <c r="L17" s="140">
        <f t="shared" si="0"/>
        <v>0</v>
      </c>
      <c r="M17" s="222">
        <v>0</v>
      </c>
      <c r="N17" s="141">
        <v>0</v>
      </c>
      <c r="O17" s="140">
        <f t="shared" si="4"/>
        <v>0</v>
      </c>
      <c r="P17" s="142">
        <f t="shared" si="5"/>
        <v>40560</v>
      </c>
      <c r="S17" s="260"/>
      <c r="T17" s="640"/>
      <c r="U17" s="645"/>
      <c r="V17" s="641"/>
      <c r="W17" s="641"/>
      <c r="X17" s="640"/>
      <c r="Y17" s="642"/>
      <c r="Z17" s="645"/>
      <c r="AA17" s="641"/>
      <c r="AB17" s="642"/>
      <c r="AC17" s="641"/>
      <c r="AD17" s="640"/>
      <c r="AE17" s="642"/>
      <c r="AF17" s="641"/>
      <c r="AG17" s="641"/>
    </row>
    <row r="18" spans="2:16" ht="12.75">
      <c r="B18" s="172" t="s">
        <v>141</v>
      </c>
      <c r="C18" s="160">
        <v>1</v>
      </c>
      <c r="D18" s="139">
        <v>10</v>
      </c>
      <c r="E18" s="27">
        <f>+(C18*D18)*'Input Value'!$F$42*G18</f>
        <v>52000</v>
      </c>
      <c r="F18" s="140">
        <f>+E18*'Input Value'!$C$21</f>
        <v>15600.000000000002</v>
      </c>
      <c r="G18" s="165">
        <f t="shared" si="1"/>
        <v>16</v>
      </c>
      <c r="H18" s="223">
        <f t="shared" si="3"/>
        <v>0</v>
      </c>
      <c r="I18" s="27">
        <f t="shared" si="2"/>
        <v>0</v>
      </c>
      <c r="J18" s="222">
        <v>8</v>
      </c>
      <c r="K18" s="141">
        <v>0</v>
      </c>
      <c r="L18" s="140">
        <f t="shared" si="0"/>
        <v>0</v>
      </c>
      <c r="M18" s="222">
        <v>8</v>
      </c>
      <c r="N18" s="141">
        <v>0</v>
      </c>
      <c r="O18" s="140">
        <f t="shared" si="4"/>
        <v>0</v>
      </c>
      <c r="P18" s="142">
        <f t="shared" si="5"/>
        <v>67600</v>
      </c>
    </row>
    <row r="19" spans="2:16" ht="12.75">
      <c r="B19" s="172" t="s">
        <v>816</v>
      </c>
      <c r="C19" s="160">
        <v>1</v>
      </c>
      <c r="D19" s="139">
        <v>12</v>
      </c>
      <c r="E19" s="27">
        <f>+(C19*D19)*'Input Value'!$F$42*G19</f>
        <v>31200</v>
      </c>
      <c r="F19" s="140">
        <f>+E19*'Input Value'!$C$21</f>
        <v>9360.000000000002</v>
      </c>
      <c r="G19" s="165">
        <f t="shared" si="1"/>
        <v>8</v>
      </c>
      <c r="H19" s="223">
        <f t="shared" si="3"/>
        <v>0</v>
      </c>
      <c r="I19" s="27">
        <f t="shared" si="2"/>
        <v>0</v>
      </c>
      <c r="J19" s="222">
        <v>8</v>
      </c>
      <c r="K19" s="141">
        <v>0</v>
      </c>
      <c r="L19" s="140">
        <f t="shared" si="0"/>
        <v>0</v>
      </c>
      <c r="M19" s="222">
        <v>0</v>
      </c>
      <c r="N19" s="141">
        <v>0</v>
      </c>
      <c r="O19" s="140">
        <f t="shared" si="4"/>
        <v>0</v>
      </c>
      <c r="P19" s="142">
        <f>IF('Input Value'!F25=1,(E19+F19+I19),0)</f>
        <v>40560</v>
      </c>
    </row>
    <row r="20" spans="2:16" ht="12.75">
      <c r="B20" s="172"/>
      <c r="C20" s="160"/>
      <c r="D20" s="186"/>
      <c r="E20" s="27">
        <f>+(C20*D20)*'Input Value'!$F$42*G20</f>
        <v>0</v>
      </c>
      <c r="F20" s="140">
        <f>+E20*'Input Value'!$C$21</f>
        <v>0</v>
      </c>
      <c r="G20" s="165">
        <f t="shared" si="1"/>
        <v>24</v>
      </c>
      <c r="H20" s="223">
        <f t="shared" si="3"/>
        <v>0</v>
      </c>
      <c r="I20" s="27">
        <f t="shared" si="2"/>
        <v>0</v>
      </c>
      <c r="J20" s="222">
        <f>+'Input Value'!$F$44/2</f>
        <v>12</v>
      </c>
      <c r="K20" s="141">
        <v>0</v>
      </c>
      <c r="L20" s="140">
        <f t="shared" si="0"/>
        <v>0</v>
      </c>
      <c r="M20" s="222">
        <f>+'Input Value'!$F$44/2</f>
        <v>12</v>
      </c>
      <c r="N20" s="141">
        <v>0</v>
      </c>
      <c r="O20" s="140">
        <f t="shared" si="4"/>
        <v>0</v>
      </c>
      <c r="P20" s="142">
        <f t="shared" si="5"/>
        <v>0</v>
      </c>
    </row>
    <row r="21" spans="2:16" ht="12.75">
      <c r="B21" s="152"/>
      <c r="C21" s="187"/>
      <c r="D21" s="188"/>
      <c r="E21" s="27">
        <f>+(C21*D21)*'Input Value'!$F$42*G21</f>
        <v>0</v>
      </c>
      <c r="F21" s="140">
        <f>+E21*'Input Value'!$C$21</f>
        <v>0</v>
      </c>
      <c r="G21" s="165">
        <f t="shared" si="1"/>
        <v>24</v>
      </c>
      <c r="H21" s="223">
        <f t="shared" si="3"/>
        <v>0</v>
      </c>
      <c r="I21" s="27">
        <f t="shared" si="2"/>
        <v>0</v>
      </c>
      <c r="J21" s="222">
        <f>+'Input Value'!$F$44/2</f>
        <v>12</v>
      </c>
      <c r="K21" s="646">
        <v>0</v>
      </c>
      <c r="L21" s="140">
        <f t="shared" si="0"/>
        <v>0</v>
      </c>
      <c r="M21" s="222">
        <f>+'Input Value'!$F$44/2</f>
        <v>12</v>
      </c>
      <c r="N21" s="646">
        <v>0</v>
      </c>
      <c r="O21" s="140">
        <f t="shared" si="4"/>
        <v>0</v>
      </c>
      <c r="P21" s="142">
        <f t="shared" si="5"/>
        <v>0</v>
      </c>
    </row>
    <row r="22" spans="2:16" ht="12.75">
      <c r="B22" s="154" t="s">
        <v>629</v>
      </c>
      <c r="C22" s="28">
        <f>SUM(C13:C21)</f>
        <v>7</v>
      </c>
      <c r="D22" s="153">
        <f>SUM(D13:D19)</f>
        <v>80</v>
      </c>
      <c r="E22" s="178">
        <f>SUM(E13:E19)</f>
        <v>410800</v>
      </c>
      <c r="F22" s="109">
        <f>SUM(F13:F19)</f>
        <v>123240.00000000001</v>
      </c>
      <c r="G22" s="153"/>
      <c r="H22" s="153"/>
      <c r="I22" s="109">
        <f>SUM(I13:I19)</f>
        <v>0</v>
      </c>
      <c r="J22" s="108"/>
      <c r="K22" s="108"/>
      <c r="L22" s="109">
        <f>SUM(L13:L19)</f>
        <v>0</v>
      </c>
      <c r="M22" s="108"/>
      <c r="N22" s="108"/>
      <c r="O22" s="179">
        <f>SUM(O13:O19)</f>
        <v>0</v>
      </c>
      <c r="P22" s="177">
        <f>SUM(P13:P21)</f>
        <v>534040</v>
      </c>
    </row>
    <row r="23" spans="3:14" ht="12.75">
      <c r="C23" s="19"/>
      <c r="D23" s="78"/>
      <c r="G23" s="78"/>
      <c r="H23" s="78"/>
      <c r="K23" s="19"/>
      <c r="N23" s="19"/>
    </row>
    <row r="24" spans="2:14" ht="12.75">
      <c r="B24" s="67" t="s">
        <v>121</v>
      </c>
      <c r="C24" s="234">
        <f>+C9+C22</f>
        <v>10</v>
      </c>
      <c r="D24" s="78"/>
      <c r="E24" s="84">
        <f>I9+P22</f>
        <v>725540</v>
      </c>
      <c r="G24" s="78"/>
      <c r="H24" s="78"/>
      <c r="K24" s="19"/>
      <c r="N24" s="19"/>
    </row>
    <row r="25" spans="3:14" ht="12.75">
      <c r="C25" s="19"/>
      <c r="D25" s="78"/>
      <c r="G25" s="78"/>
      <c r="H25" s="78"/>
      <c r="K25" s="19"/>
      <c r="N25" s="19"/>
    </row>
    <row r="26" spans="3:14" ht="12.75">
      <c r="C26" s="19"/>
      <c r="D26" s="78"/>
      <c r="G26" s="78"/>
      <c r="H26" s="78"/>
      <c r="K26" s="19"/>
      <c r="N26" s="19"/>
    </row>
    <row r="27" spans="3:14" ht="12.75">
      <c r="C27" s="19"/>
      <c r="D27" s="78"/>
      <c r="G27" s="78"/>
      <c r="H27" s="78"/>
      <c r="K27" s="19"/>
      <c r="N27" s="19"/>
    </row>
    <row r="28" spans="3:14" ht="12.75">
      <c r="C28" s="19"/>
      <c r="D28" s="78"/>
      <c r="G28" s="78"/>
      <c r="H28" s="78"/>
      <c r="K28" s="19"/>
      <c r="N28" s="19"/>
    </row>
    <row r="29" spans="3:14" ht="12.75">
      <c r="C29" s="19"/>
      <c r="D29" s="78"/>
      <c r="G29" s="78"/>
      <c r="H29" s="78"/>
      <c r="K29" s="19"/>
      <c r="N29" s="19"/>
    </row>
    <row r="30" spans="3:14" ht="12.75">
      <c r="C30" s="19"/>
      <c r="D30" s="78"/>
      <c r="G30" s="78"/>
      <c r="H30" s="78"/>
      <c r="K30" s="19"/>
      <c r="N30" s="19"/>
    </row>
    <row r="31" spans="3:14" ht="12.75">
      <c r="C31" s="19"/>
      <c r="D31" s="78"/>
      <c r="G31" s="78"/>
      <c r="H31" s="78"/>
      <c r="K31" s="19"/>
      <c r="N31" s="19"/>
    </row>
    <row r="32" spans="3:14" ht="12.75">
      <c r="C32" s="19"/>
      <c r="D32" s="78"/>
      <c r="G32" s="78"/>
      <c r="H32" s="78"/>
      <c r="K32" s="19"/>
      <c r="N32" s="19"/>
    </row>
    <row r="33" spans="3:14" ht="12.75">
      <c r="C33" s="19"/>
      <c r="D33" s="78"/>
      <c r="G33" s="78"/>
      <c r="H33" s="78"/>
      <c r="K33" s="19"/>
      <c r="N33" s="19"/>
    </row>
    <row r="34" spans="3:14" ht="12.75">
      <c r="C34" s="19"/>
      <c r="D34" s="78"/>
      <c r="G34" s="78"/>
      <c r="H34" s="78"/>
      <c r="K34" s="19"/>
      <c r="N34" s="19"/>
    </row>
    <row r="35" spans="3:14" ht="12.75">
      <c r="C35" s="19"/>
      <c r="D35" s="78"/>
      <c r="G35" s="78"/>
      <c r="H35" s="78"/>
      <c r="K35" s="19"/>
      <c r="N35" s="19"/>
    </row>
    <row r="36" spans="3:14" ht="12.75">
      <c r="C36" s="19"/>
      <c r="D36" s="78"/>
      <c r="G36" s="78"/>
      <c r="H36" s="78"/>
      <c r="K36" s="19"/>
      <c r="N36" s="19"/>
    </row>
    <row r="37" spans="3:14" ht="12.75">
      <c r="C37" s="19"/>
      <c r="D37" s="78"/>
      <c r="G37" s="78"/>
      <c r="H37" s="78"/>
      <c r="K37" s="19"/>
      <c r="N37" s="19"/>
    </row>
    <row r="38" spans="3:14" ht="12.75">
      <c r="C38" s="19"/>
      <c r="D38" s="78"/>
      <c r="G38" s="78"/>
      <c r="H38" s="78"/>
      <c r="K38" s="19"/>
      <c r="N38" s="19"/>
    </row>
    <row r="39" spans="3:14" ht="12.75">
      <c r="C39" s="19"/>
      <c r="D39" s="78"/>
      <c r="G39" s="78"/>
      <c r="H39" s="78"/>
      <c r="K39" s="19"/>
      <c r="N39" s="19"/>
    </row>
    <row r="40" spans="3:11" ht="12.75">
      <c r="C40" s="19"/>
      <c r="D40" s="78"/>
      <c r="G40" s="78"/>
      <c r="H40" s="78"/>
      <c r="K40" s="19"/>
    </row>
    <row r="41" spans="3:11" ht="12.75">
      <c r="C41" s="19"/>
      <c r="D41" s="78"/>
      <c r="G41" s="78"/>
      <c r="K41" s="19"/>
    </row>
    <row r="42" spans="3:11" ht="12.75">
      <c r="C42" s="19"/>
      <c r="D42" s="78"/>
      <c r="G42" s="78"/>
      <c r="K42" s="19"/>
    </row>
    <row r="43" spans="3:11" ht="12.75">
      <c r="C43" s="19"/>
      <c r="D43" s="78"/>
      <c r="G43" s="78"/>
      <c r="K43" s="19"/>
    </row>
    <row r="44" spans="3:11" ht="12.75">
      <c r="C44" s="19"/>
      <c r="D44" s="78"/>
      <c r="G44" s="78"/>
      <c r="K44" s="19"/>
    </row>
    <row r="45" spans="3:11" ht="12.75">
      <c r="C45" s="19"/>
      <c r="D45" s="78"/>
      <c r="G45" s="78"/>
      <c r="K45" s="19"/>
    </row>
    <row r="46" spans="3:11" ht="12.75">
      <c r="C46" s="19"/>
      <c r="D46" s="78"/>
      <c r="G46" s="78"/>
      <c r="K46" s="19"/>
    </row>
    <row r="47" spans="3:11" ht="12.75">
      <c r="C47" s="19"/>
      <c r="D47" s="78"/>
      <c r="G47" s="78"/>
      <c r="K47" s="19"/>
    </row>
    <row r="48" spans="3:11" ht="12.75">
      <c r="C48" s="19"/>
      <c r="D48" s="78"/>
      <c r="G48" s="78"/>
      <c r="K48" s="19"/>
    </row>
    <row r="49" spans="3:11" ht="12.75">
      <c r="C49" s="19"/>
      <c r="D49" s="78"/>
      <c r="G49" s="78"/>
      <c r="K49" s="19"/>
    </row>
    <row r="50" spans="3:11" ht="12.75">
      <c r="C50" s="19"/>
      <c r="D50" s="78"/>
      <c r="G50" s="78"/>
      <c r="K50" s="19"/>
    </row>
    <row r="51" spans="3:11" ht="12.75">
      <c r="C51" s="19"/>
      <c r="D51" s="78"/>
      <c r="G51" s="78"/>
      <c r="K51" s="19"/>
    </row>
    <row r="52" spans="3:11" ht="12.75">
      <c r="C52" s="19"/>
      <c r="D52" s="78"/>
      <c r="G52" s="78"/>
      <c r="K52" s="19"/>
    </row>
    <row r="53" spans="3:11" ht="12.75">
      <c r="C53" s="19"/>
      <c r="D53" s="78"/>
      <c r="G53" s="78"/>
      <c r="K53" s="19"/>
    </row>
    <row r="54" spans="3:11" ht="12.75">
      <c r="C54" s="19"/>
      <c r="D54" s="78"/>
      <c r="G54" s="78"/>
      <c r="K54" s="19"/>
    </row>
    <row r="55" spans="3:11" ht="12.75">
      <c r="C55" s="19"/>
      <c r="D55" s="78"/>
      <c r="G55" s="78"/>
      <c r="K55" s="19"/>
    </row>
    <row r="56" spans="3:11" ht="12.75">
      <c r="C56" s="19"/>
      <c r="D56" s="78"/>
      <c r="G56" s="78"/>
      <c r="K56" s="19"/>
    </row>
    <row r="57" spans="3:11" ht="12.75">
      <c r="C57" s="19"/>
      <c r="D57" s="78"/>
      <c r="K57" s="19"/>
    </row>
    <row r="58" spans="3:11" ht="12.75">
      <c r="C58" s="19"/>
      <c r="D58" s="78"/>
      <c r="K58" s="19"/>
    </row>
    <row r="59" spans="3:11" ht="12.75">
      <c r="C59" s="19"/>
      <c r="D59" s="78"/>
      <c r="K59" s="19"/>
    </row>
    <row r="60" spans="3:11" ht="12.75">
      <c r="C60" s="19"/>
      <c r="D60" s="78"/>
      <c r="K60" s="19"/>
    </row>
    <row r="61" spans="3:11" ht="12.75">
      <c r="C61" s="19"/>
      <c r="D61" s="78"/>
      <c r="K61" s="19"/>
    </row>
    <row r="62" spans="3:11" ht="12.75">
      <c r="C62" s="19"/>
      <c r="D62" s="78"/>
      <c r="K62" s="19"/>
    </row>
    <row r="63" spans="3:11" ht="12.75">
      <c r="C63" s="19"/>
      <c r="D63" s="78"/>
      <c r="K63" s="19"/>
    </row>
    <row r="64" spans="3:11" ht="12.75">
      <c r="C64" s="19"/>
      <c r="D64" s="78"/>
      <c r="K64" s="19"/>
    </row>
    <row r="65" spans="3:11" ht="12.75">
      <c r="C65" s="19"/>
      <c r="D65" s="78"/>
      <c r="K65" s="19"/>
    </row>
    <row r="66" spans="3:11" ht="12.75">
      <c r="C66" s="19"/>
      <c r="D66" s="78"/>
      <c r="K66" s="19"/>
    </row>
    <row r="67" spans="3:11" ht="12.75">
      <c r="C67" s="19"/>
      <c r="D67" s="78"/>
      <c r="K67" s="19"/>
    </row>
    <row r="68" spans="3:11" ht="12.75">
      <c r="C68" s="19"/>
      <c r="D68" s="78"/>
      <c r="K68" s="19"/>
    </row>
    <row r="69" spans="3:11" ht="12.75">
      <c r="C69" s="19"/>
      <c r="D69" s="78"/>
      <c r="K69" s="19"/>
    </row>
    <row r="70" spans="3:11" ht="12.75">
      <c r="C70" s="19"/>
      <c r="D70" s="78"/>
      <c r="K70" s="19"/>
    </row>
    <row r="71" spans="3:11" ht="12.75">
      <c r="C71" s="19"/>
      <c r="D71" s="78"/>
      <c r="K71" s="19"/>
    </row>
    <row r="72" spans="3:11" ht="12.75">
      <c r="C72" s="19"/>
      <c r="D72" s="78"/>
      <c r="K72" s="19"/>
    </row>
    <row r="73" ht="12.75">
      <c r="K73" s="19"/>
    </row>
    <row r="74" ht="12.75">
      <c r="K74" s="19"/>
    </row>
    <row r="75" ht="12.75">
      <c r="K75" s="19"/>
    </row>
    <row r="76" ht="12.75">
      <c r="K76" s="19"/>
    </row>
    <row r="77" ht="12.75">
      <c r="K77" s="19"/>
    </row>
    <row r="78" ht="12.75">
      <c r="K78" s="19"/>
    </row>
    <row r="79" ht="12.75">
      <c r="K79" s="19"/>
    </row>
    <row r="80" ht="12.75">
      <c r="K80" s="19"/>
    </row>
    <row r="81" ht="12.75">
      <c r="K81" s="19"/>
    </row>
    <row r="82" ht="12.75">
      <c r="K82" s="19"/>
    </row>
    <row r="83" ht="12.75">
      <c r="K83" s="19"/>
    </row>
    <row r="84" ht="12.75">
      <c r="K84" s="19"/>
    </row>
    <row r="85" ht="12.75">
      <c r="K85" s="19"/>
    </row>
    <row r="86" ht="12.75">
      <c r="K86" s="19"/>
    </row>
    <row r="87" ht="12.75">
      <c r="K87" s="19"/>
    </row>
    <row r="88" ht="12.75">
      <c r="K88" s="19"/>
    </row>
    <row r="89" ht="12.75">
      <c r="K89" s="19"/>
    </row>
    <row r="90" ht="12.75">
      <c r="K90" s="19"/>
    </row>
    <row r="91" ht="12.75">
      <c r="K91" s="19"/>
    </row>
    <row r="92" ht="12.75">
      <c r="K92" s="19"/>
    </row>
    <row r="93" ht="12.75">
      <c r="K93" s="19"/>
    </row>
    <row r="94" ht="12.75">
      <c r="K94" s="19"/>
    </row>
    <row r="95" ht="12.75">
      <c r="K95" s="19"/>
    </row>
    <row r="96" ht="12.75">
      <c r="K96" s="19"/>
    </row>
    <row r="97" ht="12.75">
      <c r="K97" s="19"/>
    </row>
    <row r="98" ht="12.75">
      <c r="K98" s="19"/>
    </row>
    <row r="99" ht="12.75">
      <c r="K99" s="19"/>
    </row>
    <row r="100" ht="12.75">
      <c r="K100" s="19"/>
    </row>
    <row r="101" ht="12.75">
      <c r="K101" s="19"/>
    </row>
    <row r="102" ht="12.75">
      <c r="K102" s="19"/>
    </row>
    <row r="103" ht="12.75">
      <c r="K103" s="19"/>
    </row>
    <row r="104" ht="12.75">
      <c r="K104" s="19"/>
    </row>
    <row r="105" ht="12.75">
      <c r="K105" s="19"/>
    </row>
    <row r="106" ht="12.75">
      <c r="K106" s="19"/>
    </row>
    <row r="107" ht="12.75">
      <c r="K107" s="19"/>
    </row>
    <row r="108" ht="12.75">
      <c r="K108" s="19"/>
    </row>
    <row r="109" ht="12.75">
      <c r="K109" s="19"/>
    </row>
    <row r="110" ht="12.75">
      <c r="K110" s="19"/>
    </row>
    <row r="111" ht="12.75">
      <c r="K111" s="19"/>
    </row>
    <row r="112" ht="12.75">
      <c r="K112" s="19"/>
    </row>
    <row r="113" ht="12.75">
      <c r="K113" s="19"/>
    </row>
    <row r="114" ht="12.75">
      <c r="K114" s="19"/>
    </row>
    <row r="115" ht="12.75">
      <c r="K115" s="19"/>
    </row>
    <row r="116" ht="12.75">
      <c r="K116" s="19"/>
    </row>
    <row r="117" ht="12.75">
      <c r="K117" s="19"/>
    </row>
    <row r="118" ht="12.75">
      <c r="K118" s="19"/>
    </row>
    <row r="119" ht="12.75">
      <c r="K119" s="19"/>
    </row>
    <row r="120" ht="12.75">
      <c r="K120" s="19"/>
    </row>
    <row r="121" ht="12.75">
      <c r="K121" s="19"/>
    </row>
    <row r="122" ht="12.75">
      <c r="K122" s="19"/>
    </row>
    <row r="123" ht="12.75">
      <c r="K123" s="19"/>
    </row>
    <row r="124" ht="12.75">
      <c r="K124" s="19"/>
    </row>
    <row r="125" ht="12.75">
      <c r="K125" s="19"/>
    </row>
    <row r="126" ht="12.75">
      <c r="K126" s="19"/>
    </row>
    <row r="127" ht="12.75">
      <c r="K127" s="19"/>
    </row>
    <row r="128" ht="12.75">
      <c r="K128" s="19"/>
    </row>
    <row r="129" ht="12.75">
      <c r="K129" s="19"/>
    </row>
    <row r="130" ht="12.75">
      <c r="K130" s="19"/>
    </row>
    <row r="131" ht="12.75">
      <c r="K131" s="19"/>
    </row>
    <row r="132" ht="12.75">
      <c r="K132" s="19"/>
    </row>
    <row r="133" ht="12.75">
      <c r="K133" s="19"/>
    </row>
    <row r="134" ht="12.75">
      <c r="K134" s="19"/>
    </row>
    <row r="135" ht="12.75">
      <c r="K135" s="19"/>
    </row>
    <row r="136" ht="12.75">
      <c r="K136" s="19"/>
    </row>
    <row r="137" ht="12.75">
      <c r="K137" s="19"/>
    </row>
    <row r="138" ht="12.75">
      <c r="K138" s="19"/>
    </row>
    <row r="139" ht="12.75">
      <c r="K139" s="19"/>
    </row>
    <row r="140" ht="12.75">
      <c r="K140" s="19"/>
    </row>
    <row r="141" ht="12.75">
      <c r="K141" s="19"/>
    </row>
    <row r="142" ht="12.75">
      <c r="K142" s="19"/>
    </row>
    <row r="143" ht="12.75">
      <c r="K143" s="19"/>
    </row>
    <row r="144" ht="12.75">
      <c r="K144" s="19"/>
    </row>
    <row r="145" ht="12.75">
      <c r="K145" s="19"/>
    </row>
    <row r="146" ht="12.75">
      <c r="K146" s="19"/>
    </row>
    <row r="147" ht="12.75">
      <c r="K147" s="19"/>
    </row>
    <row r="148" ht="12.75">
      <c r="K148" s="19"/>
    </row>
    <row r="149" ht="12.75">
      <c r="K149" s="19"/>
    </row>
    <row r="150" ht="12.75">
      <c r="K150" s="19"/>
    </row>
    <row r="151" ht="12.75">
      <c r="K151" s="19"/>
    </row>
    <row r="152" ht="12.75">
      <c r="K152" s="19"/>
    </row>
    <row r="153" ht="12.75">
      <c r="K153" s="19"/>
    </row>
    <row r="154" ht="12.75">
      <c r="K154" s="19"/>
    </row>
    <row r="155" ht="12.75">
      <c r="K155" s="19"/>
    </row>
    <row r="156" ht="12.75">
      <c r="K156" s="19"/>
    </row>
    <row r="157" ht="12.75">
      <c r="K157" s="19"/>
    </row>
    <row r="158" ht="12.75">
      <c r="K158" s="19"/>
    </row>
    <row r="159" ht="12.75">
      <c r="K159" s="19"/>
    </row>
    <row r="160" ht="12.75">
      <c r="K160" s="19"/>
    </row>
    <row r="161" ht="12.75">
      <c r="K161" s="19"/>
    </row>
    <row r="162" ht="12.75">
      <c r="K162" s="19"/>
    </row>
    <row r="163" ht="12.75">
      <c r="K163" s="19"/>
    </row>
    <row r="164" ht="12.75">
      <c r="K164" s="19"/>
    </row>
    <row r="165" ht="12.75">
      <c r="K165" s="19"/>
    </row>
    <row r="166" ht="12.75">
      <c r="K166" s="19"/>
    </row>
    <row r="167" ht="12.75">
      <c r="K167" s="19"/>
    </row>
  </sheetData>
  <sheetProtection password="C977" sheet="1" scenarios="1"/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U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19" customWidth="1"/>
    <col min="2" max="2" width="25.421875" style="19" customWidth="1"/>
    <col min="3" max="3" width="19.00390625" style="19" customWidth="1"/>
    <col min="4" max="4" width="16.00390625" style="19" bestFit="1" customWidth="1"/>
    <col min="5" max="5" width="11.28125" style="19" bestFit="1" customWidth="1"/>
    <col min="6" max="6" width="16.140625" style="19" customWidth="1"/>
    <col min="7" max="7" width="12.7109375" style="19" customWidth="1"/>
    <col min="8" max="8" width="15.28125" style="19" customWidth="1"/>
    <col min="9" max="9" width="12.28125" style="19" bestFit="1" customWidth="1"/>
    <col min="10" max="10" width="9.140625" style="19" customWidth="1"/>
    <col min="11" max="11" width="30.421875" style="19" customWidth="1"/>
    <col min="12" max="12" width="9.8515625" style="19" customWidth="1"/>
    <col min="13" max="16384" width="9.140625" style="19" customWidth="1"/>
  </cols>
  <sheetData>
    <row r="1" ht="7.5" customHeight="1"/>
    <row r="2" spans="2:11" ht="20.25">
      <c r="B2" s="356"/>
      <c r="C2" s="85"/>
      <c r="K2" s="274" t="s">
        <v>389</v>
      </c>
    </row>
    <row r="3" spans="2:6" ht="12.75">
      <c r="B3" s="357"/>
      <c r="C3" s="515"/>
      <c r="D3" s="34"/>
      <c r="E3" s="34"/>
      <c r="F3" s="34"/>
    </row>
    <row r="4" spans="2:21" ht="12.75">
      <c r="B4" s="357"/>
      <c r="C4" s="85"/>
      <c r="K4" s="67" t="s">
        <v>388</v>
      </c>
      <c r="L4" s="19">
        <v>1</v>
      </c>
      <c r="M4" s="19">
        <v>2</v>
      </c>
      <c r="N4" s="19">
        <v>3</v>
      </c>
      <c r="O4" s="19">
        <v>4</v>
      </c>
      <c r="P4" s="19">
        <v>5</v>
      </c>
      <c r="Q4" s="19">
        <v>6</v>
      </c>
      <c r="R4" s="19">
        <v>7</v>
      </c>
      <c r="S4" s="19">
        <v>8</v>
      </c>
      <c r="T4" s="19">
        <v>9</v>
      </c>
      <c r="U4" s="19">
        <v>10</v>
      </c>
    </row>
    <row r="5" spans="3:21" ht="12.75">
      <c r="C5" s="23"/>
      <c r="K5" s="19" t="s">
        <v>368</v>
      </c>
      <c r="L5" s="68">
        <f aca="true" t="shared" si="0" ref="L5:U5">$L$25</f>
        <v>14974.358974358975</v>
      </c>
      <c r="M5" s="68">
        <f t="shared" si="0"/>
        <v>14974.358974358975</v>
      </c>
      <c r="N5" s="68">
        <f t="shared" si="0"/>
        <v>14974.358974358975</v>
      </c>
      <c r="O5" s="68">
        <f t="shared" si="0"/>
        <v>14974.358974358975</v>
      </c>
      <c r="P5" s="68">
        <f t="shared" si="0"/>
        <v>14974.358974358975</v>
      </c>
      <c r="Q5" s="68">
        <f t="shared" si="0"/>
        <v>14974.358974358975</v>
      </c>
      <c r="R5" s="68">
        <f t="shared" si="0"/>
        <v>14974.358974358975</v>
      </c>
      <c r="S5" s="68">
        <f t="shared" si="0"/>
        <v>14974.358974358975</v>
      </c>
      <c r="T5" s="68">
        <f t="shared" si="0"/>
        <v>14974.358974358975</v>
      </c>
      <c r="U5" s="68">
        <f t="shared" si="0"/>
        <v>14974.358974358975</v>
      </c>
    </row>
    <row r="6" spans="2:21" ht="12.75">
      <c r="B6" s="67"/>
      <c r="K6" s="19" t="s">
        <v>369</v>
      </c>
      <c r="L6" s="68">
        <f>+L33</f>
        <v>7500</v>
      </c>
      <c r="M6" s="68">
        <f>+L34</f>
        <v>10500.000000000002</v>
      </c>
      <c r="N6" s="68">
        <f>+L35</f>
        <v>10500.000000000002</v>
      </c>
      <c r="O6" s="68">
        <f>+L36</f>
        <v>10500.000000000002</v>
      </c>
      <c r="P6" s="68">
        <f>+L37</f>
        <v>10500.000000000002</v>
      </c>
      <c r="Q6" s="68">
        <f>+L38</f>
        <v>10500.000000000002</v>
      </c>
      <c r="R6" s="68">
        <f>+L39</f>
        <v>10500.000000000002</v>
      </c>
      <c r="S6" s="68">
        <f>+L40</f>
        <v>10500.000000000002</v>
      </c>
      <c r="T6" s="68">
        <f>+L41</f>
        <v>10500.000000000002</v>
      </c>
      <c r="U6" s="68">
        <f>+L42</f>
        <v>10500.000000000002</v>
      </c>
    </row>
    <row r="7" spans="2:19" ht="12.75">
      <c r="B7" s="67"/>
      <c r="K7" s="19" t="s">
        <v>370</v>
      </c>
      <c r="L7" s="68">
        <f>+$L$46</f>
        <v>650422.5072112858</v>
      </c>
      <c r="M7" s="68">
        <f>+$L$47+L12</f>
        <v>1114684.8986427144</v>
      </c>
      <c r="N7" s="68">
        <f>+$L$48+M12</f>
        <v>796073.4535427144</v>
      </c>
      <c r="O7" s="68">
        <f>+$L$50+N12</f>
        <v>406457.1721061429</v>
      </c>
      <c r="P7" s="68">
        <f>+$L$51+O12</f>
        <v>406002.0128988572</v>
      </c>
      <c r="Q7" s="68">
        <f>+$L$52+P12</f>
        <v>406457.1721061429</v>
      </c>
      <c r="R7" s="68">
        <f>+$L$53+Q12</f>
        <v>203001.0064494286</v>
      </c>
      <c r="S7" s="68">
        <f>+$L$54+R12</f>
        <v>0</v>
      </c>
    </row>
    <row r="8" spans="2:18" ht="12.75">
      <c r="B8" s="86" t="s">
        <v>667</v>
      </c>
      <c r="K8" s="19" t="s">
        <v>390</v>
      </c>
      <c r="L8" s="68">
        <f>+$L$57</f>
        <v>0</v>
      </c>
      <c r="M8" s="68">
        <f>+$L$58</f>
        <v>0</v>
      </c>
      <c r="N8" s="68">
        <f>+$L$59</f>
        <v>0</v>
      </c>
      <c r="O8" s="68">
        <f>+$L$60</f>
        <v>0</v>
      </c>
      <c r="P8" s="68">
        <f>+$L$61</f>
        <v>0</v>
      </c>
      <c r="Q8" s="68">
        <f>+$L$62</f>
        <v>0</v>
      </c>
      <c r="R8" s="68"/>
    </row>
    <row r="9" spans="2:3" ht="12.75">
      <c r="B9" s="67" t="s">
        <v>368</v>
      </c>
      <c r="C9" s="68" t="s">
        <v>391</v>
      </c>
    </row>
    <row r="10" spans="2:21" ht="12.75">
      <c r="B10" s="67" t="s">
        <v>369</v>
      </c>
      <c r="C10" s="68" t="s">
        <v>411</v>
      </c>
      <c r="D10" s="87"/>
      <c r="K10" s="67" t="s">
        <v>392</v>
      </c>
      <c r="L10" s="68">
        <f aca="true" t="shared" si="1" ref="L10:U10">SUM(L5:L8)</f>
        <v>672896.8661856448</v>
      </c>
      <c r="M10" s="68">
        <f t="shared" si="1"/>
        <v>1140159.2576170734</v>
      </c>
      <c r="N10" s="68">
        <f t="shared" si="1"/>
        <v>821547.8125170734</v>
      </c>
      <c r="O10" s="68">
        <f t="shared" si="1"/>
        <v>431931.5310805019</v>
      </c>
      <c r="P10" s="68">
        <f t="shared" si="1"/>
        <v>431476.3718732162</v>
      </c>
      <c r="Q10" s="68">
        <f t="shared" si="1"/>
        <v>431931.5310805019</v>
      </c>
      <c r="R10" s="68">
        <f t="shared" si="1"/>
        <v>228475.36542378756</v>
      </c>
      <c r="S10" s="68">
        <f t="shared" si="1"/>
        <v>25474.358974358976</v>
      </c>
      <c r="T10" s="68">
        <f t="shared" si="1"/>
        <v>25474.358974358976</v>
      </c>
      <c r="U10" s="68">
        <f t="shared" si="1"/>
        <v>25474.358974358976</v>
      </c>
    </row>
    <row r="11" spans="2:4" ht="12.75">
      <c r="B11" s="67" t="s">
        <v>370</v>
      </c>
      <c r="C11" s="68" t="s">
        <v>412</v>
      </c>
      <c r="D11" s="87"/>
    </row>
    <row r="12" spans="2:21" ht="12.75">
      <c r="B12" s="67" t="s">
        <v>371</v>
      </c>
      <c r="C12" s="68" t="s">
        <v>413</v>
      </c>
      <c r="D12" s="87"/>
      <c r="K12" s="67" t="s">
        <v>640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</row>
    <row r="13" spans="2:12" ht="12.75">
      <c r="B13" s="88"/>
      <c r="D13" s="87"/>
      <c r="K13" s="67"/>
      <c r="L13" s="68"/>
    </row>
    <row r="14" spans="2:12" ht="12.75">
      <c r="B14" s="88"/>
      <c r="D14" s="87"/>
      <c r="E14" s="87"/>
      <c r="K14" s="67" t="s">
        <v>368</v>
      </c>
      <c r="L14" s="68" t="s">
        <v>391</v>
      </c>
    </row>
    <row r="15" spans="2:12" ht="12.75">
      <c r="B15" s="67" t="s">
        <v>368</v>
      </c>
      <c r="C15" s="89"/>
      <c r="G15" s="67" t="s">
        <v>369</v>
      </c>
      <c r="K15" s="67" t="s">
        <v>369</v>
      </c>
      <c r="L15" s="68" t="s">
        <v>393</v>
      </c>
    </row>
    <row r="16" spans="3:12" ht="12.75">
      <c r="C16" s="90" t="s">
        <v>400</v>
      </c>
      <c r="D16" s="67" t="s">
        <v>401</v>
      </c>
      <c r="E16" s="67" t="s">
        <v>396</v>
      </c>
      <c r="H16" s="90" t="s">
        <v>400</v>
      </c>
      <c r="I16" s="67" t="s">
        <v>401</v>
      </c>
      <c r="K16" s="67" t="s">
        <v>370</v>
      </c>
      <c r="L16" s="68" t="s">
        <v>665</v>
      </c>
    </row>
    <row r="17" spans="3:12" ht="12.75">
      <c r="C17" s="240" t="str">
        <f>Equipment!B171</f>
        <v>Building shell</v>
      </c>
      <c r="D17" s="347">
        <f>Equipment!F171</f>
        <v>584000</v>
      </c>
      <c r="E17" s="348">
        <v>10000</v>
      </c>
      <c r="G17" s="19" t="s">
        <v>402</v>
      </c>
      <c r="H17" s="129" t="s">
        <v>680</v>
      </c>
      <c r="I17" s="353">
        <v>40000</v>
      </c>
      <c r="K17" s="67" t="s">
        <v>371</v>
      </c>
      <c r="L17" s="68" t="s">
        <v>666</v>
      </c>
    </row>
    <row r="18" spans="2:9" ht="12.75">
      <c r="B18" s="19" t="s">
        <v>403</v>
      </c>
      <c r="C18" s="129"/>
      <c r="D18" s="348"/>
      <c r="E18" s="348"/>
      <c r="G18" s="19" t="s">
        <v>403</v>
      </c>
      <c r="H18" s="129" t="s">
        <v>681</v>
      </c>
      <c r="I18" s="353">
        <f>IF('Input Value'!F24=1,35000,0)</f>
        <v>35000</v>
      </c>
    </row>
    <row r="19" spans="2:12" ht="12.75">
      <c r="B19" s="19" t="s">
        <v>404</v>
      </c>
      <c r="C19" s="129"/>
      <c r="D19" s="348"/>
      <c r="E19" s="348"/>
      <c r="G19" s="19" t="s">
        <v>404</v>
      </c>
      <c r="H19" s="129"/>
      <c r="I19" s="353">
        <v>0</v>
      </c>
      <c r="L19" s="89"/>
    </row>
    <row r="20" spans="2:12" ht="12.75">
      <c r="B20" s="19" t="s">
        <v>405</v>
      </c>
      <c r="C20" s="129" t="s">
        <v>679</v>
      </c>
      <c r="D20" s="348">
        <v>10000</v>
      </c>
      <c r="E20" s="348"/>
      <c r="G20" s="19" t="s">
        <v>405</v>
      </c>
      <c r="H20" s="129"/>
      <c r="I20" s="353">
        <v>0</v>
      </c>
      <c r="K20" s="67" t="s">
        <v>368</v>
      </c>
      <c r="L20" s="91"/>
    </row>
    <row r="21" spans="2:12" ht="12.75">
      <c r="B21" s="19" t="s">
        <v>406</v>
      </c>
      <c r="C21" s="129"/>
      <c r="D21" s="348">
        <v>0</v>
      </c>
      <c r="E21" s="348"/>
      <c r="G21" s="19" t="s">
        <v>406</v>
      </c>
      <c r="H21" s="129"/>
      <c r="I21" s="353">
        <v>0</v>
      </c>
      <c r="K21" s="19" t="s">
        <v>394</v>
      </c>
      <c r="L21" s="92">
        <f>+D22</f>
        <v>594000</v>
      </c>
    </row>
    <row r="22" spans="2:12" ht="12.75">
      <c r="B22" s="67" t="s">
        <v>407</v>
      </c>
      <c r="C22" s="89"/>
      <c r="D22" s="349">
        <f>SUM(D17:D21)</f>
        <v>594000</v>
      </c>
      <c r="E22" s="349">
        <f>SUM(E17:E21)</f>
        <v>10000</v>
      </c>
      <c r="G22" s="67" t="s">
        <v>409</v>
      </c>
      <c r="H22" s="89"/>
      <c r="I22" s="354">
        <f>SUM(I17:I21)</f>
        <v>75000</v>
      </c>
      <c r="K22" s="93" t="s">
        <v>395</v>
      </c>
      <c r="L22" s="71">
        <v>39</v>
      </c>
    </row>
    <row r="23" spans="3:12" ht="12.75">
      <c r="C23" s="89"/>
      <c r="D23" s="350"/>
      <c r="E23" s="350"/>
      <c r="I23" s="354"/>
      <c r="K23" s="93" t="s">
        <v>396</v>
      </c>
      <c r="L23" s="336">
        <f>E22</f>
        <v>10000</v>
      </c>
    </row>
    <row r="24" spans="2:12" ht="12.75">
      <c r="B24" s="67" t="s">
        <v>370</v>
      </c>
      <c r="D24" s="350"/>
      <c r="E24" s="350"/>
      <c r="G24" s="67" t="s">
        <v>371</v>
      </c>
      <c r="H24" s="89"/>
      <c r="I24" s="354"/>
      <c r="K24" s="93" t="s">
        <v>397</v>
      </c>
      <c r="L24" s="71">
        <v>39</v>
      </c>
    </row>
    <row r="25" spans="3:12" ht="12.75">
      <c r="C25" s="90" t="s">
        <v>400</v>
      </c>
      <c r="D25" s="351" t="s">
        <v>401</v>
      </c>
      <c r="E25" s="351"/>
      <c r="H25" s="90" t="s">
        <v>400</v>
      </c>
      <c r="I25" s="355" t="s">
        <v>401</v>
      </c>
      <c r="K25" s="19" t="s">
        <v>398</v>
      </c>
      <c r="L25" s="68">
        <f>(L21-L23)/L24</f>
        <v>14974.358974358975</v>
      </c>
    </row>
    <row r="26" spans="2:9" ht="12.75">
      <c r="B26" s="240" t="str">
        <f>Equipment!B3</f>
        <v>RECEIVING AREA</v>
      </c>
      <c r="C26" s="129"/>
      <c r="D26" s="348">
        <f>IF('Input Value'!F24=1,Equipment!F12,0)</f>
        <v>192267</v>
      </c>
      <c r="E26" s="348"/>
      <c r="G26" s="19" t="s">
        <v>402</v>
      </c>
      <c r="H26" s="129"/>
      <c r="I26" s="353">
        <v>0</v>
      </c>
    </row>
    <row r="27" spans="2:11" ht="12.75">
      <c r="B27" s="240" t="str">
        <f>Equipment!B14</f>
        <v>PREPARATION AREA</v>
      </c>
      <c r="C27" s="129"/>
      <c r="D27" s="348">
        <f>IF('Input Value'!F24=1,Equipment!F23,0)</f>
        <v>498887.1</v>
      </c>
      <c r="E27" s="348"/>
      <c r="G27" s="19" t="s">
        <v>403</v>
      </c>
      <c r="H27" s="129"/>
      <c r="I27" s="353"/>
      <c r="K27" s="67" t="s">
        <v>369</v>
      </c>
    </row>
    <row r="28" spans="2:12" ht="12.75">
      <c r="B28" s="240" t="str">
        <f>Equipment!B26</f>
        <v>OIL EXTRACTION AREA</v>
      </c>
      <c r="C28" s="129"/>
      <c r="D28" s="348">
        <f>IF('Input Value'!F24=1,Equipment!F41,0)</f>
        <v>2107028.7</v>
      </c>
      <c r="E28" s="348"/>
      <c r="H28" s="129"/>
      <c r="I28" s="353"/>
      <c r="K28" s="19" t="s">
        <v>394</v>
      </c>
      <c r="L28" s="68">
        <f>$I$22</f>
        <v>75000</v>
      </c>
    </row>
    <row r="29" spans="2:12" ht="12.75">
      <c r="B29" s="240" t="str">
        <f>Equipment!B43</f>
        <v>OIL PROCESSING</v>
      </c>
      <c r="C29" s="129"/>
      <c r="D29" s="348">
        <f>IF('Input Value'!F24=1,Equipment!F52,0)</f>
        <v>128250</v>
      </c>
      <c r="E29" s="348"/>
      <c r="H29" s="129"/>
      <c r="I29" s="353"/>
      <c r="K29" s="19" t="s">
        <v>395</v>
      </c>
      <c r="L29" s="19">
        <v>10</v>
      </c>
    </row>
    <row r="30" spans="2:12" ht="12.75">
      <c r="B30" s="240" t="str">
        <f>Equipment!B54</f>
        <v>CONVERSION</v>
      </c>
      <c r="C30" s="129"/>
      <c r="D30" s="348">
        <f>IF('Input Value'!F25=1,Equipment!F76,0)</f>
        <v>487792.9928571428</v>
      </c>
      <c r="E30" s="348"/>
      <c r="H30" s="129"/>
      <c r="I30" s="353"/>
      <c r="L30" s="80"/>
    </row>
    <row r="31" spans="2:9" ht="12.75">
      <c r="B31" s="240" t="str">
        <f>Equipment!B78</f>
        <v>MEAL PROCESSING</v>
      </c>
      <c r="C31" s="129"/>
      <c r="D31" s="348">
        <f>IF('Input Value'!F24=1,Equipment!F85,0)</f>
        <v>80615.25</v>
      </c>
      <c r="E31" s="348"/>
      <c r="H31" s="129"/>
      <c r="I31" s="353"/>
    </row>
    <row r="32" spans="2:13" ht="12.75">
      <c r="B32" s="240" t="str">
        <f>Equipment!B87</f>
        <v>MEAL PACKAGING</v>
      </c>
      <c r="C32" s="129"/>
      <c r="D32" s="348">
        <f>IF('Input Value'!F24=1,Equipment!F94,0)</f>
        <v>59577.659999999996</v>
      </c>
      <c r="E32" s="348"/>
      <c r="G32" s="19" t="s">
        <v>404</v>
      </c>
      <c r="H32" s="129" t="s">
        <v>430</v>
      </c>
      <c r="I32" s="353">
        <v>0</v>
      </c>
      <c r="K32" s="88" t="s">
        <v>388</v>
      </c>
      <c r="L32" s="94" t="s">
        <v>372</v>
      </c>
      <c r="M32" s="88" t="s">
        <v>399</v>
      </c>
    </row>
    <row r="33" spans="2:13" ht="12.75">
      <c r="B33" s="240" t="str">
        <f>Equipment!B96</f>
        <v>STORE AND SHIP</v>
      </c>
      <c r="C33" s="129"/>
      <c r="D33" s="348">
        <f>IF('Input Value'!F25=1,Equipment!F108,0)</f>
        <v>320261.85</v>
      </c>
      <c r="E33" s="348"/>
      <c r="H33" s="129"/>
      <c r="I33" s="353"/>
      <c r="K33" s="19">
        <v>1</v>
      </c>
      <c r="L33" s="68">
        <f aca="true" t="shared" si="2" ref="L33:L42">$L$28*M33</f>
        <v>7500</v>
      </c>
      <c r="M33" s="95">
        <v>0.1</v>
      </c>
    </row>
    <row r="34" spans="2:13" ht="12.75">
      <c r="B34" s="240" t="str">
        <f>Equipment!B110</f>
        <v>GLYCERINE REFINING (OPTIONAL)</v>
      </c>
      <c r="C34" s="129"/>
      <c r="D34" s="348">
        <f>IF('Input Value'!F25=1,Equipment!F119,0)</f>
        <v>95000</v>
      </c>
      <c r="E34" s="348"/>
      <c r="H34" s="129"/>
      <c r="I34" s="353"/>
      <c r="K34" s="19">
        <v>2</v>
      </c>
      <c r="L34" s="68">
        <f t="shared" si="2"/>
        <v>10500.000000000002</v>
      </c>
      <c r="M34" s="95">
        <v>0.14</v>
      </c>
    </row>
    <row r="35" spans="2:13" ht="12.75">
      <c r="B35" s="240" t="str">
        <f>Equipment!B121</f>
        <v>QUALITY CONTROL</v>
      </c>
      <c r="C35" s="129"/>
      <c r="D35" s="348">
        <f>IF('Input Value'!F25=1,Equipment!F137,0)</f>
        <v>113336.52</v>
      </c>
      <c r="E35" s="348"/>
      <c r="H35" s="129"/>
      <c r="I35" s="353"/>
      <c r="K35" s="19">
        <v>3</v>
      </c>
      <c r="L35" s="68">
        <f t="shared" si="2"/>
        <v>10500.000000000002</v>
      </c>
      <c r="M35" s="95">
        <v>0.14</v>
      </c>
    </row>
    <row r="36" spans="2:13" ht="12.75">
      <c r="B36" s="240" t="str">
        <f>Equipment!B139</f>
        <v>OFFICE</v>
      </c>
      <c r="C36" s="129"/>
      <c r="D36" s="348">
        <f>Equipment!F147</f>
        <v>6400</v>
      </c>
      <c r="E36" s="348"/>
      <c r="H36" s="129"/>
      <c r="I36" s="353"/>
      <c r="K36" s="19">
        <v>4</v>
      </c>
      <c r="L36" s="68">
        <f t="shared" si="2"/>
        <v>10500.000000000002</v>
      </c>
      <c r="M36" s="95">
        <v>0.14</v>
      </c>
    </row>
    <row r="37" spans="2:13" ht="12.75">
      <c r="B37" s="240" t="str">
        <f>Equipment!B149</f>
        <v>SANITATION EQUIPMENT</v>
      </c>
      <c r="C37" s="129"/>
      <c r="D37" s="348">
        <f>Equipment!F163</f>
        <v>46575</v>
      </c>
      <c r="E37" s="348"/>
      <c r="H37" s="129"/>
      <c r="I37" s="353"/>
      <c r="K37" s="19">
        <v>5</v>
      </c>
      <c r="L37" s="68">
        <f t="shared" si="2"/>
        <v>10500.000000000002</v>
      </c>
      <c r="M37" s="95">
        <v>0.14</v>
      </c>
    </row>
    <row r="38" spans="2:13" ht="12.75">
      <c r="B38" s="240" t="str">
        <f>Equipment!B165</f>
        <v>FACILITY, OTHER</v>
      </c>
      <c r="C38" s="129" t="s">
        <v>276</v>
      </c>
      <c r="D38" s="348">
        <f>Equipment!F180-Equipment!F171</f>
        <v>415600</v>
      </c>
      <c r="E38" s="348"/>
      <c r="G38" s="19" t="s">
        <v>405</v>
      </c>
      <c r="H38" s="129"/>
      <c r="I38" s="353">
        <v>0</v>
      </c>
      <c r="K38" s="19">
        <v>6</v>
      </c>
      <c r="L38" s="68">
        <f t="shared" si="2"/>
        <v>10500.000000000002</v>
      </c>
      <c r="M38" s="95">
        <v>0.14</v>
      </c>
    </row>
    <row r="39" spans="2:13" ht="12.75">
      <c r="B39" s="67" t="s">
        <v>408</v>
      </c>
      <c r="C39" s="89"/>
      <c r="D39" s="349">
        <f>SUM(D26:D38)-IF('Input Value'!F24=0,D26+D27+D28+D29+D31+D32,0)-IF('Input Value'!F25=0,D30+D33+D34+D35+D38,0)</f>
        <v>4551592.072857143</v>
      </c>
      <c r="E39" s="349"/>
      <c r="G39" s="67" t="s">
        <v>410</v>
      </c>
      <c r="H39" s="89"/>
      <c r="I39" s="354">
        <f>SUM(I26:I38)</f>
        <v>0</v>
      </c>
      <c r="J39" s="68"/>
      <c r="K39" s="19">
        <v>7</v>
      </c>
      <c r="L39" s="68">
        <f t="shared" si="2"/>
        <v>10500.000000000002</v>
      </c>
      <c r="M39" s="95">
        <v>0.14</v>
      </c>
    </row>
    <row r="40" spans="3:13" ht="12.75">
      <c r="C40" s="89"/>
      <c r="D40" s="352"/>
      <c r="E40" s="352"/>
      <c r="H40" s="68"/>
      <c r="I40" s="31"/>
      <c r="J40" s="68"/>
      <c r="K40" s="19">
        <v>8</v>
      </c>
      <c r="L40" s="68">
        <f t="shared" si="2"/>
        <v>10500.000000000002</v>
      </c>
      <c r="M40" s="95">
        <v>0.14</v>
      </c>
    </row>
    <row r="41" spans="2:13" ht="12.75">
      <c r="B41" s="67" t="s">
        <v>416</v>
      </c>
      <c r="C41" s="89"/>
      <c r="D41" s="349">
        <f>+D22+I22+D39+I39</f>
        <v>5220592.072857143</v>
      </c>
      <c r="E41" s="349"/>
      <c r="H41" s="68"/>
      <c r="I41" s="68"/>
      <c r="J41" s="68"/>
      <c r="K41" s="19">
        <v>9</v>
      </c>
      <c r="L41" s="68">
        <f t="shared" si="2"/>
        <v>10500.000000000002</v>
      </c>
      <c r="M41" s="95">
        <v>0.14</v>
      </c>
    </row>
    <row r="42" spans="2:13" ht="12.75">
      <c r="B42" s="67" t="s">
        <v>422</v>
      </c>
      <c r="C42" s="89"/>
      <c r="D42" s="348">
        <v>10000</v>
      </c>
      <c r="E42" s="348"/>
      <c r="H42" s="68"/>
      <c r="I42" s="68"/>
      <c r="J42" s="68"/>
      <c r="K42" s="19">
        <v>10</v>
      </c>
      <c r="L42" s="68">
        <f t="shared" si="2"/>
        <v>10500.000000000002</v>
      </c>
      <c r="M42" s="95">
        <v>0.14</v>
      </c>
    </row>
    <row r="43" spans="2:14" ht="12.75">
      <c r="B43" s="67" t="s">
        <v>423</v>
      </c>
      <c r="C43" s="89"/>
      <c r="D43" s="349">
        <f>SUM(D41:D42)</f>
        <v>5230592.072857143</v>
      </c>
      <c r="E43" s="349"/>
      <c r="H43" s="68"/>
      <c r="I43" s="68"/>
      <c r="J43" s="68"/>
      <c r="N43" s="93"/>
    </row>
    <row r="44" spans="2:18" ht="12.75">
      <c r="B44" s="67"/>
      <c r="C44" s="89"/>
      <c r="H44" s="68"/>
      <c r="I44" s="68"/>
      <c r="J44" s="68"/>
      <c r="K44" s="67" t="s">
        <v>370</v>
      </c>
      <c r="N44" s="93"/>
      <c r="P44" s="67"/>
      <c r="Q44" s="67"/>
      <c r="R44" s="67"/>
    </row>
    <row r="45" spans="2:21" ht="15" customHeight="1">
      <c r="B45" s="273"/>
      <c r="C45" s="89" t="s">
        <v>795</v>
      </c>
      <c r="D45" s="482">
        <f>D22+I22+I39+SUM(D36:D38)</f>
        <v>1137575</v>
      </c>
      <c r="F45" s="19" t="s">
        <v>748</v>
      </c>
      <c r="G45" s="350">
        <f>IF('Input Value'!F24=1,D46+D45,0)</f>
        <v>4204200.710000001</v>
      </c>
      <c r="H45" s="68"/>
      <c r="I45" s="68"/>
      <c r="J45" s="68"/>
      <c r="K45" s="88" t="s">
        <v>388</v>
      </c>
      <c r="L45" s="94" t="s">
        <v>372</v>
      </c>
      <c r="M45" s="88" t="s">
        <v>399</v>
      </c>
      <c r="N45" s="71"/>
      <c r="O45" s="67"/>
      <c r="P45" s="71"/>
      <c r="Q45" s="71"/>
      <c r="R45" s="71"/>
      <c r="S45" s="71"/>
      <c r="T45" s="71"/>
      <c r="U45" s="71"/>
    </row>
    <row r="46" spans="3:15" ht="12.75">
      <c r="C46" s="19" t="s">
        <v>796</v>
      </c>
      <c r="D46" s="350">
        <f>D26+D27+D28+D29+D31+D32</f>
        <v>3066625.7100000004</v>
      </c>
      <c r="F46" s="19" t="s">
        <v>747</v>
      </c>
      <c r="G46" s="350">
        <f>IF('Input Value'!F25=1,D47+D45,0)</f>
        <v>2153966.362857143</v>
      </c>
      <c r="K46" s="19">
        <v>1</v>
      </c>
      <c r="L46" s="68">
        <f aca="true" t="shared" si="3" ref="L46:L53">$D$39*M46</f>
        <v>650422.5072112858</v>
      </c>
      <c r="M46" s="96">
        <v>0.1429</v>
      </c>
      <c r="O46" s="71"/>
    </row>
    <row r="47" spans="3:13" ht="12.75">
      <c r="C47" s="19" t="s">
        <v>648</v>
      </c>
      <c r="D47" s="350">
        <f>D30+D33+D34+D35</f>
        <v>1016391.3628571428</v>
      </c>
      <c r="K47" s="19">
        <v>2</v>
      </c>
      <c r="L47" s="68">
        <f t="shared" si="3"/>
        <v>1114684.8986427144</v>
      </c>
      <c r="M47" s="96">
        <v>0.2449</v>
      </c>
    </row>
    <row r="48" spans="11:13" ht="12.75">
      <c r="K48" s="19">
        <v>3</v>
      </c>
      <c r="L48" s="68">
        <f t="shared" si="3"/>
        <v>796073.4535427144</v>
      </c>
      <c r="M48" s="96">
        <v>0.1749</v>
      </c>
    </row>
    <row r="49" spans="3:13" ht="12.75">
      <c r="C49" s="482"/>
      <c r="K49" s="19">
        <v>4</v>
      </c>
      <c r="L49" s="68">
        <f t="shared" si="3"/>
        <v>568493.8498998572</v>
      </c>
      <c r="M49" s="96">
        <v>0.1249</v>
      </c>
    </row>
    <row r="50" spans="11:13" ht="12.75">
      <c r="K50" s="19">
        <v>5</v>
      </c>
      <c r="L50" s="68">
        <f t="shared" si="3"/>
        <v>406457.1721061429</v>
      </c>
      <c r="M50" s="96">
        <v>0.0893</v>
      </c>
    </row>
    <row r="51" spans="3:13" ht="12.75">
      <c r="C51" s="482"/>
      <c r="K51" s="19">
        <v>6</v>
      </c>
      <c r="L51" s="68">
        <f t="shared" si="3"/>
        <v>406002.0128988572</v>
      </c>
      <c r="M51" s="96">
        <v>0.0892</v>
      </c>
    </row>
    <row r="52" spans="3:13" ht="12.75">
      <c r="C52" s="482"/>
      <c r="K52" s="19">
        <v>7</v>
      </c>
      <c r="L52" s="68">
        <f t="shared" si="3"/>
        <v>406457.1721061429</v>
      </c>
      <c r="M52" s="96">
        <v>0.0893</v>
      </c>
    </row>
    <row r="53" spans="11:13" ht="12.75">
      <c r="K53" s="19">
        <v>8</v>
      </c>
      <c r="L53" s="68">
        <f t="shared" si="3"/>
        <v>203001.0064494286</v>
      </c>
      <c r="M53" s="96">
        <v>0.0446</v>
      </c>
    </row>
    <row r="55" ht="12.75">
      <c r="K55" s="67" t="s">
        <v>371</v>
      </c>
    </row>
    <row r="56" spans="11:13" ht="12.75">
      <c r="K56" s="88" t="s">
        <v>388</v>
      </c>
      <c r="L56" s="94" t="s">
        <v>372</v>
      </c>
      <c r="M56" s="88" t="s">
        <v>399</v>
      </c>
    </row>
    <row r="57" spans="11:13" ht="12.75">
      <c r="K57" s="19">
        <v>1</v>
      </c>
      <c r="L57" s="68">
        <f aca="true" t="shared" si="4" ref="L57:L62">$I$39*M57</f>
        <v>0</v>
      </c>
      <c r="M57" s="97">
        <v>0.2</v>
      </c>
    </row>
    <row r="58" spans="11:13" ht="12.75">
      <c r="K58" s="19">
        <v>2</v>
      </c>
      <c r="L58" s="68">
        <f t="shared" si="4"/>
        <v>0</v>
      </c>
      <c r="M58" s="97">
        <v>0.32</v>
      </c>
    </row>
    <row r="59" spans="11:13" ht="12.75">
      <c r="K59" s="19">
        <v>3</v>
      </c>
      <c r="L59" s="68">
        <f t="shared" si="4"/>
        <v>0</v>
      </c>
      <c r="M59" s="97">
        <v>0.192</v>
      </c>
    </row>
    <row r="60" spans="11:13" ht="12.75">
      <c r="K60" s="19">
        <v>4</v>
      </c>
      <c r="L60" s="68">
        <f t="shared" si="4"/>
        <v>0</v>
      </c>
      <c r="M60" s="97">
        <v>0.1152</v>
      </c>
    </row>
    <row r="61" spans="11:13" ht="12.75">
      <c r="K61" s="19">
        <v>5</v>
      </c>
      <c r="L61" s="68">
        <f t="shared" si="4"/>
        <v>0</v>
      </c>
      <c r="M61" s="97">
        <v>0.1152</v>
      </c>
    </row>
    <row r="62" spans="11:13" ht="12.75">
      <c r="K62" s="19">
        <v>6</v>
      </c>
      <c r="L62" s="68">
        <f t="shared" si="4"/>
        <v>0</v>
      </c>
      <c r="M62" s="97">
        <v>0.0576</v>
      </c>
    </row>
    <row r="63" ht="12.75">
      <c r="N63" s="23"/>
    </row>
    <row r="64" ht="13.5">
      <c r="N64" s="98"/>
    </row>
    <row r="65" ht="13.5">
      <c r="N65" s="98"/>
    </row>
    <row r="66" ht="13.5">
      <c r="N66" s="98"/>
    </row>
    <row r="67" ht="13.5">
      <c r="N67" s="98"/>
    </row>
    <row r="68" ht="13.5">
      <c r="N68" s="98"/>
    </row>
    <row r="69" ht="13.5">
      <c r="N69" s="98"/>
    </row>
    <row r="70" ht="13.5">
      <c r="N70" s="98"/>
    </row>
    <row r="71" ht="13.5">
      <c r="N71" s="98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3.5">
      <c r="E124" s="98"/>
    </row>
    <row r="125" ht="13.5">
      <c r="E125" s="98"/>
    </row>
    <row r="126" ht="13.5">
      <c r="E126" s="98"/>
    </row>
    <row r="127" ht="13.5">
      <c r="E127" s="98"/>
    </row>
    <row r="128" ht="13.5">
      <c r="E128" s="98"/>
    </row>
    <row r="129" ht="13.5">
      <c r="E129" s="98"/>
    </row>
  </sheetData>
  <sheetProtection password="C977" sheet="1"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L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3.28125" style="0" bestFit="1" customWidth="1"/>
    <col min="3" max="8" width="12.7109375" style="0" customWidth="1"/>
    <col min="9" max="12" width="10.7109375" style="0" customWidth="1"/>
  </cols>
  <sheetData>
    <row r="1" ht="20.25">
      <c r="B1" s="272"/>
    </row>
    <row r="2" spans="2:5" ht="20.25">
      <c r="B2" s="272"/>
      <c r="C2" s="164"/>
      <c r="D2" s="164"/>
      <c r="E2" s="164"/>
    </row>
    <row r="3" spans="2:3" ht="12.75">
      <c r="B3" s="1" t="s">
        <v>336</v>
      </c>
      <c r="C3" s="483">
        <f>IF(AND('Input Value'!F24=1,'Input Value'!F25=1),Depreciation!D43,IF(AND('Input Value'!F24=0,'Input Value'!F25=1),Depreciation!G46,IF(AND('Input Value'!F24=1,'Input Value'!F25=0),Depreciation!G45)))</f>
        <v>5230592.072857143</v>
      </c>
    </row>
    <row r="4" spans="2:3" ht="12.75">
      <c r="B4" s="1" t="s">
        <v>339</v>
      </c>
      <c r="C4" s="9">
        <f>'Input Value'!$C$5</f>
        <v>0.075</v>
      </c>
    </row>
    <row r="5" spans="2:3" ht="12.75">
      <c r="B5" s="1" t="s">
        <v>340</v>
      </c>
      <c r="C5" s="9">
        <f>'Input Value'!$C$4</f>
        <v>0.5</v>
      </c>
    </row>
    <row r="6" spans="2:3" ht="12.75">
      <c r="B6" s="1" t="s">
        <v>337</v>
      </c>
      <c r="C6" s="10">
        <f>+C3*C5</f>
        <v>2615296.0364285717</v>
      </c>
    </row>
    <row r="7" spans="2:3" ht="12.75">
      <c r="B7" s="1" t="s">
        <v>338</v>
      </c>
      <c r="C7" s="15">
        <f>'Input Value'!$C$6</f>
        <v>10</v>
      </c>
    </row>
    <row r="9" spans="3:12" ht="12.75">
      <c r="C9" s="2" t="s">
        <v>325</v>
      </c>
      <c r="D9" s="2" t="s">
        <v>326</v>
      </c>
      <c r="E9" s="2" t="s">
        <v>327</v>
      </c>
      <c r="F9" s="2" t="s">
        <v>328</v>
      </c>
      <c r="G9" s="2" t="s">
        <v>329</v>
      </c>
      <c r="H9" s="2" t="s">
        <v>330</v>
      </c>
      <c r="I9" s="2" t="s">
        <v>331</v>
      </c>
      <c r="J9" s="2" t="s">
        <v>332</v>
      </c>
      <c r="K9" s="2" t="s">
        <v>333</v>
      </c>
      <c r="L9" s="2" t="s">
        <v>334</v>
      </c>
    </row>
    <row r="10" spans="2:12" ht="12.75">
      <c r="B10" s="1" t="s">
        <v>342</v>
      </c>
      <c r="C10" s="8">
        <f>$C$6</f>
        <v>2615296.0364285717</v>
      </c>
      <c r="D10" s="8">
        <f>C17</f>
        <v>2430431.410599756</v>
      </c>
      <c r="E10" s="8">
        <f aca="true" t="shared" si="0" ref="E10:L10">D17</f>
        <v>2231701.9378337795</v>
      </c>
      <c r="F10" s="8">
        <f t="shared" si="0"/>
        <v>2018067.7546103545</v>
      </c>
      <c r="G10" s="8">
        <f t="shared" si="0"/>
        <v>1788411.0076451728</v>
      </c>
      <c r="H10" s="8">
        <f t="shared" si="0"/>
        <v>1541530.0046576024</v>
      </c>
      <c r="I10" s="8">
        <f t="shared" si="0"/>
        <v>1276132.9264459643</v>
      </c>
      <c r="J10" s="8">
        <f t="shared" si="0"/>
        <v>990831.0673684533</v>
      </c>
      <c r="K10" s="8">
        <f t="shared" si="0"/>
        <v>684131.568860129</v>
      </c>
      <c r="L10" s="8">
        <f t="shared" si="0"/>
        <v>354429.60796368035</v>
      </c>
    </row>
    <row r="11" spans="2:12" ht="12.75">
      <c r="B11" s="1" t="s">
        <v>343</v>
      </c>
      <c r="C11" s="7">
        <f aca="true" t="shared" si="1" ref="C11:L11">$C$4</f>
        <v>0.075</v>
      </c>
      <c r="D11" s="7">
        <f t="shared" si="1"/>
        <v>0.075</v>
      </c>
      <c r="E11" s="7">
        <f t="shared" si="1"/>
        <v>0.075</v>
      </c>
      <c r="F11" s="7">
        <f t="shared" si="1"/>
        <v>0.075</v>
      </c>
      <c r="G11" s="7">
        <f t="shared" si="1"/>
        <v>0.075</v>
      </c>
      <c r="H11" s="7">
        <f t="shared" si="1"/>
        <v>0.075</v>
      </c>
      <c r="I11" s="7">
        <f t="shared" si="1"/>
        <v>0.075</v>
      </c>
      <c r="J11" s="7">
        <f t="shared" si="1"/>
        <v>0.075</v>
      </c>
      <c r="K11" s="7">
        <f t="shared" si="1"/>
        <v>0.075</v>
      </c>
      <c r="L11" s="7">
        <f t="shared" si="1"/>
        <v>0.075</v>
      </c>
    </row>
    <row r="12" spans="2:12" ht="12.75">
      <c r="B12" s="1" t="s">
        <v>344</v>
      </c>
      <c r="C12" s="8">
        <f>C10*C11</f>
        <v>196147.20273214288</v>
      </c>
      <c r="D12" s="8">
        <f aca="true" t="shared" si="2" ref="D12:L12">D10*D11</f>
        <v>182282.3557949817</v>
      </c>
      <c r="E12" s="8">
        <f t="shared" si="2"/>
        <v>167377.64533753347</v>
      </c>
      <c r="F12" s="8">
        <f t="shared" si="2"/>
        <v>151355.08159577657</v>
      </c>
      <c r="G12" s="8">
        <f t="shared" si="2"/>
        <v>134130.82557338796</v>
      </c>
      <c r="H12" s="8">
        <f t="shared" si="2"/>
        <v>115614.75034932018</v>
      </c>
      <c r="I12" s="8">
        <f t="shared" si="2"/>
        <v>95709.96948344732</v>
      </c>
      <c r="J12" s="8">
        <f t="shared" si="2"/>
        <v>74312.33005263399</v>
      </c>
      <c r="K12" s="8">
        <f t="shared" si="2"/>
        <v>51309.86766450967</v>
      </c>
      <c r="L12" s="8">
        <f t="shared" si="2"/>
        <v>26582.220597276024</v>
      </c>
    </row>
    <row r="13" ht="12.75">
      <c r="B13" s="1"/>
    </row>
    <row r="14" spans="2:12" ht="12.75">
      <c r="B14" s="1" t="s">
        <v>345</v>
      </c>
      <c r="C14" s="8">
        <f aca="true" t="shared" si="3" ref="C14:L14">PMT(C11,$C$7,-$C$6)</f>
        <v>381011.8285609583</v>
      </c>
      <c r="D14" s="8">
        <f t="shared" si="3"/>
        <v>381011.8285609583</v>
      </c>
      <c r="E14" s="8">
        <f t="shared" si="3"/>
        <v>381011.8285609583</v>
      </c>
      <c r="F14" s="8">
        <f t="shared" si="3"/>
        <v>381011.8285609583</v>
      </c>
      <c r="G14" s="8">
        <f t="shared" si="3"/>
        <v>381011.8285609583</v>
      </c>
      <c r="H14" s="8">
        <f t="shared" si="3"/>
        <v>381011.8285609583</v>
      </c>
      <c r="I14" s="8">
        <f t="shared" si="3"/>
        <v>381011.8285609583</v>
      </c>
      <c r="J14" s="8">
        <f t="shared" si="3"/>
        <v>381011.8285609583</v>
      </c>
      <c r="K14" s="8">
        <f t="shared" si="3"/>
        <v>381011.8285609583</v>
      </c>
      <c r="L14" s="8">
        <f t="shared" si="3"/>
        <v>381011.8285609583</v>
      </c>
    </row>
    <row r="15" spans="2:12" ht="12.75">
      <c r="B15" s="1" t="s">
        <v>346</v>
      </c>
      <c r="C15" s="8">
        <f>C14-C12</f>
        <v>184864.62582881545</v>
      </c>
      <c r="D15" s="8">
        <f aca="true" t="shared" si="4" ref="D15:L15">D14-D12</f>
        <v>198729.47276597662</v>
      </c>
      <c r="E15" s="8">
        <f t="shared" si="4"/>
        <v>213634.18322342486</v>
      </c>
      <c r="F15" s="8">
        <f t="shared" si="4"/>
        <v>229656.74696518175</v>
      </c>
      <c r="G15" s="8">
        <f t="shared" si="4"/>
        <v>246881.00298757036</v>
      </c>
      <c r="H15" s="8">
        <f t="shared" si="4"/>
        <v>265397.07821163815</v>
      </c>
      <c r="I15" s="8">
        <f t="shared" si="4"/>
        <v>285301.859077511</v>
      </c>
      <c r="J15" s="8">
        <f t="shared" si="4"/>
        <v>306699.4985083243</v>
      </c>
      <c r="K15" s="8">
        <f t="shared" si="4"/>
        <v>329701.96089644864</v>
      </c>
      <c r="L15" s="8">
        <f t="shared" si="4"/>
        <v>354429.6079636823</v>
      </c>
    </row>
    <row r="16" ht="12.75">
      <c r="B16" s="1"/>
    </row>
    <row r="17" spans="2:12" ht="12.75">
      <c r="B17" s="1" t="s">
        <v>347</v>
      </c>
      <c r="C17" s="8">
        <f>C10-C15</f>
        <v>2430431.410599756</v>
      </c>
      <c r="D17" s="8">
        <f aca="true" t="shared" si="5" ref="D17:L17">D10-D15</f>
        <v>2231701.9378337795</v>
      </c>
      <c r="E17" s="8">
        <f t="shared" si="5"/>
        <v>2018067.7546103545</v>
      </c>
      <c r="F17" s="8">
        <f t="shared" si="5"/>
        <v>1788411.0076451728</v>
      </c>
      <c r="G17" s="8">
        <f t="shared" si="5"/>
        <v>1541530.0046576024</v>
      </c>
      <c r="H17" s="8">
        <f t="shared" si="5"/>
        <v>1276132.9264459643</v>
      </c>
      <c r="I17" s="8">
        <f t="shared" si="5"/>
        <v>990831.0673684533</v>
      </c>
      <c r="J17" s="8">
        <f t="shared" si="5"/>
        <v>684131.568860129</v>
      </c>
      <c r="K17" s="8">
        <f t="shared" si="5"/>
        <v>354429.60796368035</v>
      </c>
      <c r="L17" s="8">
        <f t="shared" si="5"/>
        <v>-1.979060471057892E-09</v>
      </c>
    </row>
    <row r="20" spans="2:3" ht="12.75">
      <c r="B20" s="1" t="s">
        <v>341</v>
      </c>
      <c r="C20" s="10">
        <f>'Input Value'!C10</f>
        <v>500000</v>
      </c>
    </row>
    <row r="21" spans="2:3" ht="12.75">
      <c r="B21" s="1" t="s">
        <v>348</v>
      </c>
      <c r="C21" s="9">
        <f>'Input Value'!C11</f>
        <v>0.075</v>
      </c>
    </row>
    <row r="22" spans="2:5" ht="12.75">
      <c r="B22" s="1" t="s">
        <v>349</v>
      </c>
      <c r="C22" s="5">
        <f>$C$20*$C$21</f>
        <v>37500</v>
      </c>
      <c r="D22" s="5">
        <f>$C$20*$C$21</f>
        <v>37500</v>
      </c>
      <c r="E22" s="5">
        <f>$C$20*$C$21</f>
        <v>37500</v>
      </c>
    </row>
    <row r="24" spans="2:12" ht="12.75">
      <c r="B24" s="1" t="s">
        <v>350</v>
      </c>
      <c r="C24" s="8">
        <f>C12+C22</f>
        <v>233647.20273214288</v>
      </c>
      <c r="D24" s="8">
        <f aca="true" t="shared" si="6" ref="D24:L24">D12+D22</f>
        <v>219782.3557949817</v>
      </c>
      <c r="E24" s="8">
        <f t="shared" si="6"/>
        <v>204877.64533753347</v>
      </c>
      <c r="F24" s="8">
        <f t="shared" si="6"/>
        <v>151355.08159577657</v>
      </c>
      <c r="G24" s="8">
        <f t="shared" si="6"/>
        <v>134130.82557338796</v>
      </c>
      <c r="H24" s="8">
        <f t="shared" si="6"/>
        <v>115614.75034932018</v>
      </c>
      <c r="I24" s="8">
        <f t="shared" si="6"/>
        <v>95709.96948344732</v>
      </c>
      <c r="J24" s="8">
        <f t="shared" si="6"/>
        <v>74312.33005263399</v>
      </c>
      <c r="K24" s="8">
        <f t="shared" si="6"/>
        <v>51309.86766450967</v>
      </c>
      <c r="L24" s="8">
        <f t="shared" si="6"/>
        <v>26582.220597276024</v>
      </c>
    </row>
  </sheetData>
  <sheetProtection password="C977" sheet="1"/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2:AA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19" customWidth="1"/>
    <col min="2" max="2" width="28.8515625" style="67" customWidth="1"/>
    <col min="3" max="3" width="7.421875" style="19" customWidth="1"/>
    <col min="4" max="4" width="12.28125" style="19" bestFit="1" customWidth="1"/>
    <col min="5" max="5" width="14.8515625" style="19" customWidth="1"/>
    <col min="6" max="6" width="15.8515625" style="19" customWidth="1"/>
    <col min="7" max="12" width="14.140625" style="19" bestFit="1" customWidth="1"/>
    <col min="13" max="13" width="14.140625" style="70" bestFit="1" customWidth="1"/>
    <col min="14" max="14" width="14.140625" style="19" bestFit="1" customWidth="1"/>
    <col min="15" max="15" width="9.7109375" style="19" bestFit="1" customWidth="1"/>
    <col min="16" max="16" width="20.57421875" style="19" customWidth="1"/>
    <col min="17" max="17" width="10.8515625" style="19" customWidth="1"/>
    <col min="18" max="27" width="11.7109375" style="19" customWidth="1"/>
    <col min="28" max="16384" width="9.140625" style="19" customWidth="1"/>
  </cols>
  <sheetData>
    <row r="1" ht="5.25" customHeight="1"/>
    <row r="2" spans="3:27" ht="12.75">
      <c r="C2" s="38"/>
      <c r="D2" s="38"/>
      <c r="E2" s="38"/>
      <c r="F2" s="38"/>
      <c r="G2" s="38"/>
      <c r="H2" s="38"/>
      <c r="I2" s="38"/>
      <c r="AA2" s="264"/>
    </row>
    <row r="3" spans="2:27" ht="12.75">
      <c r="B3" s="67" t="s">
        <v>661</v>
      </c>
      <c r="AA3" s="265"/>
    </row>
    <row r="4" spans="2:27" ht="12.75">
      <c r="B4" s="69" t="s">
        <v>351</v>
      </c>
      <c r="D4" s="69" t="s">
        <v>335</v>
      </c>
      <c r="E4" s="69" t="s">
        <v>325</v>
      </c>
      <c r="F4" s="69" t="s">
        <v>326</v>
      </c>
      <c r="G4" s="69" t="s">
        <v>327</v>
      </c>
      <c r="H4" s="69" t="s">
        <v>328</v>
      </c>
      <c r="I4" s="69" t="s">
        <v>329</v>
      </c>
      <c r="J4" s="69" t="s">
        <v>330</v>
      </c>
      <c r="K4" s="69" t="s">
        <v>331</v>
      </c>
      <c r="L4" s="69" t="s">
        <v>332</v>
      </c>
      <c r="M4" s="69" t="s">
        <v>333</v>
      </c>
      <c r="N4" s="69" t="s">
        <v>334</v>
      </c>
      <c r="AA4" s="265"/>
    </row>
    <row r="5" spans="2:27" ht="12.75">
      <c r="B5" s="67" t="s">
        <v>471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AA5" s="265"/>
    </row>
    <row r="6" spans="2:27" ht="12.75">
      <c r="B6" s="93" t="s">
        <v>356</v>
      </c>
      <c r="D6" s="68"/>
      <c r="E6" s="68">
        <f>'Personnel Expenses'!E9</f>
        <v>135000</v>
      </c>
      <c r="F6" s="68">
        <f>E6*(1+'Input Value'!$C$22)</f>
        <v>136350</v>
      </c>
      <c r="G6" s="68">
        <f>F6*(1+'Input Value'!$C$22)</f>
        <v>137713.5</v>
      </c>
      <c r="H6" s="68">
        <f>G6*(1+'Input Value'!$C$22)</f>
        <v>139090.635</v>
      </c>
      <c r="I6" s="68">
        <f>H6*(1+'Input Value'!$C$22)</f>
        <v>140481.54135</v>
      </c>
      <c r="J6" s="68">
        <f>I6*(1+'Input Value'!$C$22)</f>
        <v>141886.35676350002</v>
      </c>
      <c r="K6" s="68">
        <f>J6*(1+'Input Value'!$C$22)</f>
        <v>143305.22033113503</v>
      </c>
      <c r="L6" s="68">
        <f>K6*(1+'Input Value'!$C$22)</f>
        <v>144738.27253444638</v>
      </c>
      <c r="M6" s="68">
        <f>L6*(1+'Input Value'!$C$22)</f>
        <v>146185.65525979086</v>
      </c>
      <c r="N6" s="68">
        <f>M6*(1+'Input Value'!$C$22)</f>
        <v>147647.51181238878</v>
      </c>
      <c r="AA6" s="265"/>
    </row>
    <row r="7" spans="2:27" ht="12.75">
      <c r="B7" s="93" t="s">
        <v>355</v>
      </c>
      <c r="D7" s="68"/>
      <c r="E7" s="68">
        <f>'Personnel Expenses'!F9</f>
        <v>40500.00000000001</v>
      </c>
      <c r="F7" s="68">
        <f>E7*(1+'Input Value'!$C$22)</f>
        <v>40905.00000000001</v>
      </c>
      <c r="G7" s="68">
        <f>F7*(1+'Input Value'!$C$22)</f>
        <v>41314.05000000001</v>
      </c>
      <c r="H7" s="68">
        <f>G7*(1+'Input Value'!$C$22)</f>
        <v>41727.19050000001</v>
      </c>
      <c r="I7" s="68">
        <f>H7*(1+'Input Value'!$C$22)</f>
        <v>42144.46240500001</v>
      </c>
      <c r="J7" s="68">
        <f>I7*(1+'Input Value'!$C$22)</f>
        <v>42565.90702905002</v>
      </c>
      <c r="K7" s="68">
        <f>J7*(1+'Input Value'!$C$22)</f>
        <v>42991.56609934052</v>
      </c>
      <c r="L7" s="68">
        <f>K7*(1+'Input Value'!$C$22)</f>
        <v>43421.481760333925</v>
      </c>
      <c r="M7" s="68">
        <f>L7*(1+'Input Value'!$C$22)</f>
        <v>43855.69657793726</v>
      </c>
      <c r="N7" s="68">
        <f>M7*(1+'Input Value'!$C$22)</f>
        <v>44294.25354371664</v>
      </c>
      <c r="AA7" s="265"/>
    </row>
    <row r="8" spans="2:27" ht="12.75">
      <c r="B8" s="93" t="s">
        <v>354</v>
      </c>
      <c r="D8" s="68"/>
      <c r="E8" s="68">
        <f>'Personnel Expenses'!H9</f>
        <v>16000</v>
      </c>
      <c r="F8" s="68">
        <f>E8*(1+'Input Value'!$C$22)</f>
        <v>16160</v>
      </c>
      <c r="G8" s="68">
        <f>F8*(1+'Input Value'!$C$22)</f>
        <v>16321.6</v>
      </c>
      <c r="H8" s="68">
        <f>G8*(1+'Input Value'!$C$22)</f>
        <v>16484.816</v>
      </c>
      <c r="I8" s="68">
        <f>H8*(1+'Input Value'!$C$22)</f>
        <v>16649.66416</v>
      </c>
      <c r="J8" s="68">
        <f>I8*(1+'Input Value'!$C$22)</f>
        <v>16816.1608016</v>
      </c>
      <c r="K8" s="68">
        <f>J8*(1+'Input Value'!$C$22)</f>
        <v>16984.322409615997</v>
      </c>
      <c r="L8" s="68">
        <f>K8*(1+'Input Value'!$C$22)</f>
        <v>17154.165633712157</v>
      </c>
      <c r="M8" s="68">
        <f>L8*(1+'Input Value'!$C$22)</f>
        <v>17325.70729004928</v>
      </c>
      <c r="N8" s="68">
        <f>M8*(1+'Input Value'!$C$22)</f>
        <v>17498.964362949773</v>
      </c>
      <c r="AA8" s="265"/>
    </row>
    <row r="9" spans="2:27" ht="12.75">
      <c r="B9" s="67" t="s">
        <v>484</v>
      </c>
      <c r="D9" s="68">
        <f>SUM(D6:D8)</f>
        <v>0</v>
      </c>
      <c r="E9" s="68">
        <f>SUM(E6:E8)</f>
        <v>191500</v>
      </c>
      <c r="F9" s="68">
        <f aca="true" t="shared" si="0" ref="F9:N9">SUM(F6:F8)</f>
        <v>193415</v>
      </c>
      <c r="G9" s="68">
        <f t="shared" si="0"/>
        <v>195349.15000000002</v>
      </c>
      <c r="H9" s="68">
        <f t="shared" si="0"/>
        <v>197302.64150000003</v>
      </c>
      <c r="I9" s="68">
        <f t="shared" si="0"/>
        <v>199275.667915</v>
      </c>
      <c r="J9" s="68">
        <f t="shared" si="0"/>
        <v>201268.42459415004</v>
      </c>
      <c r="K9" s="68">
        <f t="shared" si="0"/>
        <v>203281.10884009153</v>
      </c>
      <c r="L9" s="68">
        <f t="shared" si="0"/>
        <v>205313.91992849248</v>
      </c>
      <c r="M9" s="68">
        <f t="shared" si="0"/>
        <v>207367.0591277774</v>
      </c>
      <c r="N9" s="68">
        <f t="shared" si="0"/>
        <v>209440.72971905518</v>
      </c>
      <c r="AA9" s="265"/>
    </row>
    <row r="10" spans="4:27" ht="12.75"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AA10" s="265"/>
    </row>
    <row r="11" spans="2:27" ht="12.75">
      <c r="B11" s="67" t="s">
        <v>119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AA11" s="265"/>
    </row>
    <row r="12" spans="2:27" ht="12.75">
      <c r="B12" s="93" t="s">
        <v>356</v>
      </c>
      <c r="D12" s="68"/>
      <c r="E12" s="68">
        <f>'Personnel Expenses'!$E$22</f>
        <v>410800</v>
      </c>
      <c r="F12" s="68">
        <f>E12*(1+'Input Value'!$C$22)</f>
        <v>414908</v>
      </c>
      <c r="G12" s="68">
        <f>F12*(1+'Input Value'!$C$22)</f>
        <v>419057.08</v>
      </c>
      <c r="H12" s="68">
        <f>G12*(1+'Input Value'!$C$22)</f>
        <v>423247.6508</v>
      </c>
      <c r="I12" s="68">
        <f>H12*(1+'Input Value'!$C$22)</f>
        <v>427480.127308</v>
      </c>
      <c r="J12" s="68">
        <f>I12*(1+'Input Value'!$C$22)</f>
        <v>431754.92858108</v>
      </c>
      <c r="K12" s="68">
        <f>J12*(1+'Input Value'!$C$22)</f>
        <v>436072.4778668908</v>
      </c>
      <c r="L12" s="68">
        <f>K12*(1+'Input Value'!$C$22)</f>
        <v>440433.2026455597</v>
      </c>
      <c r="M12" s="68">
        <f>L12*(1+'Input Value'!$C$22)</f>
        <v>444837.5346720153</v>
      </c>
      <c r="N12" s="68">
        <f>M12*(1+'Input Value'!$C$22)</f>
        <v>449285.91001873545</v>
      </c>
      <c r="O12" s="68"/>
      <c r="AA12" s="265"/>
    </row>
    <row r="13" spans="2:27" ht="12.75">
      <c r="B13" s="93" t="s">
        <v>355</v>
      </c>
      <c r="D13" s="68"/>
      <c r="E13" s="68">
        <f>'Personnel Expenses'!$F$22</f>
        <v>123240.00000000001</v>
      </c>
      <c r="F13" s="68">
        <f>E13*(1+'Input Value'!$C$22)</f>
        <v>124472.40000000001</v>
      </c>
      <c r="G13" s="68">
        <f>F13*(1+'Input Value'!$C$22)</f>
        <v>125717.12400000001</v>
      </c>
      <c r="H13" s="68">
        <f>G13*(1+'Input Value'!$C$22)</f>
        <v>126974.29524</v>
      </c>
      <c r="I13" s="68">
        <f>H13*(1+'Input Value'!$C$22)</f>
        <v>128244.03819240001</v>
      </c>
      <c r="J13" s="68">
        <f>I13*(1+'Input Value'!$C$22)</f>
        <v>129526.478574324</v>
      </c>
      <c r="K13" s="68">
        <f>J13*(1+'Input Value'!$C$22)</f>
        <v>130821.74336006725</v>
      </c>
      <c r="L13" s="68">
        <f>K13*(1+'Input Value'!$C$22)</f>
        <v>132129.96079366794</v>
      </c>
      <c r="M13" s="68">
        <f>L13*(1+'Input Value'!$C$22)</f>
        <v>133451.2604016046</v>
      </c>
      <c r="N13" s="68">
        <f>M13*(1+'Input Value'!$C$22)</f>
        <v>134785.77300562066</v>
      </c>
      <c r="O13" s="68"/>
      <c r="AA13" s="265"/>
    </row>
    <row r="14" spans="2:27" ht="12.75">
      <c r="B14" s="93" t="s">
        <v>354</v>
      </c>
      <c r="D14" s="21"/>
      <c r="E14" s="21">
        <f>'Personnel Expenses'!$I$22</f>
        <v>0</v>
      </c>
      <c r="F14" s="68">
        <f>E14*(1+'Input Value'!$C$22)</f>
        <v>0</v>
      </c>
      <c r="G14" s="68">
        <f>F14*(1+'Input Value'!$C$22)</f>
        <v>0</v>
      </c>
      <c r="H14" s="68">
        <f>G14*(1+'Input Value'!$C$22)</f>
        <v>0</v>
      </c>
      <c r="I14" s="68">
        <f>H14*(1+'Input Value'!$C$22)</f>
        <v>0</v>
      </c>
      <c r="J14" s="68">
        <f>I14*(1+'Input Value'!$C$22)</f>
        <v>0</v>
      </c>
      <c r="K14" s="68">
        <f>J14*(1+'Input Value'!$C$22)</f>
        <v>0</v>
      </c>
      <c r="L14" s="68">
        <f>K14*(1+'Input Value'!$C$22)</f>
        <v>0</v>
      </c>
      <c r="M14" s="68">
        <f>L14*(1+'Input Value'!$C$22)</f>
        <v>0</v>
      </c>
      <c r="N14" s="68">
        <f>M14*(1+'Input Value'!$C$22)</f>
        <v>0</v>
      </c>
      <c r="O14" s="68"/>
      <c r="AA14" s="265"/>
    </row>
    <row r="15" spans="2:27" ht="12.75">
      <c r="B15" s="67" t="s">
        <v>120</v>
      </c>
      <c r="D15" s="68">
        <f>SUM(D12:D14)</f>
        <v>0</v>
      </c>
      <c r="E15" s="68">
        <f aca="true" t="shared" si="1" ref="E15:N15">SUM(E12:E14)</f>
        <v>534040</v>
      </c>
      <c r="F15" s="68">
        <f t="shared" si="1"/>
        <v>539380.4</v>
      </c>
      <c r="G15" s="68">
        <f t="shared" si="1"/>
        <v>544774.204</v>
      </c>
      <c r="H15" s="68">
        <f t="shared" si="1"/>
        <v>550221.9460400001</v>
      </c>
      <c r="I15" s="68">
        <f t="shared" si="1"/>
        <v>555724.1655004</v>
      </c>
      <c r="J15" s="68">
        <f t="shared" si="1"/>
        <v>561281.407155404</v>
      </c>
      <c r="K15" s="68">
        <f t="shared" si="1"/>
        <v>566894.2212269581</v>
      </c>
      <c r="L15" s="68">
        <f t="shared" si="1"/>
        <v>572563.1634392276</v>
      </c>
      <c r="M15" s="68">
        <f t="shared" si="1"/>
        <v>578288.7950736199</v>
      </c>
      <c r="N15" s="68">
        <f t="shared" si="1"/>
        <v>584071.6830243561</v>
      </c>
      <c r="O15" s="68"/>
      <c r="AA15" s="265"/>
    </row>
    <row r="16" spans="4:27" ht="12.75"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AA16" s="265"/>
    </row>
    <row r="17" spans="2:27" ht="12.75">
      <c r="B17" s="67" t="s">
        <v>360</v>
      </c>
      <c r="D17" s="83">
        <f>D15+D9</f>
        <v>0</v>
      </c>
      <c r="E17" s="83">
        <f aca="true" t="shared" si="2" ref="E17:N17">E15+E9</f>
        <v>725540</v>
      </c>
      <c r="F17" s="83">
        <f t="shared" si="2"/>
        <v>732795.4</v>
      </c>
      <c r="G17" s="83">
        <f t="shared" si="2"/>
        <v>740123.354</v>
      </c>
      <c r="H17" s="83">
        <f t="shared" si="2"/>
        <v>747524.5875400001</v>
      </c>
      <c r="I17" s="83">
        <f t="shared" si="2"/>
        <v>754999.8334154</v>
      </c>
      <c r="J17" s="83">
        <f t="shared" si="2"/>
        <v>762549.831749554</v>
      </c>
      <c r="K17" s="83">
        <f t="shared" si="2"/>
        <v>770175.3300670496</v>
      </c>
      <c r="L17" s="83">
        <f t="shared" si="2"/>
        <v>777877.0833677201</v>
      </c>
      <c r="M17" s="83">
        <f t="shared" si="2"/>
        <v>785655.8542013974</v>
      </c>
      <c r="N17" s="83">
        <f t="shared" si="2"/>
        <v>793512.4127434113</v>
      </c>
      <c r="AA17" s="265"/>
    </row>
    <row r="18" spans="13:27" ht="12.75">
      <c r="M18" s="19"/>
      <c r="AA18" s="265"/>
    </row>
    <row r="19" spans="2:27" ht="12.75">
      <c r="B19" s="67" t="s">
        <v>726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AA19" s="265"/>
    </row>
    <row r="20" spans="2:27" ht="12.75">
      <c r="B20" s="93" t="s">
        <v>602</v>
      </c>
      <c r="E20" s="84">
        <f>('Market Projection'!F4*'Input Value'!$C$42+'Market Projection'!F5*'Input Value'!$C$43+'Market Projection'!F6*'Input Value'!$C$44)</f>
        <v>250087.5</v>
      </c>
      <c r="F20" s="84">
        <f>E20*(1+'Input Value'!$F$11)</f>
        <v>250087.5</v>
      </c>
      <c r="G20" s="84">
        <f>F20*(1+'Input Value'!$F$11)</f>
        <v>250087.5</v>
      </c>
      <c r="H20" s="84">
        <f>G20*(1+'Input Value'!$F$11)</f>
        <v>250087.5</v>
      </c>
      <c r="I20" s="84">
        <f>H20*(1+'Input Value'!$F$11)</f>
        <v>250087.5</v>
      </c>
      <c r="J20" s="84">
        <f>I20*(1+'Input Value'!$F$11)</f>
        <v>250087.5</v>
      </c>
      <c r="K20" s="84">
        <f>J20*(1+'Input Value'!$F$11)</f>
        <v>250087.5</v>
      </c>
      <c r="L20" s="84">
        <f>K20*(1+'Input Value'!$F$11)</f>
        <v>250087.5</v>
      </c>
      <c r="M20" s="84">
        <f>L20*(1+'Input Value'!$F$11)</f>
        <v>250087.5</v>
      </c>
      <c r="N20" s="84">
        <f>M20*(1+'Input Value'!$F$11)</f>
        <v>250087.5</v>
      </c>
      <c r="AA20" s="265"/>
    </row>
    <row r="21" spans="2:27" ht="12.75">
      <c r="B21" s="93" t="s">
        <v>603</v>
      </c>
      <c r="E21" s="84">
        <f>SUM('Market Projection'!F29:F31)*'Input Value'!$C$46</f>
        <v>0</v>
      </c>
      <c r="F21" s="84">
        <f>E21*(1+'Input Value'!$F$11)</f>
        <v>0</v>
      </c>
      <c r="G21" s="84">
        <f>F21*(1+'Input Value'!$F$11)</f>
        <v>0</v>
      </c>
      <c r="H21" s="84">
        <f>G21*(1+'Input Value'!$F$11)</f>
        <v>0</v>
      </c>
      <c r="I21" s="84">
        <f>H21*(1+'Input Value'!$F$11)</f>
        <v>0</v>
      </c>
      <c r="J21" s="84">
        <f>I21*(1+'Input Value'!$F$11)</f>
        <v>0</v>
      </c>
      <c r="K21" s="84">
        <f>J21*(1+'Input Value'!$F$11)</f>
        <v>0</v>
      </c>
      <c r="L21" s="84">
        <f>K21*(1+'Input Value'!$F$11)</f>
        <v>0</v>
      </c>
      <c r="M21" s="84">
        <f>L21*(1+'Input Value'!$F$11)</f>
        <v>0</v>
      </c>
      <c r="N21" s="84">
        <f>M21*(1+'Input Value'!$F$11)</f>
        <v>0</v>
      </c>
      <c r="AA21" s="265"/>
    </row>
    <row r="22" spans="2:27" ht="12.75">
      <c r="B22" s="93" t="s">
        <v>675</v>
      </c>
      <c r="E22" s="84">
        <f>(SUM('Market Projection'!F26:F28)+'Market Projection'!F32)*'Input Value'!$C$45</f>
        <v>178064.3007</v>
      </c>
      <c r="F22" s="84">
        <f>E22*(1+'Input Value'!$F$11)</f>
        <v>178064.3007</v>
      </c>
      <c r="G22" s="84">
        <f>F22*(1+'Input Value'!$F$11)</f>
        <v>178064.3007</v>
      </c>
      <c r="H22" s="84">
        <f>G22*(1+'Input Value'!$F$11)</f>
        <v>178064.3007</v>
      </c>
      <c r="I22" s="84">
        <f>H22*(1+'Input Value'!$F$11)</f>
        <v>178064.3007</v>
      </c>
      <c r="J22" s="84">
        <f>I22*(1+'Input Value'!$F$11)</f>
        <v>178064.3007</v>
      </c>
      <c r="K22" s="84">
        <f>J22*(1+'Input Value'!$F$11)</f>
        <v>178064.3007</v>
      </c>
      <c r="L22" s="84">
        <f>K22*(1+'Input Value'!$F$11)</f>
        <v>178064.3007</v>
      </c>
      <c r="M22" s="84">
        <f>L22*(1+'Input Value'!$F$11)</f>
        <v>178064.3007</v>
      </c>
      <c r="N22" s="84">
        <f>M22*(1+'Input Value'!$F$11)</f>
        <v>178064.3007</v>
      </c>
      <c r="AA22" s="265"/>
    </row>
    <row r="23" spans="2:27" ht="12.75">
      <c r="B23" s="93" t="s">
        <v>847</v>
      </c>
      <c r="E23" s="84">
        <f>'Market Projection'!F34*'Input Value'!$C$47</f>
        <v>38179.166666666664</v>
      </c>
      <c r="F23" s="84">
        <f>E23*(1+'Input Value'!$F$11)</f>
        <v>38179.166666666664</v>
      </c>
      <c r="G23" s="84">
        <f>F23*(1+'Input Value'!$F$11)</f>
        <v>38179.166666666664</v>
      </c>
      <c r="H23" s="84">
        <f>G23*(1+'Input Value'!$F$11)</f>
        <v>38179.166666666664</v>
      </c>
      <c r="I23" s="84">
        <f>H23*(1+'Input Value'!$F$11)</f>
        <v>38179.166666666664</v>
      </c>
      <c r="J23" s="84">
        <f>I23*(1+'Input Value'!$F$11)</f>
        <v>38179.166666666664</v>
      </c>
      <c r="K23" s="84">
        <f>J23*(1+'Input Value'!$F$11)</f>
        <v>38179.166666666664</v>
      </c>
      <c r="L23" s="84">
        <f>K23*(1+'Input Value'!$F$11)</f>
        <v>38179.166666666664</v>
      </c>
      <c r="M23" s="84">
        <f>L23*(1+'Input Value'!$F$11)</f>
        <v>38179.166666666664</v>
      </c>
      <c r="N23" s="84">
        <f>M23*(1+'Input Value'!$F$11)</f>
        <v>38179.166666666664</v>
      </c>
      <c r="AA23" s="265"/>
    </row>
    <row r="24" spans="2:27" ht="12.75">
      <c r="B24" s="67" t="s">
        <v>683</v>
      </c>
      <c r="E24" s="181">
        <f>SUM(E20:E23)</f>
        <v>466330.9673666667</v>
      </c>
      <c r="F24" s="181">
        <f aca="true" t="shared" si="3" ref="F24:N24">SUM(F20:F23)</f>
        <v>466330.9673666667</v>
      </c>
      <c r="G24" s="181">
        <f t="shared" si="3"/>
        <v>466330.9673666667</v>
      </c>
      <c r="H24" s="181">
        <f t="shared" si="3"/>
        <v>466330.9673666667</v>
      </c>
      <c r="I24" s="181">
        <f t="shared" si="3"/>
        <v>466330.9673666667</v>
      </c>
      <c r="J24" s="181">
        <f t="shared" si="3"/>
        <v>466330.9673666667</v>
      </c>
      <c r="K24" s="181">
        <f t="shared" si="3"/>
        <v>466330.9673666667</v>
      </c>
      <c r="L24" s="181">
        <f t="shared" si="3"/>
        <v>466330.9673666667</v>
      </c>
      <c r="M24" s="181">
        <f t="shared" si="3"/>
        <v>466330.9673666667</v>
      </c>
      <c r="N24" s="181">
        <f t="shared" si="3"/>
        <v>466330.9673666667</v>
      </c>
      <c r="AA24" s="265"/>
    </row>
    <row r="25" ht="12.75">
      <c r="AA25" s="265"/>
    </row>
    <row r="26" spans="2:14" ht="12.75">
      <c r="B26" s="67" t="s">
        <v>663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12.75">
      <c r="B27" s="67" t="s">
        <v>362</v>
      </c>
      <c r="D27" s="68"/>
      <c r="E27" s="21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2.75">
      <c r="B28" s="363" t="s">
        <v>437</v>
      </c>
      <c r="D28" s="68"/>
      <c r="E28" s="180">
        <f>Utilities!$J$3*E77</f>
        <v>687689.0592</v>
      </c>
      <c r="F28" s="180">
        <f>Utilities!$J$3*F77</f>
        <v>687689.0592</v>
      </c>
      <c r="G28" s="180">
        <f>Utilities!$J$3*G77</f>
        <v>687689.0592</v>
      </c>
      <c r="H28" s="180">
        <f>Utilities!$J$3*H77</f>
        <v>687689.0592</v>
      </c>
      <c r="I28" s="180">
        <f>Utilities!$J$3*I77</f>
        <v>687689.0592</v>
      </c>
      <c r="J28" s="180">
        <f>Utilities!$J$3*J77</f>
        <v>687689.0592</v>
      </c>
      <c r="K28" s="180">
        <f>Utilities!$J$3*K77</f>
        <v>687689.0592</v>
      </c>
      <c r="L28" s="180">
        <f>Utilities!$J$3*L77</f>
        <v>687689.0592</v>
      </c>
      <c r="M28" s="180">
        <f>Utilities!$J$3*M77</f>
        <v>687689.0592</v>
      </c>
      <c r="N28" s="180">
        <f>Utilities!$J$3*N77</f>
        <v>687689.0592</v>
      </c>
    </row>
    <row r="29" spans="2:14" ht="12.75">
      <c r="B29" s="363" t="s">
        <v>438</v>
      </c>
      <c r="D29" s="68"/>
      <c r="E29" s="180">
        <f>+Utilities!$J$4*E77</f>
        <v>270391.07444418955</v>
      </c>
      <c r="F29" s="180">
        <f>+Utilities!$J$4*F77</f>
        <v>270391.07444418955</v>
      </c>
      <c r="G29" s="180">
        <f>+Utilities!$J$4*G77</f>
        <v>270391.07444418955</v>
      </c>
      <c r="H29" s="180">
        <f>+Utilities!$J$4*H77</f>
        <v>270391.07444418955</v>
      </c>
      <c r="I29" s="180">
        <f>+Utilities!$J$4*I77</f>
        <v>270391.07444418955</v>
      </c>
      <c r="J29" s="180">
        <f>+Utilities!$J$4*J77</f>
        <v>270391.07444418955</v>
      </c>
      <c r="K29" s="180">
        <f>+Utilities!$J$4*K77</f>
        <v>270391.07444418955</v>
      </c>
      <c r="L29" s="180">
        <f>+Utilities!$J$4*L77</f>
        <v>270391.07444418955</v>
      </c>
      <c r="M29" s="180">
        <f>+Utilities!$J$4*M77</f>
        <v>270391.07444418955</v>
      </c>
      <c r="N29" s="180">
        <f>+Utilities!$J$4*N77</f>
        <v>270391.07444418955</v>
      </c>
    </row>
    <row r="30" spans="2:14" ht="12.75">
      <c r="B30" s="363" t="s">
        <v>488</v>
      </c>
      <c r="D30" s="68"/>
      <c r="E30" s="180">
        <f>Utilities!$C$30*E77</f>
        <v>10560.507297907736</v>
      </c>
      <c r="F30" s="180">
        <f>Utilities!$C$30*F77</f>
        <v>10560.507297907736</v>
      </c>
      <c r="G30" s="180">
        <f>Utilities!$C$30*G77</f>
        <v>10560.507297907736</v>
      </c>
      <c r="H30" s="180">
        <f>Utilities!$C$30*H77</f>
        <v>10560.507297907736</v>
      </c>
      <c r="I30" s="180">
        <f>Utilities!$C$30*I77</f>
        <v>10560.507297907736</v>
      </c>
      <c r="J30" s="180">
        <f>Utilities!$C$30*J77</f>
        <v>10560.507297907736</v>
      </c>
      <c r="K30" s="180">
        <f>Utilities!$C$30*K77</f>
        <v>10560.507297907736</v>
      </c>
      <c r="L30" s="180">
        <f>Utilities!$C$30*L77</f>
        <v>10560.507297907736</v>
      </c>
      <c r="M30" s="180">
        <f>Utilities!$C$30*M77</f>
        <v>10560.507297907736</v>
      </c>
      <c r="N30" s="180">
        <f>Utilities!$C$30*N77</f>
        <v>10560.507297907736</v>
      </c>
    </row>
    <row r="31" spans="2:14" ht="12.75">
      <c r="B31" s="363" t="s">
        <v>723</v>
      </c>
      <c r="D31" s="68"/>
      <c r="E31" s="180">
        <f>Utilities!$C$37*E77</f>
        <v>8250</v>
      </c>
      <c r="F31" s="180">
        <f>Utilities!$C$37*F77</f>
        <v>8250</v>
      </c>
      <c r="G31" s="180">
        <f>Utilities!$C$37*G77</f>
        <v>8250</v>
      </c>
      <c r="H31" s="180">
        <f>Utilities!$C$37*H77</f>
        <v>8250</v>
      </c>
      <c r="I31" s="180">
        <f>Utilities!$C$37*I77</f>
        <v>8250</v>
      </c>
      <c r="J31" s="180">
        <f>Utilities!$C$37*J77</f>
        <v>8250</v>
      </c>
      <c r="K31" s="180">
        <f>Utilities!$C$37*K77</f>
        <v>8250</v>
      </c>
      <c r="L31" s="180">
        <f>Utilities!$C$37*L77</f>
        <v>8250</v>
      </c>
      <c r="M31" s="180">
        <f>Utilities!$C$37*M77</f>
        <v>8250</v>
      </c>
      <c r="N31" s="180">
        <f>Utilities!$C$37*N77</f>
        <v>8250</v>
      </c>
    </row>
    <row r="32" spans="2:14" ht="12.75">
      <c r="B32" s="363" t="s">
        <v>725</v>
      </c>
      <c r="E32" s="84">
        <f>Utilities!$J$7*E77</f>
        <v>16269.201183577008</v>
      </c>
      <c r="F32" s="84">
        <f>Utilities!$J$7*F77</f>
        <v>16269.201183577008</v>
      </c>
      <c r="G32" s="84">
        <f>Utilities!$J$7*G77</f>
        <v>16269.201183577008</v>
      </c>
      <c r="H32" s="84">
        <f>Utilities!$J$7*H77</f>
        <v>16269.201183577008</v>
      </c>
      <c r="I32" s="84">
        <f>Utilities!$J$7*I77</f>
        <v>16269.201183577008</v>
      </c>
      <c r="J32" s="84">
        <f>Utilities!$J$7*J77</f>
        <v>16269.201183577008</v>
      </c>
      <c r="K32" s="84">
        <f>Utilities!$J$7*K77</f>
        <v>16269.201183577008</v>
      </c>
      <c r="L32" s="84">
        <f>Utilities!$J$7*L77</f>
        <v>16269.201183577008</v>
      </c>
      <c r="M32" s="84">
        <f>Utilities!$J$7*M77</f>
        <v>16269.201183577008</v>
      </c>
      <c r="N32" s="84">
        <f>Utilities!$J$7*N77</f>
        <v>16269.201183577008</v>
      </c>
    </row>
    <row r="33" spans="2:14" ht="12.75">
      <c r="B33" s="363" t="s">
        <v>724</v>
      </c>
      <c r="E33" s="84">
        <f>Utilities!$G$21*'Expense Projection'!E77</f>
        <v>11100</v>
      </c>
      <c r="F33" s="84">
        <f>Utilities!$G$21*'Expense Projection'!F77</f>
        <v>11100</v>
      </c>
      <c r="G33" s="84">
        <f>Utilities!$G$21*'Expense Projection'!G77</f>
        <v>11100</v>
      </c>
      <c r="H33" s="84">
        <f>Utilities!$G$21*'Expense Projection'!H77</f>
        <v>11100</v>
      </c>
      <c r="I33" s="84">
        <f>Utilities!$G$21*'Expense Projection'!I77</f>
        <v>11100</v>
      </c>
      <c r="J33" s="84">
        <f>Utilities!$G$21*'Expense Projection'!J77</f>
        <v>11100</v>
      </c>
      <c r="K33" s="84">
        <f>Utilities!$G$21*'Expense Projection'!K77</f>
        <v>11100</v>
      </c>
      <c r="L33" s="84">
        <f>Utilities!$G$21*'Expense Projection'!L77</f>
        <v>11100</v>
      </c>
      <c r="M33" s="84">
        <f>Utilities!$G$21*'Expense Projection'!M77</f>
        <v>11100</v>
      </c>
      <c r="N33" s="84">
        <f>Utilities!$G$21*'Expense Projection'!N77</f>
        <v>11100</v>
      </c>
    </row>
    <row r="34" spans="2:14" ht="12.75">
      <c r="B34" s="363" t="s">
        <v>489</v>
      </c>
      <c r="D34" s="68"/>
      <c r="E34" s="180">
        <f>'Input Value'!$F$4*E77</f>
        <v>2000</v>
      </c>
      <c r="F34" s="180">
        <f>'Input Value'!$F$4*F77</f>
        <v>2000</v>
      </c>
      <c r="G34" s="180">
        <f>'Input Value'!$F$4*G77</f>
        <v>2000</v>
      </c>
      <c r="H34" s="180">
        <f>'Input Value'!$F$4*H77</f>
        <v>2000</v>
      </c>
      <c r="I34" s="180">
        <f>'Input Value'!$F$4*I77</f>
        <v>2000</v>
      </c>
      <c r="J34" s="180">
        <f>'Input Value'!$F$4*J77</f>
        <v>2000</v>
      </c>
      <c r="K34" s="180">
        <f>'Input Value'!$F$4*K77</f>
        <v>2000</v>
      </c>
      <c r="L34" s="180">
        <f>'Input Value'!$F$4*L77</f>
        <v>2000</v>
      </c>
      <c r="M34" s="180">
        <f>'Input Value'!$F$4*M77</f>
        <v>2000</v>
      </c>
      <c r="N34" s="180">
        <f>'Input Value'!$F$4*N77</f>
        <v>2000</v>
      </c>
    </row>
    <row r="35" spans="2:14" ht="12.75">
      <c r="B35" s="67" t="s">
        <v>479</v>
      </c>
      <c r="D35" s="83"/>
      <c r="E35" s="181">
        <f aca="true" t="shared" si="4" ref="E35:N35">SUM(E27:E34)</f>
        <v>1006259.8421256742</v>
      </c>
      <c r="F35" s="181">
        <f t="shared" si="4"/>
        <v>1006259.8421256742</v>
      </c>
      <c r="G35" s="181">
        <f t="shared" si="4"/>
        <v>1006259.8421256742</v>
      </c>
      <c r="H35" s="181">
        <f t="shared" si="4"/>
        <v>1006259.8421256742</v>
      </c>
      <c r="I35" s="181">
        <f t="shared" si="4"/>
        <v>1006259.8421256742</v>
      </c>
      <c r="J35" s="181">
        <f t="shared" si="4"/>
        <v>1006259.8421256742</v>
      </c>
      <c r="K35" s="181">
        <f t="shared" si="4"/>
        <v>1006259.8421256742</v>
      </c>
      <c r="L35" s="181">
        <f t="shared" si="4"/>
        <v>1006259.8421256742</v>
      </c>
      <c r="M35" s="181">
        <f t="shared" si="4"/>
        <v>1006259.8421256742</v>
      </c>
      <c r="N35" s="181">
        <f t="shared" si="4"/>
        <v>1006259.8421256742</v>
      </c>
    </row>
    <row r="36" spans="4:14" ht="12.75"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2:14" ht="12.75">
      <c r="B37" s="67" t="s">
        <v>478</v>
      </c>
      <c r="D37" s="83">
        <f>+D17+D35</f>
        <v>0</v>
      </c>
      <c r="E37" s="83">
        <f aca="true" t="shared" si="5" ref="E37:N37">+E17+E24+E35</f>
        <v>2198130.8094923412</v>
      </c>
      <c r="F37" s="83">
        <f t="shared" si="5"/>
        <v>2205386.2094923407</v>
      </c>
      <c r="G37" s="83">
        <f t="shared" si="5"/>
        <v>2212714.163492341</v>
      </c>
      <c r="H37" s="83">
        <f t="shared" si="5"/>
        <v>2220115.397032341</v>
      </c>
      <c r="I37" s="83">
        <f t="shared" si="5"/>
        <v>2227590.642907741</v>
      </c>
      <c r="J37" s="83">
        <f t="shared" si="5"/>
        <v>2235140.641241895</v>
      </c>
      <c r="K37" s="83">
        <f t="shared" si="5"/>
        <v>2242766.1395593905</v>
      </c>
      <c r="L37" s="83">
        <f t="shared" si="5"/>
        <v>2250467.892860061</v>
      </c>
      <c r="M37" s="83">
        <f t="shared" si="5"/>
        <v>2258246.663693738</v>
      </c>
      <c r="N37" s="83">
        <f t="shared" si="5"/>
        <v>2266103.2222357523</v>
      </c>
    </row>
    <row r="38" spans="4:14" ht="12.75"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 ht="12.75">
      <c r="B39" s="69" t="s">
        <v>662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 ht="12.75">
      <c r="B40" s="67" t="s">
        <v>364</v>
      </c>
      <c r="D40" s="68"/>
      <c r="E40" s="84">
        <f>+'Input Value'!F12*Depreciation!D39</f>
        <v>227579.60364285717</v>
      </c>
      <c r="F40" s="68">
        <f>E40*F$77</f>
        <v>227579.60364285717</v>
      </c>
      <c r="G40" s="68">
        <f aca="true" t="shared" si="6" ref="G40:N40">F40*G$77</f>
        <v>227579.60364285717</v>
      </c>
      <c r="H40" s="68">
        <f t="shared" si="6"/>
        <v>227579.60364285717</v>
      </c>
      <c r="I40" s="68">
        <f t="shared" si="6"/>
        <v>227579.60364285717</v>
      </c>
      <c r="J40" s="68">
        <f t="shared" si="6"/>
        <v>227579.60364285717</v>
      </c>
      <c r="K40" s="68">
        <f t="shared" si="6"/>
        <v>227579.60364285717</v>
      </c>
      <c r="L40" s="68">
        <f t="shared" si="6"/>
        <v>227579.60364285717</v>
      </c>
      <c r="M40" s="68">
        <f t="shared" si="6"/>
        <v>227579.60364285717</v>
      </c>
      <c r="N40" s="68">
        <f t="shared" si="6"/>
        <v>227579.60364285717</v>
      </c>
    </row>
    <row r="41" spans="4:14" ht="12.75"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 ht="12.75">
      <c r="B42" s="67" t="s">
        <v>366</v>
      </c>
      <c r="D42" s="68"/>
      <c r="E42" s="84">
        <f>+'Input Value'!F13*Depreciation!D41</f>
        <v>52205.92072857144</v>
      </c>
      <c r="F42" s="68">
        <f>E42*F$77</f>
        <v>52205.92072857144</v>
      </c>
      <c r="G42" s="68">
        <f aca="true" t="shared" si="7" ref="G42:N42">F42*G$77</f>
        <v>52205.92072857144</v>
      </c>
      <c r="H42" s="68">
        <f t="shared" si="7"/>
        <v>52205.92072857144</v>
      </c>
      <c r="I42" s="68">
        <f t="shared" si="7"/>
        <v>52205.92072857144</v>
      </c>
      <c r="J42" s="68">
        <f t="shared" si="7"/>
        <v>52205.92072857144</v>
      </c>
      <c r="K42" s="68">
        <f t="shared" si="7"/>
        <v>52205.92072857144</v>
      </c>
      <c r="L42" s="68">
        <f t="shared" si="7"/>
        <v>52205.92072857144</v>
      </c>
      <c r="M42" s="68">
        <f t="shared" si="7"/>
        <v>52205.92072857144</v>
      </c>
      <c r="N42" s="68">
        <f t="shared" si="7"/>
        <v>52205.92072857144</v>
      </c>
    </row>
    <row r="43" spans="4:14" ht="12.75"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 ht="12.75">
      <c r="B44" s="67" t="s">
        <v>365</v>
      </c>
      <c r="D44" s="68"/>
      <c r="E44" s="84">
        <f>'Input Value'!F13*Depreciation!D43</f>
        <v>52305.92072857144</v>
      </c>
      <c r="F44" s="68">
        <f>E44*(1+'Input Value'!$F$11)</f>
        <v>52305.92072857144</v>
      </c>
      <c r="G44" s="68">
        <f>F44*(1+'Input Value'!$F$11)</f>
        <v>52305.92072857144</v>
      </c>
      <c r="H44" s="68">
        <f>G44*(1+'Input Value'!$F$11)</f>
        <v>52305.92072857144</v>
      </c>
      <c r="I44" s="68">
        <f>H44*(1+'Input Value'!$F$11)</f>
        <v>52305.92072857144</v>
      </c>
      <c r="J44" s="68">
        <f>I44*(1+'Input Value'!$F$11)</f>
        <v>52305.92072857144</v>
      </c>
      <c r="K44" s="68">
        <f>J44*(1+'Input Value'!$F$11)</f>
        <v>52305.92072857144</v>
      </c>
      <c r="L44" s="68">
        <f>K44*(1+'Input Value'!$F$11)</f>
        <v>52305.92072857144</v>
      </c>
      <c r="M44" s="68">
        <f>L44*(1+'Input Value'!$F$11)</f>
        <v>52305.92072857144</v>
      </c>
      <c r="N44" s="68">
        <f>M44*(1+'Input Value'!$F$11)</f>
        <v>52305.92072857144</v>
      </c>
    </row>
    <row r="45" spans="4:14" ht="12.75"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 ht="12.75">
      <c r="B46" s="67" t="s">
        <v>372</v>
      </c>
      <c r="D46" s="68"/>
      <c r="E46" s="68">
        <f>Depreciation!L10</f>
        <v>672896.8661856448</v>
      </c>
      <c r="F46" s="68">
        <f>Depreciation!M10</f>
        <v>1140159.2576170734</v>
      </c>
      <c r="G46" s="68">
        <f>Depreciation!N10</f>
        <v>821547.8125170734</v>
      </c>
      <c r="H46" s="68">
        <f>Depreciation!O10</f>
        <v>431931.5310805019</v>
      </c>
      <c r="I46" s="68">
        <f>Depreciation!P10</f>
        <v>431476.3718732162</v>
      </c>
      <c r="J46" s="68">
        <f>Depreciation!Q10</f>
        <v>431931.5310805019</v>
      </c>
      <c r="K46" s="68">
        <f>Depreciation!R10</f>
        <v>228475.36542378756</v>
      </c>
      <c r="L46" s="68">
        <f>Depreciation!S10</f>
        <v>25474.358974358976</v>
      </c>
      <c r="M46" s="68">
        <f>Depreciation!T10</f>
        <v>25474.358974358976</v>
      </c>
      <c r="N46" s="68">
        <f>Depreciation!U10</f>
        <v>25474.358974358976</v>
      </c>
    </row>
    <row r="47" spans="4:14" ht="12.75"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 ht="12.75">
      <c r="B48" s="67" t="s">
        <v>344</v>
      </c>
      <c r="D48" s="68"/>
      <c r="E48" s="68">
        <f>+'Loan Amortization'!C24</f>
        <v>233647.20273214288</v>
      </c>
      <c r="F48" s="68">
        <f>+'Loan Amortization'!D24</f>
        <v>219782.3557949817</v>
      </c>
      <c r="G48" s="68">
        <f>+'Loan Amortization'!E24</f>
        <v>204877.64533753347</v>
      </c>
      <c r="H48" s="68">
        <f>+'Loan Amortization'!F24</f>
        <v>151355.08159577657</v>
      </c>
      <c r="I48" s="68">
        <f>+'Loan Amortization'!G24</f>
        <v>134130.82557338796</v>
      </c>
      <c r="J48" s="68">
        <f>+'Loan Amortization'!H24</f>
        <v>115614.75034932018</v>
      </c>
      <c r="K48" s="68">
        <f>+'Loan Amortization'!I24</f>
        <v>95709.96948344732</v>
      </c>
      <c r="L48" s="68">
        <f>+'Loan Amortization'!J24</f>
        <v>74312.33005263399</v>
      </c>
      <c r="M48" s="68">
        <f>+'Loan Amortization'!K24</f>
        <v>51309.86766450967</v>
      </c>
      <c r="N48" s="68">
        <f>+'Loan Amortization'!L24</f>
        <v>26582.220597276024</v>
      </c>
    </row>
    <row r="49" spans="4:15" ht="12.75"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34"/>
    </row>
    <row r="50" spans="2:15" ht="12.75">
      <c r="B50" s="67" t="s">
        <v>596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34"/>
    </row>
    <row r="51" spans="2:15" ht="12.75">
      <c r="B51" s="155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34"/>
    </row>
    <row r="52" spans="2:14" ht="12.75">
      <c r="B52" s="67" t="s">
        <v>597</v>
      </c>
      <c r="D52" s="432">
        <v>5000</v>
      </c>
      <c r="E52" s="84">
        <f>+$D$52</f>
        <v>5000</v>
      </c>
      <c r="F52" s="84">
        <f>+E52*F77</f>
        <v>5000</v>
      </c>
      <c r="G52" s="84">
        <f aca="true" t="shared" si="8" ref="G52:N52">+F52*G77</f>
        <v>5000</v>
      </c>
      <c r="H52" s="84">
        <f t="shared" si="8"/>
        <v>5000</v>
      </c>
      <c r="I52" s="84">
        <f t="shared" si="8"/>
        <v>5000</v>
      </c>
      <c r="J52" s="84">
        <f t="shared" si="8"/>
        <v>5000</v>
      </c>
      <c r="K52" s="84">
        <f t="shared" si="8"/>
        <v>5000</v>
      </c>
      <c r="L52" s="84">
        <f t="shared" si="8"/>
        <v>5000</v>
      </c>
      <c r="M52" s="84">
        <f t="shared" si="8"/>
        <v>5000</v>
      </c>
      <c r="N52" s="84">
        <f t="shared" si="8"/>
        <v>5000</v>
      </c>
    </row>
    <row r="54" ht="12.75">
      <c r="B54" s="67" t="s">
        <v>598</v>
      </c>
    </row>
    <row r="56" ht="12.75">
      <c r="B56" s="67" t="s">
        <v>599</v>
      </c>
    </row>
    <row r="59" spans="2:14" ht="12.75">
      <c r="B59" s="67" t="s">
        <v>375</v>
      </c>
      <c r="D59" s="181">
        <f>SUM(D40:D58)</f>
        <v>5000</v>
      </c>
      <c r="E59" s="181">
        <f>SUM(E40:E58)</f>
        <v>1243635.5140177878</v>
      </c>
      <c r="F59" s="181">
        <f aca="true" t="shared" si="9" ref="F59:N59">SUM(F40:F58)</f>
        <v>1697033.0585120548</v>
      </c>
      <c r="G59" s="181">
        <f t="shared" si="9"/>
        <v>1363516.9029546068</v>
      </c>
      <c r="H59" s="181">
        <f t="shared" si="9"/>
        <v>920378.0577762786</v>
      </c>
      <c r="I59" s="181">
        <f t="shared" si="9"/>
        <v>902698.6425466042</v>
      </c>
      <c r="J59" s="181">
        <f t="shared" si="9"/>
        <v>884637.7265298222</v>
      </c>
      <c r="K59" s="181">
        <f t="shared" si="9"/>
        <v>661276.7800072348</v>
      </c>
      <c r="L59" s="181">
        <f t="shared" si="9"/>
        <v>436878.134126993</v>
      </c>
      <c r="M59" s="181">
        <f t="shared" si="9"/>
        <v>413875.6717388687</v>
      </c>
      <c r="N59" s="181">
        <f t="shared" si="9"/>
        <v>389148.024671635</v>
      </c>
    </row>
    <row r="60" spans="4:14" ht="12.75"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</row>
    <row r="61" spans="4:14" ht="12.75"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 ht="12.75">
      <c r="B62" s="25" t="s">
        <v>481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 ht="12.75">
      <c r="B63" s="67" t="s">
        <v>367</v>
      </c>
      <c r="D63" s="128">
        <v>0</v>
      </c>
      <c r="E63" s="128">
        <f>4500*12</f>
        <v>54000</v>
      </c>
      <c r="F63" s="80">
        <f>+D63*(1+'Input Value'!$F$11)</f>
        <v>0</v>
      </c>
      <c r="G63" s="80">
        <f>+E63*(1+'Input Value'!$F$11)</f>
        <v>54000</v>
      </c>
      <c r="H63" s="80">
        <f>+G63*(1+'Input Value'!$F$11)</f>
        <v>54000</v>
      </c>
      <c r="I63" s="80">
        <f>+H63*(1+'Input Value'!$F$11)</f>
        <v>54000</v>
      </c>
      <c r="J63" s="80">
        <f>+I63*(1+'Input Value'!$F$11)</f>
        <v>54000</v>
      </c>
      <c r="K63" s="80">
        <f>+J63*(1+'Input Value'!$F$11)</f>
        <v>54000</v>
      </c>
      <c r="L63" s="80">
        <f>+K63*(1+'Input Value'!$F$11)</f>
        <v>54000</v>
      </c>
      <c r="M63" s="80">
        <f>+L63*(1+'Input Value'!$F$11)</f>
        <v>54000</v>
      </c>
      <c r="N63" s="80">
        <f>+M63*(1+'Input Value'!$F$11)</f>
        <v>54000</v>
      </c>
    </row>
    <row r="64" spans="4:14" ht="12.75">
      <c r="D64" s="401" t="s">
        <v>430</v>
      </c>
      <c r="E64" s="401"/>
      <c r="F64" s="80"/>
      <c r="G64" s="80"/>
      <c r="H64" s="80"/>
      <c r="I64" s="80"/>
      <c r="J64" s="80"/>
      <c r="K64" s="80"/>
      <c r="L64" s="80"/>
      <c r="M64" s="80"/>
      <c r="N64" s="80"/>
    </row>
    <row r="65" spans="2:14" ht="12.75">
      <c r="B65" s="67" t="s">
        <v>374</v>
      </c>
      <c r="D65" s="128">
        <v>0</v>
      </c>
      <c r="E65" s="128">
        <v>0</v>
      </c>
      <c r="F65" s="80">
        <f>+D65*(1+'Input Value'!$F$11)</f>
        <v>0</v>
      </c>
      <c r="G65" s="80">
        <f>+E65*(1+'Input Value'!$F$11)</f>
        <v>0</v>
      </c>
      <c r="H65" s="80">
        <f>+G65*(1+'Input Value'!$F$11)</f>
        <v>0</v>
      </c>
      <c r="I65" s="80">
        <f>+H65*(1+'Input Value'!$F$11)</f>
        <v>0</v>
      </c>
      <c r="J65" s="80">
        <f>+I65*(1+'Input Value'!$F$11)</f>
        <v>0</v>
      </c>
      <c r="K65" s="80">
        <f>+J65*(1+'Input Value'!$F$11)</f>
        <v>0</v>
      </c>
      <c r="L65" s="80">
        <f>+K65*(1+'Input Value'!$F$11)</f>
        <v>0</v>
      </c>
      <c r="M65" s="80">
        <f>+L65*(1+'Input Value'!$F$11)</f>
        <v>0</v>
      </c>
      <c r="N65" s="80">
        <f>+M65*(1+'Input Value'!$F$11)</f>
        <v>0</v>
      </c>
    </row>
    <row r="66" spans="4:14" ht="12.75"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 ht="12.75">
      <c r="B67" s="67" t="s">
        <v>480</v>
      </c>
      <c r="D67" s="83"/>
      <c r="E67" s="83">
        <f>SUM(D63,D65)</f>
        <v>0</v>
      </c>
      <c r="F67" s="83">
        <f>SUM(E63,E65)</f>
        <v>54000</v>
      </c>
      <c r="G67" s="83">
        <f aca="true" t="shared" si="10" ref="G67:M67">SUM(G63,G65)</f>
        <v>54000</v>
      </c>
      <c r="H67" s="83">
        <f t="shared" si="10"/>
        <v>54000</v>
      </c>
      <c r="I67" s="83">
        <f t="shared" si="10"/>
        <v>54000</v>
      </c>
      <c r="J67" s="83">
        <f t="shared" si="10"/>
        <v>54000</v>
      </c>
      <c r="K67" s="83">
        <f t="shared" si="10"/>
        <v>54000</v>
      </c>
      <c r="L67" s="83">
        <f t="shared" si="10"/>
        <v>54000</v>
      </c>
      <c r="M67" s="83">
        <f t="shared" si="10"/>
        <v>54000</v>
      </c>
      <c r="N67" s="83">
        <f>SUM(N63,N65)</f>
        <v>54000</v>
      </c>
    </row>
    <row r="68" spans="4:14" ht="12.75"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 ht="12.75">
      <c r="B69" s="67" t="s">
        <v>376</v>
      </c>
      <c r="D69" s="83">
        <f aca="true" t="shared" si="11" ref="D69:N69">D37+D59+D67</f>
        <v>5000</v>
      </c>
      <c r="E69" s="83">
        <f t="shared" si="11"/>
        <v>3441766.323510129</v>
      </c>
      <c r="F69" s="83">
        <f t="shared" si="11"/>
        <v>3956419.2680043955</v>
      </c>
      <c r="G69" s="83">
        <f t="shared" si="11"/>
        <v>3630231.066446948</v>
      </c>
      <c r="H69" s="83">
        <f t="shared" si="11"/>
        <v>3194493.45480862</v>
      </c>
      <c r="I69" s="83">
        <f t="shared" si="11"/>
        <v>3184289.285454345</v>
      </c>
      <c r="J69" s="83">
        <f t="shared" si="11"/>
        <v>3173778.3677717173</v>
      </c>
      <c r="K69" s="83">
        <f t="shared" si="11"/>
        <v>2958042.9195666253</v>
      </c>
      <c r="L69" s="83">
        <f t="shared" si="11"/>
        <v>2741346.026987054</v>
      </c>
      <c r="M69" s="83">
        <f t="shared" si="11"/>
        <v>2726122.3354326067</v>
      </c>
      <c r="N69" s="83">
        <f t="shared" si="11"/>
        <v>2709251.2469073874</v>
      </c>
    </row>
    <row r="70" spans="13:14" ht="12.75">
      <c r="M70" s="19"/>
      <c r="N70" s="70"/>
    </row>
    <row r="71" spans="13:14" ht="12.75">
      <c r="M71" s="19"/>
      <c r="N71" s="70"/>
    </row>
    <row r="72" spans="13:14" ht="12.75">
      <c r="M72" s="19"/>
      <c r="N72" s="70"/>
    </row>
    <row r="77" spans="2:14" ht="12.75">
      <c r="B77" s="67" t="s">
        <v>601</v>
      </c>
      <c r="E77" s="19">
        <v>1</v>
      </c>
      <c r="F77" s="19">
        <f>+E77*(1+'Input Value'!$F$11)</f>
        <v>1</v>
      </c>
      <c r="G77" s="19">
        <f>+F77*(1+'Input Value'!$F$11)</f>
        <v>1</v>
      </c>
      <c r="H77" s="19">
        <f>+G77*(1+'Input Value'!$F$11)</f>
        <v>1</v>
      </c>
      <c r="I77" s="19">
        <f>+H77*(1+'Input Value'!$F$11)</f>
        <v>1</v>
      </c>
      <c r="J77" s="19">
        <f>+I77*(1+'Input Value'!$F$11)</f>
        <v>1</v>
      </c>
      <c r="K77" s="19">
        <f>+J77*(1+'Input Value'!$F$11)</f>
        <v>1</v>
      </c>
      <c r="L77" s="19">
        <f>+K77*(1+'Input Value'!$F$11)</f>
        <v>1</v>
      </c>
      <c r="M77" s="19">
        <f>+L77*(1+'Input Value'!$F$11)</f>
        <v>1</v>
      </c>
      <c r="N77" s="19">
        <f>+M77*(1+'Input Value'!$F$11)</f>
        <v>1</v>
      </c>
    </row>
  </sheetData>
  <sheetProtection password="C977" sheet="1"/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Rodney B. Holcomb</cp:lastModifiedBy>
  <cp:lastPrinted>2006-06-22T17:19:16Z</cp:lastPrinted>
  <dcterms:created xsi:type="dcterms:W3CDTF">2003-07-24T15:07:28Z</dcterms:created>
  <dcterms:modified xsi:type="dcterms:W3CDTF">2009-04-08T19:10:15Z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